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https://d.docs.live.net/194e8f3419c429eb/デスクトップ/"/>
    </mc:Choice>
  </mc:AlternateContent>
  <xr:revisionPtr revIDLastSave="361" documentId="13_ncr:1_{6C1AB446-3E22-42AF-8EE1-20B512BBF389}" xr6:coauthVersionLast="47" xr6:coauthVersionMax="47" xr10:uidLastSave="{CDC943E1-D1EF-49A0-9F09-9ECED9B177EA}"/>
  <bookViews>
    <workbookView xWindow="-120" yWindow="-120" windowWidth="29040" windowHeight="15720" firstSheet="2" activeTab="3" xr2:uid="{00000000-000D-0000-FFFF-FFFF00000000}"/>
  </bookViews>
  <sheets>
    <sheet name="抽選会(偶数年度)" sheetId="22" r:id="rId1"/>
    <sheet name="抽選会（奇数年度)" sheetId="23" r:id="rId2"/>
    <sheet name="抽選会" sheetId="29" r:id="rId3"/>
    <sheet name="抽選" sheetId="2" r:id="rId4"/>
    <sheet name="ﾄｰﾅﾒﾝﾄ" sheetId="20" r:id="rId5"/>
    <sheet name="領収証" sheetId="6" r:id="rId6"/>
    <sheet name="プロ表紙" sheetId="7" r:id="rId7"/>
    <sheet name="表紙裏" sheetId="11" r:id="rId8"/>
    <sheet name="要項" sheetId="21" r:id="rId9"/>
    <sheet name="歴代優勝校" sheetId="3" r:id="rId10"/>
    <sheet name="マッチ準決1" sheetId="14" r:id="rId11"/>
    <sheet name="マッチ準決1タイム" sheetId="24" r:id="rId12"/>
    <sheet name="マッチ準決2" sheetId="18" r:id="rId13"/>
    <sheet name="マッチ準決2タイム" sheetId="25" r:id="rId14"/>
    <sheet name="マッチ決勝" sheetId="17" r:id="rId15"/>
    <sheet name="マッチ決勝タイム" sheetId="26" r:id="rId16"/>
    <sheet name="共催名義申請書" sheetId="9" r:id="rId17"/>
    <sheet name="共催名義申請書 (2)" sheetId="27" r:id="rId18"/>
    <sheet name="共催名義報告書" sheetId="8" r:id="rId19"/>
  </sheets>
  <externalReferences>
    <externalReference r:id="rId20"/>
  </externalReferences>
  <definedNames>
    <definedName name="_GoBack" localSheetId="8">要項!$A$7</definedName>
    <definedName name="_xlnm.Print_Area" localSheetId="4">ﾄｰﾅﾒﾝﾄ!$A$1:$BL$72</definedName>
    <definedName name="_xlnm.Print_Area" localSheetId="2">抽選会!$A$1:$AV$62</definedName>
    <definedName name="_xlnm.Print_Area" localSheetId="1">'抽選会（奇数年度)'!$A$1:$AU$62</definedName>
    <definedName name="_xlnm.Print_Area" localSheetId="0">'抽選会(偶数年度)'!$A$1:$AV$62</definedName>
    <definedName name="_xlnm.Print_Area" localSheetId="7">表紙裏!$A$1:$H$56</definedName>
    <definedName name="_xlnm.Print_Area" localSheetId="8">要項!$A$1:$J$71</definedName>
    <definedName name="_xlnm.Print_Area" localSheetId="5">領収証!$A$1:$AE$168</definedName>
    <definedName name="第1位">[1]メンバー表!$A$1:$I$155</definedName>
    <definedName name="第2位">[1]メンバー表!$K$1:$S$155</definedName>
    <definedName name="第3位">[1]メンバー表!$U$1:$AC$155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9" i="2" l="1"/>
  <c r="G19" i="2"/>
  <c r="AL45" i="20"/>
  <c r="BB45" i="20"/>
  <c r="V45" i="20"/>
  <c r="F45" i="20"/>
  <c r="AQ57" i="20" l="1"/>
  <c r="AI57" i="20"/>
  <c r="BG57" i="20"/>
  <c r="AY57" i="20"/>
  <c r="AA57" i="20"/>
  <c r="S57" i="20"/>
  <c r="K57" i="20"/>
  <c r="A1" i="29" l="1"/>
  <c r="AC4" i="29"/>
  <c r="I11" i="2" l="1"/>
  <c r="I10" i="2"/>
  <c r="I9" i="2"/>
  <c r="I8" i="2"/>
  <c r="I6" i="2"/>
  <c r="I7" i="2" l="1"/>
  <c r="AB58" i="20" l="1"/>
  <c r="B37" i="7" l="1"/>
  <c r="E36" i="11"/>
  <c r="E12" i="11"/>
  <c r="D12" i="11"/>
  <c r="A57" i="20" l="1"/>
  <c r="A41" i="20"/>
  <c r="AT33" i="20" l="1"/>
  <c r="C42" i="7" l="1"/>
  <c r="H1" i="27"/>
  <c r="C57" i="20" l="1"/>
  <c r="A1" i="26" l="1"/>
  <c r="A1" i="25"/>
  <c r="A1" i="24" l="1"/>
  <c r="D56" i="20" l="1"/>
  <c r="C55" i="20" s="1"/>
  <c r="A1" i="23" l="1"/>
  <c r="F18" i="11" l="1"/>
  <c r="B16" i="9" l="1"/>
  <c r="C5" i="17"/>
  <c r="C5" i="18"/>
  <c r="C5" i="14"/>
  <c r="A1" i="21"/>
  <c r="A1" i="11"/>
  <c r="B42" i="7"/>
  <c r="B41" i="7"/>
  <c r="B40" i="7"/>
  <c r="A1" i="7"/>
  <c r="A1" i="22"/>
  <c r="B18" i="21" l="1"/>
  <c r="K3" i="3"/>
  <c r="L3" i="3"/>
  <c r="M3" i="3"/>
  <c r="N3" i="3"/>
  <c r="O3" i="3"/>
  <c r="P3" i="3"/>
  <c r="K4" i="3"/>
  <c r="L4" i="3"/>
  <c r="M4" i="3"/>
  <c r="N4" i="3"/>
  <c r="O4" i="3"/>
  <c r="P4" i="3"/>
  <c r="K5" i="3"/>
  <c r="L5" i="3"/>
  <c r="M5" i="3"/>
  <c r="N5" i="3"/>
  <c r="O5" i="3"/>
  <c r="P5" i="3"/>
  <c r="K6" i="3"/>
  <c r="L6" i="3"/>
  <c r="M6" i="3"/>
  <c r="N6" i="3"/>
  <c r="O6" i="3"/>
  <c r="P6" i="3"/>
  <c r="K7" i="3"/>
  <c r="L7" i="3"/>
  <c r="M7" i="3"/>
  <c r="N7" i="3"/>
  <c r="O7" i="3"/>
  <c r="P7" i="3"/>
  <c r="K8" i="3"/>
  <c r="L8" i="3"/>
  <c r="M8" i="3"/>
  <c r="N8" i="3"/>
  <c r="O8" i="3"/>
  <c r="P8" i="3"/>
  <c r="K9" i="3"/>
  <c r="L9" i="3"/>
  <c r="M9" i="3"/>
  <c r="N9" i="3"/>
  <c r="O9" i="3"/>
  <c r="P9" i="3"/>
  <c r="K10" i="3"/>
  <c r="L10" i="3"/>
  <c r="M10" i="3"/>
  <c r="N10" i="3"/>
  <c r="O10" i="3"/>
  <c r="P10" i="3"/>
  <c r="K11" i="3"/>
  <c r="L11" i="3"/>
  <c r="M11" i="3"/>
  <c r="N11" i="3"/>
  <c r="O11" i="3"/>
  <c r="P11" i="3"/>
  <c r="K12" i="3"/>
  <c r="L12" i="3"/>
  <c r="M12" i="3"/>
  <c r="N12" i="3"/>
  <c r="O12" i="3"/>
  <c r="P12" i="3"/>
  <c r="K13" i="3"/>
  <c r="L13" i="3"/>
  <c r="M13" i="3"/>
  <c r="N13" i="3"/>
  <c r="O13" i="3"/>
  <c r="P13" i="3"/>
  <c r="K14" i="3"/>
  <c r="L14" i="3"/>
  <c r="M14" i="3"/>
  <c r="N14" i="3"/>
  <c r="O14" i="3"/>
  <c r="P14" i="3"/>
  <c r="K15" i="3"/>
  <c r="L15" i="3"/>
  <c r="M15" i="3"/>
  <c r="N15" i="3"/>
  <c r="O15" i="3"/>
  <c r="P15" i="3"/>
  <c r="K16" i="3"/>
  <c r="L16" i="3"/>
  <c r="M16" i="3"/>
  <c r="N16" i="3"/>
  <c r="O16" i="3"/>
  <c r="P16" i="3"/>
  <c r="K17" i="3"/>
  <c r="L17" i="3"/>
  <c r="M17" i="3"/>
  <c r="N17" i="3"/>
  <c r="O17" i="3"/>
  <c r="P17" i="3"/>
  <c r="K18" i="3"/>
  <c r="L18" i="3"/>
  <c r="M18" i="3"/>
  <c r="N18" i="3"/>
  <c r="O18" i="3"/>
  <c r="P18" i="3"/>
  <c r="P2" i="3"/>
  <c r="K2" i="3"/>
  <c r="Q3" i="3" l="1"/>
  <c r="Q14" i="3"/>
  <c r="Q6" i="3"/>
  <c r="Q18" i="3"/>
  <c r="Q10" i="3"/>
  <c r="Q15" i="3"/>
  <c r="Q13" i="3"/>
  <c r="Q11" i="3"/>
  <c r="Q9" i="3"/>
  <c r="Q4" i="3"/>
  <c r="Q7" i="3"/>
  <c r="Q5" i="3"/>
  <c r="Q16" i="3"/>
  <c r="Q17" i="3"/>
  <c r="Q12" i="3"/>
  <c r="Q8" i="3"/>
  <c r="M2" i="3"/>
  <c r="N2" i="3"/>
  <c r="O2" i="3"/>
  <c r="L2" i="3"/>
  <c r="Q2" i="3" l="1"/>
  <c r="E35" i="11"/>
  <c r="B22" i="8" l="1"/>
  <c r="AT69" i="20" l="1"/>
  <c r="AP69" i="20"/>
  <c r="AL69" i="20"/>
  <c r="AH69" i="20"/>
  <c r="AD69" i="20"/>
  <c r="Z69" i="20"/>
  <c r="V69" i="20"/>
  <c r="R69" i="20"/>
  <c r="N69" i="20"/>
  <c r="J69" i="20"/>
  <c r="F69" i="20"/>
  <c r="B69" i="20"/>
  <c r="E87" i="2" l="1"/>
  <c r="E86" i="2"/>
  <c r="E85" i="2"/>
  <c r="E84" i="2"/>
  <c r="E83" i="2"/>
  <c r="E82" i="2"/>
  <c r="E81" i="2"/>
  <c r="E80" i="2"/>
  <c r="E79" i="2"/>
  <c r="E78" i="2"/>
  <c r="E77" i="2"/>
  <c r="E76" i="2"/>
  <c r="E75" i="2"/>
  <c r="E74" i="2"/>
  <c r="E73" i="2"/>
  <c r="E72" i="2"/>
  <c r="X12" i="23"/>
  <c r="O12" i="23"/>
  <c r="F12" i="23"/>
  <c r="A2" i="7"/>
  <c r="O4" i="2"/>
  <c r="O5" i="2"/>
  <c r="O6" i="2"/>
  <c r="O7" i="2"/>
  <c r="O8" i="2"/>
  <c r="O9" i="2"/>
  <c r="O10" i="2"/>
  <c r="O11" i="2"/>
  <c r="O14" i="2"/>
  <c r="O15" i="2"/>
  <c r="O16" i="2"/>
  <c r="O17" i="2"/>
  <c r="O18" i="2"/>
  <c r="O3" i="2"/>
  <c r="F72" i="2" l="1"/>
  <c r="C19" i="2"/>
  <c r="AC4" i="22"/>
  <c r="Q3" i="2"/>
  <c r="O12" i="2"/>
  <c r="Q12" i="2" l="1"/>
  <c r="O13" i="2"/>
  <c r="E36" i="2" s="1"/>
  <c r="E53" i="2" s="1"/>
  <c r="T15" i="23"/>
  <c r="K15" i="23"/>
  <c r="N21" i="23"/>
  <c r="N20" i="23"/>
  <c r="AF19" i="23"/>
  <c r="W19" i="23"/>
  <c r="N19" i="23"/>
  <c r="T17" i="23"/>
  <c r="K17" i="23"/>
  <c r="AK16" i="23"/>
  <c r="AC16" i="23"/>
  <c r="T16" i="23"/>
  <c r="K16" i="23"/>
  <c r="AC5" i="23"/>
  <c r="E70" i="2" l="1"/>
  <c r="E69" i="2"/>
  <c r="E28" i="2"/>
  <c r="E45" i="2" s="1"/>
  <c r="E29" i="2"/>
  <c r="E46" i="2" s="1"/>
  <c r="E41" i="2"/>
  <c r="E21" i="2"/>
  <c r="E38" i="2" s="1"/>
  <c r="E49" i="2"/>
  <c r="E42" i="2"/>
  <c r="E50" i="2"/>
  <c r="E37" i="2"/>
  <c r="E54" i="2"/>
  <c r="C12" i="11"/>
  <c r="H11" i="11"/>
  <c r="F11" i="11"/>
  <c r="E11" i="11"/>
  <c r="D11" i="11"/>
  <c r="C11" i="11"/>
  <c r="K68" i="21"/>
  <c r="N68" i="21" s="1"/>
  <c r="A68" i="21" s="1"/>
  <c r="K62" i="21"/>
  <c r="A24" i="21"/>
  <c r="I40" i="2" l="1"/>
  <c r="H40" i="2"/>
  <c r="G40" i="2"/>
  <c r="G39" i="2"/>
  <c r="I39" i="2"/>
  <c r="H39" i="2"/>
  <c r="G38" i="2"/>
  <c r="I38" i="2"/>
  <c r="H38" i="2"/>
  <c r="E67" i="2"/>
  <c r="E68" i="2"/>
  <c r="E57" i="2"/>
  <c r="E58" i="2"/>
  <c r="E56" i="2"/>
  <c r="E55" i="2"/>
  <c r="E65" i="2"/>
  <c r="E66" i="2"/>
  <c r="E61" i="2"/>
  <c r="E62" i="2"/>
  <c r="E59" i="2"/>
  <c r="E60" i="2"/>
  <c r="E64" i="2"/>
  <c r="E63" i="2"/>
  <c r="F21" i="2"/>
  <c r="H1" i="9"/>
  <c r="G55" i="2" l="1"/>
  <c r="H55" i="2"/>
  <c r="I55" i="2"/>
  <c r="Q4" i="2"/>
  <c r="Q5" i="2"/>
  <c r="Q6" i="2"/>
  <c r="Q7" i="2"/>
  <c r="Q8" i="2"/>
  <c r="Q9" i="2"/>
  <c r="Q10" i="2"/>
  <c r="Q11" i="2"/>
  <c r="Q13" i="2"/>
  <c r="Q14" i="2"/>
  <c r="Q15" i="2"/>
  <c r="Q16" i="2"/>
  <c r="Q17" i="2"/>
  <c r="Q18" i="2"/>
  <c r="I60" i="2" l="1"/>
  <c r="H60" i="2"/>
  <c r="G60" i="2"/>
  <c r="A3" i="2"/>
  <c r="A14" i="2"/>
  <c r="B14" i="2" s="1"/>
  <c r="A6" i="2"/>
  <c r="A13" i="2"/>
  <c r="B13" i="2" s="1"/>
  <c r="A16" i="2"/>
  <c r="B16" i="2" s="1"/>
  <c r="A15" i="2"/>
  <c r="A18" i="2"/>
  <c r="B18" i="2" s="1"/>
  <c r="A8" i="2"/>
  <c r="B8" i="2" s="1"/>
  <c r="A17" i="2"/>
  <c r="B17" i="2" s="1"/>
  <c r="A11" i="2"/>
  <c r="B11" i="2" s="1"/>
  <c r="A12" i="2"/>
  <c r="B12" i="2" s="1"/>
  <c r="A5" i="2"/>
  <c r="B5" i="2" s="1"/>
  <c r="A10" i="2"/>
  <c r="B10" i="2" s="1"/>
  <c r="A7" i="2"/>
  <c r="A4" i="2"/>
  <c r="A9" i="2"/>
  <c r="B9" i="2" s="1"/>
  <c r="B38" i="7"/>
  <c r="B46" i="7"/>
  <c r="B48" i="7"/>
  <c r="E48" i="7"/>
  <c r="B50" i="7"/>
  <c r="E50" i="7"/>
  <c r="B51" i="7"/>
  <c r="E51" i="7"/>
  <c r="E44" i="7"/>
  <c r="B44" i="7"/>
  <c r="H42" i="7"/>
  <c r="F42" i="7"/>
  <c r="F41" i="7"/>
  <c r="F40" i="7"/>
  <c r="G61" i="2" l="1"/>
  <c r="C18" i="14"/>
  <c r="C7" i="26"/>
  <c r="C7" i="24"/>
  <c r="C7" i="25"/>
  <c r="B7" i="2"/>
  <c r="B3" i="2"/>
  <c r="P13" i="2"/>
  <c r="P17" i="2"/>
  <c r="P3" i="2"/>
  <c r="P14" i="2"/>
  <c r="P18" i="2"/>
  <c r="P6" i="2"/>
  <c r="P10" i="2"/>
  <c r="P16" i="2"/>
  <c r="P7" i="2"/>
  <c r="P11" i="2"/>
  <c r="P15" i="2"/>
  <c r="P12" i="2"/>
  <c r="P9" i="2"/>
  <c r="P5" i="2"/>
  <c r="P8" i="2"/>
  <c r="P4" i="2"/>
  <c r="K17" i="2"/>
  <c r="K18" i="2"/>
  <c r="K7" i="2"/>
  <c r="K8" i="2"/>
  <c r="K9" i="2"/>
  <c r="K10" i="2"/>
  <c r="K11" i="2"/>
  <c r="K6" i="2"/>
  <c r="H3" i="2"/>
  <c r="I3" i="2" s="1"/>
  <c r="K3" i="2" s="1"/>
  <c r="I13" i="2"/>
  <c r="K13" i="2" s="1"/>
  <c r="H15" i="2"/>
  <c r="H16" i="2"/>
  <c r="H14" i="2"/>
  <c r="H13" i="2"/>
  <c r="I12" i="2"/>
  <c r="H4" i="2"/>
  <c r="I59" i="2" l="1"/>
  <c r="G59" i="2"/>
  <c r="I58" i="2"/>
  <c r="G58" i="2"/>
  <c r="I57" i="2"/>
  <c r="G57" i="2"/>
  <c r="H59" i="2"/>
  <c r="H58" i="2"/>
  <c r="H57" i="2"/>
  <c r="K12" i="2"/>
  <c r="AT70" i="20"/>
  <c r="AH70" i="20"/>
  <c r="I4" i="2"/>
  <c r="K4" i="2" s="1"/>
  <c r="I5" i="2"/>
  <c r="K5" i="2" s="1"/>
  <c r="F70" i="20" s="1"/>
  <c r="P19" i="2"/>
  <c r="C18" i="17"/>
  <c r="C18" i="18"/>
  <c r="S47" i="11"/>
  <c r="D5" i="11"/>
  <c r="C6" i="11"/>
  <c r="G56" i="2" l="1"/>
  <c r="B4" i="2" s="1"/>
  <c r="I56" i="2"/>
  <c r="B15" i="2" s="1"/>
  <c r="H56" i="2"/>
  <c r="B6" i="2" s="1"/>
  <c r="Z70" i="20"/>
  <c r="BB70" i="20"/>
  <c r="E10" i="11"/>
  <c r="C10" i="11"/>
  <c r="C17" i="11"/>
  <c r="D17" i="11"/>
  <c r="E17" i="11"/>
  <c r="I16" i="2"/>
  <c r="K16" i="2" s="1"/>
  <c r="I15" i="2"/>
  <c r="K15" i="2" s="1"/>
  <c r="V70" i="20" s="1"/>
  <c r="I14" i="2"/>
  <c r="K14" i="2" s="1"/>
  <c r="B70" i="20" s="1"/>
  <c r="N24" i="20"/>
  <c r="AT24" i="20"/>
  <c r="BB48" i="20"/>
  <c r="AX48" i="20"/>
  <c r="AP48" i="20"/>
  <c r="AL48" i="20"/>
  <c r="AH48" i="20"/>
  <c r="AD48" i="20"/>
  <c r="Z48" i="20"/>
  <c r="N48" i="20"/>
  <c r="J48" i="20"/>
  <c r="F48" i="20"/>
  <c r="BJ48" i="20"/>
  <c r="BF48" i="20"/>
  <c r="AT48" i="20"/>
  <c r="B48" i="20"/>
  <c r="V48" i="20"/>
  <c r="R48" i="20"/>
  <c r="S365" i="6"/>
  <c r="S344" i="6"/>
  <c r="P29" i="6"/>
  <c r="P50" i="6" s="1"/>
  <c r="P71" i="6" s="1"/>
  <c r="P92" i="6" s="1"/>
  <c r="P113" i="6" s="1"/>
  <c r="P134" i="6" s="1"/>
  <c r="P155" i="6" s="1"/>
  <c r="BF70" i="20" l="1"/>
  <c r="BJ70" i="20"/>
  <c r="R70" i="20"/>
  <c r="AP70" i="20"/>
  <c r="J70" i="20"/>
  <c r="AX70" i="20"/>
  <c r="AD70" i="20"/>
  <c r="N70" i="20"/>
  <c r="AL70" i="20"/>
  <c r="AD23" i="20"/>
  <c r="E37" i="11"/>
  <c r="E38" i="11"/>
  <c r="E18" i="11"/>
  <c r="D18" i="11"/>
  <c r="C18" i="11"/>
  <c r="D10" i="11"/>
  <c r="C9" i="11"/>
  <c r="C8" i="11"/>
  <c r="H7" i="11"/>
  <c r="F7" i="11"/>
  <c r="E7" i="11"/>
  <c r="D7" i="11"/>
  <c r="C7" i="11"/>
  <c r="C4" i="11"/>
  <c r="C5" i="11"/>
  <c r="L12" i="2" l="1"/>
  <c r="BJ69" i="20"/>
  <c r="BB69" i="20"/>
  <c r="BF69" i="20"/>
  <c r="AX69" i="20"/>
  <c r="BP8" i="20"/>
  <c r="BH58" i="20"/>
  <c r="L58" i="20"/>
  <c r="BH56" i="20"/>
  <c r="BG55" i="20" s="1"/>
  <c r="AZ56" i="20"/>
  <c r="AY55" i="20" s="1"/>
  <c r="AY49" i="20" s="1"/>
  <c r="AR56" i="20"/>
  <c r="AQ55" i="20" s="1"/>
  <c r="AJ56" i="20"/>
  <c r="AI55" i="20" s="1"/>
  <c r="AI49" i="20" s="1"/>
  <c r="AB56" i="20"/>
  <c r="AA55" i="20" s="1"/>
  <c r="AA49" i="20" s="1"/>
  <c r="T56" i="20"/>
  <c r="S55" i="20" s="1"/>
  <c r="S49" i="20" s="1"/>
  <c r="L56" i="20"/>
  <c r="K55" i="20" s="1"/>
  <c r="K49" i="20" s="1"/>
  <c r="BH54" i="20"/>
  <c r="AZ54" i="20"/>
  <c r="AR54" i="20"/>
  <c r="AJ54" i="20"/>
  <c r="AB54" i="20"/>
  <c r="T54" i="20"/>
  <c r="L54" i="20"/>
  <c r="D54" i="20"/>
  <c r="BH53" i="20"/>
  <c r="AZ53" i="20"/>
  <c r="AR53" i="20"/>
  <c r="AJ53" i="20"/>
  <c r="AB53" i="20"/>
  <c r="T53" i="20"/>
  <c r="L53" i="20"/>
  <c r="D53" i="20"/>
  <c r="BJ49" i="20"/>
  <c r="BG49" i="20"/>
  <c r="BB49" i="20"/>
  <c r="AT49" i="20"/>
  <c r="AQ49" i="20"/>
  <c r="AL49" i="20"/>
  <c r="AD49" i="20"/>
  <c r="V49" i="20"/>
  <c r="N49" i="20"/>
  <c r="F49" i="20"/>
  <c r="C49" i="20"/>
  <c r="BD44" i="20"/>
  <c r="BC43" i="20" s="1"/>
  <c r="BC37" i="20" s="1"/>
  <c r="AN44" i="20"/>
  <c r="AM43" i="20" s="1"/>
  <c r="AM37" i="20" s="1"/>
  <c r="X44" i="20"/>
  <c r="W43" i="20" s="1"/>
  <c r="W37" i="20" s="1"/>
  <c r="H44" i="20"/>
  <c r="G43" i="20" s="1"/>
  <c r="G37" i="20" s="1"/>
  <c r="BD42" i="20"/>
  <c r="AN42" i="20"/>
  <c r="X42" i="20"/>
  <c r="H42" i="20"/>
  <c r="BD41" i="20"/>
  <c r="AN41" i="20"/>
  <c r="X41" i="20"/>
  <c r="H41" i="20"/>
  <c r="BF37" i="20"/>
  <c r="AP37" i="20"/>
  <c r="Z37" i="20"/>
  <c r="J37" i="20"/>
  <c r="BF36" i="20"/>
  <c r="BB36" i="20"/>
  <c r="AP36" i="20"/>
  <c r="AL36" i="20"/>
  <c r="Z36" i="20"/>
  <c r="V36" i="20"/>
  <c r="J36" i="20"/>
  <c r="F36" i="20"/>
  <c r="N33" i="20"/>
  <c r="AV32" i="20"/>
  <c r="AU31" i="20" s="1"/>
  <c r="P32" i="20"/>
  <c r="O31" i="20" s="1"/>
  <c r="O25" i="20" s="1"/>
  <c r="AV30" i="20"/>
  <c r="P30" i="20"/>
  <c r="AV29" i="20"/>
  <c r="P29" i="20"/>
  <c r="D27" i="20"/>
  <c r="AX25" i="20"/>
  <c r="AU25" i="20"/>
  <c r="R25" i="20"/>
  <c r="AX24" i="20"/>
  <c r="R24" i="20"/>
  <c r="AF22" i="20"/>
  <c r="AE21" i="20" s="1"/>
  <c r="AE13" i="20" s="1"/>
  <c r="AF20" i="20"/>
  <c r="AF19" i="20"/>
  <c r="AF18" i="20"/>
  <c r="AF17" i="20"/>
  <c r="AH13" i="20"/>
  <c r="AH12" i="20"/>
  <c r="AD12" i="20"/>
  <c r="P44" i="11"/>
  <c r="P45" i="11" s="1"/>
  <c r="P46" i="11" s="1"/>
  <c r="P47" i="11" s="1"/>
  <c r="P48" i="11" s="1"/>
  <c r="P49" i="11" s="1"/>
  <c r="P50" i="11" s="1"/>
  <c r="P51" i="11" s="1"/>
  <c r="P52" i="11" s="1"/>
  <c r="P53" i="11" s="1"/>
  <c r="R44" i="11" s="1"/>
  <c r="R45" i="11" s="1"/>
  <c r="R46" i="11" s="1"/>
  <c r="R47" i="11" s="1"/>
  <c r="R48" i="11" s="1"/>
  <c r="R49" i="11" s="1"/>
  <c r="R50" i="11" s="1"/>
  <c r="R51" i="11" s="1"/>
  <c r="R52" i="11" s="1"/>
  <c r="R53" i="11" s="1"/>
  <c r="T44" i="11" s="1"/>
  <c r="T45" i="11" s="1"/>
  <c r="T46" i="11" s="1"/>
  <c r="T47" i="11" s="1"/>
  <c r="T48" i="11" s="1"/>
  <c r="T49" i="11" s="1"/>
  <c r="T50" i="11" s="1"/>
  <c r="T51" i="11" s="1"/>
  <c r="T52" i="11" s="1"/>
  <c r="T53" i="11" s="1"/>
  <c r="V44" i="11" s="1"/>
  <c r="V45" i="11" s="1"/>
  <c r="V46" i="11" s="1"/>
  <c r="V47" i="11" s="1"/>
  <c r="V48" i="11" s="1"/>
  <c r="V49" i="11" s="1"/>
  <c r="V50" i="11" s="1"/>
  <c r="V51" i="11" s="1"/>
  <c r="V52" i="11" s="1"/>
  <c r="V53" i="11" s="1"/>
  <c r="J45" i="11"/>
  <c r="J46" i="11" s="1"/>
  <c r="J47" i="11" s="1"/>
  <c r="J48" i="11" s="1"/>
  <c r="J49" i="11" s="1"/>
  <c r="J50" i="11" s="1"/>
  <c r="J51" i="11" s="1"/>
  <c r="J52" i="11" s="1"/>
  <c r="J53" i="11" s="1"/>
  <c r="L44" i="11" s="1"/>
  <c r="L45" i="11" s="1"/>
  <c r="L46" i="11" s="1"/>
  <c r="L47" i="11" s="1"/>
  <c r="L48" i="11" s="1"/>
  <c r="L49" i="11" s="1"/>
  <c r="L50" i="11" s="1"/>
  <c r="L51" i="11" s="1"/>
  <c r="L52" i="11" s="1"/>
  <c r="L53" i="11" s="1"/>
  <c r="N44" i="11" s="1"/>
  <c r="N45" i="11" s="1"/>
  <c r="N46" i="11" s="1"/>
  <c r="N47" i="11" s="1"/>
  <c r="N48" i="11" s="1"/>
  <c r="N49" i="11" s="1"/>
  <c r="N50" i="11" s="1"/>
  <c r="N51" i="11" s="1"/>
  <c r="N52" i="11" s="1"/>
  <c r="G32" i="11"/>
  <c r="F32" i="11"/>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E13" i="3"/>
  <c r="G13" i="3" s="1"/>
  <c r="H12" i="3"/>
  <c r="E12" i="3"/>
  <c r="G12" i="3" s="1"/>
  <c r="H11" i="3"/>
  <c r="E11" i="3"/>
  <c r="G11" i="3" s="1"/>
  <c r="H10" i="3"/>
  <c r="E10" i="3"/>
  <c r="F10" i="3" s="1"/>
  <c r="H9" i="3"/>
  <c r="E9" i="3"/>
  <c r="G9" i="3" s="1"/>
  <c r="E2" i="3"/>
  <c r="G2" i="3" s="1"/>
  <c r="E3" i="3"/>
  <c r="F3" i="3" s="1"/>
  <c r="D3" i="3" s="1"/>
  <c r="E4" i="3"/>
  <c r="G4" i="3" s="1"/>
  <c r="E5" i="3"/>
  <c r="F5" i="3" s="1"/>
  <c r="D5" i="3" s="1"/>
  <c r="E6" i="3"/>
  <c r="G6" i="3" s="1"/>
  <c r="H8" i="3"/>
  <c r="E8" i="3"/>
  <c r="F8" i="3" s="1"/>
  <c r="D8" i="3" s="1"/>
  <c r="H7" i="3"/>
  <c r="E7" i="3"/>
  <c r="G7" i="3" s="1"/>
  <c r="H6" i="3"/>
  <c r="H5" i="3"/>
  <c r="H4" i="3"/>
  <c r="H3" i="3"/>
  <c r="H2" i="3"/>
  <c r="L4" i="2"/>
  <c r="L5" i="2"/>
  <c r="L6" i="2"/>
  <c r="L7" i="2"/>
  <c r="L8" i="2"/>
  <c r="L9" i="2"/>
  <c r="L10" i="2"/>
  <c r="L11" i="2"/>
  <c r="L13" i="2"/>
  <c r="L14" i="2"/>
  <c r="L15" i="2"/>
  <c r="L16" i="2"/>
  <c r="L17" i="2"/>
  <c r="L18" i="2"/>
  <c r="L3" i="2"/>
  <c r="AF8" i="6"/>
  <c r="F72" i="20" l="1"/>
  <c r="BR9" i="20"/>
  <c r="B72" i="20"/>
  <c r="BF72" i="20"/>
  <c r="F2" i="3"/>
  <c r="D2" i="3" s="1"/>
  <c r="I2" i="3"/>
  <c r="J2" i="3" s="1"/>
  <c r="R72" i="20"/>
  <c r="BJ72" i="20"/>
  <c r="AH72" i="20"/>
  <c r="AD72" i="20"/>
  <c r="J72" i="20"/>
  <c r="I8" i="3"/>
  <c r="J8" i="3" s="1"/>
  <c r="B39" i="20"/>
  <c r="F27" i="20" s="1"/>
  <c r="G8" i="3"/>
  <c r="F4" i="3"/>
  <c r="D4" i="3" s="1"/>
  <c r="I4" i="3"/>
  <c r="J4" i="3" s="1"/>
  <c r="Z72" i="20"/>
  <c r="G3" i="3"/>
  <c r="BB72" i="20"/>
  <c r="AL72" i="20"/>
  <c r="AX72" i="20"/>
  <c r="AT72" i="20"/>
  <c r="AP72" i="20"/>
  <c r="V72" i="20"/>
  <c r="R39" i="20"/>
  <c r="N72" i="20"/>
  <c r="I3" i="3"/>
  <c r="J3" i="3" s="1"/>
  <c r="F13" i="3"/>
  <c r="I5" i="3"/>
  <c r="J5" i="3" s="1"/>
  <c r="G5" i="3"/>
  <c r="I9" i="3" s="1"/>
  <c r="F11" i="3"/>
  <c r="G10" i="3"/>
  <c r="F9" i="3"/>
  <c r="I12" i="3"/>
  <c r="J12" i="3" s="1"/>
  <c r="I6" i="3"/>
  <c r="J6" i="3" s="1"/>
  <c r="F6" i="3"/>
  <c r="D6" i="3" s="1"/>
  <c r="F7" i="3"/>
  <c r="D7" i="3" s="1"/>
  <c r="I7" i="3"/>
  <c r="J7" i="3" s="1"/>
  <c r="F12" i="3"/>
  <c r="S8" i="6"/>
  <c r="AX39" i="20"/>
  <c r="AF29" i="6"/>
  <c r="AF50" i="6" s="1"/>
  <c r="AT39" i="20"/>
  <c r="N39" i="20"/>
  <c r="C155" i="6"/>
  <c r="C134" i="6"/>
  <c r="C113" i="6"/>
  <c r="C92" i="6"/>
  <c r="C71" i="6"/>
  <c r="C50" i="6"/>
  <c r="C29" i="6"/>
  <c r="C8" i="6"/>
  <c r="AH39" i="20"/>
  <c r="BW9" i="20"/>
  <c r="BS9" i="20"/>
  <c r="BX9" i="20"/>
  <c r="BT9" i="20"/>
  <c r="BU9" i="20"/>
  <c r="BV9" i="20"/>
  <c r="AD39" i="20"/>
  <c r="Z27" i="20" s="1"/>
  <c r="BJ39" i="20"/>
  <c r="BF27" i="20" l="1"/>
  <c r="I10" i="18" s="1"/>
  <c r="D29" i="18" s="1"/>
  <c r="A29" i="24"/>
  <c r="B4" i="24"/>
  <c r="A30" i="24"/>
  <c r="F4" i="24"/>
  <c r="I13" i="3"/>
  <c r="J13" i="3" s="1"/>
  <c r="I11" i="3"/>
  <c r="AL27" i="20"/>
  <c r="AX15" i="20" s="1"/>
  <c r="I10" i="17" s="1"/>
  <c r="S29" i="6"/>
  <c r="D12" i="3"/>
  <c r="J9" i="3"/>
  <c r="D9" i="3"/>
  <c r="I10" i="3"/>
  <c r="J10" i="3" s="1"/>
  <c r="D10" i="3" s="1"/>
  <c r="E10" i="14"/>
  <c r="D27" i="14" s="1"/>
  <c r="I10" i="14"/>
  <c r="D29" i="14" s="1"/>
  <c r="S50" i="6"/>
  <c r="AF71" i="6"/>
  <c r="N15" i="20"/>
  <c r="E10" i="17" s="1"/>
  <c r="F4" i="25" l="1"/>
  <c r="A30" i="25"/>
  <c r="E10" i="18"/>
  <c r="D27" i="18" s="1"/>
  <c r="A29" i="25"/>
  <c r="B4" i="25"/>
  <c r="F4" i="26"/>
  <c r="A30" i="26"/>
  <c r="D27" i="17"/>
  <c r="A29" i="26"/>
  <c r="B4" i="26"/>
  <c r="D13" i="3"/>
  <c r="A42" i="20"/>
  <c r="J11" i="3"/>
  <c r="D11" i="3" s="1"/>
  <c r="G5" i="20"/>
  <c r="S71" i="6"/>
  <c r="AF92" i="6"/>
  <c r="D29" i="17"/>
  <c r="G4" i="20"/>
  <c r="W9" i="20"/>
  <c r="A24" i="20"/>
  <c r="E14" i="3"/>
  <c r="I14" i="3" s="1"/>
  <c r="A18" i="20" l="1"/>
  <c r="A17" i="20"/>
  <c r="A16" i="20"/>
  <c r="A15" i="20"/>
  <c r="B24" i="3"/>
  <c r="AI2" i="20"/>
  <c r="C6" i="25"/>
  <c r="C6" i="26"/>
  <c r="C6" i="24"/>
  <c r="C9" i="17"/>
  <c r="C9" i="14"/>
  <c r="C9" i="18"/>
  <c r="A1" i="20"/>
  <c r="B11" i="20"/>
  <c r="C25" i="3"/>
  <c r="C29" i="3"/>
  <c r="C33" i="3"/>
  <c r="C37" i="3"/>
  <c r="C45" i="3"/>
  <c r="C24" i="3"/>
  <c r="C28" i="3"/>
  <c r="C32" i="3"/>
  <c r="C36" i="3"/>
  <c r="C40" i="3"/>
  <c r="C44" i="3"/>
  <c r="C48" i="3"/>
  <c r="C39" i="3"/>
  <c r="C47" i="3"/>
  <c r="C27" i="3"/>
  <c r="C31" i="3"/>
  <c r="C35" i="3"/>
  <c r="C43" i="3"/>
  <c r="C51" i="3"/>
  <c r="C26" i="3"/>
  <c r="C30" i="3"/>
  <c r="C34" i="3"/>
  <c r="C38" i="3"/>
  <c r="C42" i="3"/>
  <c r="C46" i="3"/>
  <c r="C50" i="3"/>
  <c r="C41" i="3"/>
  <c r="C49" i="3"/>
  <c r="B26" i="3"/>
  <c r="Q26" i="3" s="1"/>
  <c r="B34" i="3"/>
  <c r="Q34" i="3" s="1"/>
  <c r="B42" i="3"/>
  <c r="Q42" i="3" s="1"/>
  <c r="B50" i="3"/>
  <c r="Q50" i="3" s="1"/>
  <c r="B27" i="3"/>
  <c r="Q27" i="3" s="1"/>
  <c r="B29" i="3"/>
  <c r="Q29" i="3" s="1"/>
  <c r="B32" i="3"/>
  <c r="Q32" i="3" s="1"/>
  <c r="B35" i="3"/>
  <c r="Q35" i="3" s="1"/>
  <c r="B37" i="3"/>
  <c r="Q37" i="3" s="1"/>
  <c r="B40" i="3"/>
  <c r="Q40" i="3" s="1"/>
  <c r="B43" i="3"/>
  <c r="Q43" i="3" s="1"/>
  <c r="B45" i="3"/>
  <c r="Q45" i="3" s="1"/>
  <c r="B48" i="3"/>
  <c r="Q48" i="3" s="1"/>
  <c r="B51" i="3"/>
  <c r="Q51" i="3" s="1"/>
  <c r="B30" i="3"/>
  <c r="Q30" i="3" s="1"/>
  <c r="B38" i="3"/>
  <c r="Q38" i="3" s="1"/>
  <c r="B46" i="3"/>
  <c r="Q46" i="3" s="1"/>
  <c r="S50" i="11"/>
  <c r="B25" i="3"/>
  <c r="Q25" i="3" s="1"/>
  <c r="B28" i="3"/>
  <c r="Q28" i="3" s="1"/>
  <c r="B31" i="3"/>
  <c r="Q31" i="3" s="1"/>
  <c r="B33" i="3"/>
  <c r="Q33" i="3" s="1"/>
  <c r="B36" i="3"/>
  <c r="Q36" i="3" s="1"/>
  <c r="B39" i="3"/>
  <c r="Q39" i="3" s="1"/>
  <c r="B41" i="3"/>
  <c r="Q41" i="3" s="1"/>
  <c r="B44" i="3"/>
  <c r="Q44" i="3" s="1"/>
  <c r="B47" i="3"/>
  <c r="Q47" i="3" s="1"/>
  <c r="B49" i="3"/>
  <c r="Q49" i="3" s="1"/>
  <c r="AQ9" i="20"/>
  <c r="AQ5" i="20"/>
  <c r="Y5" i="20"/>
  <c r="AQ4" i="20"/>
  <c r="Y4" i="20"/>
  <c r="M8" i="6"/>
  <c r="AC155" i="6" s="1"/>
  <c r="C40" i="7"/>
  <c r="S92" i="6"/>
  <c r="AF113" i="6"/>
  <c r="A11" i="20"/>
  <c r="H4" i="20"/>
  <c r="AE4" i="20" s="1"/>
  <c r="S48" i="11"/>
  <c r="H5" i="20"/>
  <c r="AE5" i="20" s="1"/>
  <c r="G6" i="20"/>
  <c r="AQ6" i="20" s="1"/>
  <c r="G7" i="20"/>
  <c r="Y7" i="20" s="1"/>
  <c r="A58" i="20"/>
  <c r="B22" i="9" s="1"/>
  <c r="J14" i="3"/>
  <c r="G14" i="3"/>
  <c r="F14" i="3"/>
  <c r="A37" i="21" l="1"/>
  <c r="B14" i="21"/>
  <c r="L23" i="3"/>
  <c r="N38" i="3"/>
  <c r="M38" i="3"/>
  <c r="K38" i="3"/>
  <c r="O38" i="3"/>
  <c r="L38" i="3"/>
  <c r="P38" i="3"/>
  <c r="K39" i="3"/>
  <c r="O39" i="3"/>
  <c r="L39" i="3"/>
  <c r="P39" i="3"/>
  <c r="N39" i="3"/>
  <c r="M39" i="3"/>
  <c r="L20" i="3"/>
  <c r="P20" i="3"/>
  <c r="K20" i="3"/>
  <c r="M20" i="3"/>
  <c r="O20" i="3"/>
  <c r="N20" i="3"/>
  <c r="N50" i="3"/>
  <c r="K50" i="3"/>
  <c r="O50" i="3"/>
  <c r="L50" i="3"/>
  <c r="P50" i="3"/>
  <c r="M50" i="3"/>
  <c r="N34" i="3"/>
  <c r="K34" i="3"/>
  <c r="O34" i="3"/>
  <c r="L34" i="3"/>
  <c r="P34" i="3"/>
  <c r="M34" i="3"/>
  <c r="K51" i="3"/>
  <c r="O51" i="3"/>
  <c r="L51" i="3"/>
  <c r="P51" i="3"/>
  <c r="M51" i="3"/>
  <c r="N51" i="3"/>
  <c r="K27" i="3"/>
  <c r="O27" i="3"/>
  <c r="N27" i="3"/>
  <c r="L27" i="3"/>
  <c r="P27" i="3"/>
  <c r="M27" i="3"/>
  <c r="L48" i="3"/>
  <c r="P48" i="3"/>
  <c r="K48" i="3"/>
  <c r="M48" i="3"/>
  <c r="N48" i="3"/>
  <c r="O48" i="3"/>
  <c r="L32" i="3"/>
  <c r="P32" i="3"/>
  <c r="K32" i="3"/>
  <c r="M32" i="3"/>
  <c r="N32" i="3"/>
  <c r="O32" i="3"/>
  <c r="M45" i="3"/>
  <c r="N45" i="3"/>
  <c r="L45" i="3"/>
  <c r="K45" i="3"/>
  <c r="O45" i="3"/>
  <c r="P45" i="3"/>
  <c r="M25" i="3"/>
  <c r="L25" i="3"/>
  <c r="N25" i="3"/>
  <c r="P25" i="3"/>
  <c r="K25" i="3"/>
  <c r="O25" i="3"/>
  <c r="K31" i="3"/>
  <c r="O31" i="3"/>
  <c r="L31" i="3"/>
  <c r="P31" i="3"/>
  <c r="N31" i="3"/>
  <c r="M31" i="3"/>
  <c r="N46" i="3"/>
  <c r="M46" i="3"/>
  <c r="K46" i="3"/>
  <c r="O46" i="3"/>
  <c r="L46" i="3"/>
  <c r="P46" i="3"/>
  <c r="N30" i="3"/>
  <c r="K30" i="3"/>
  <c r="O30" i="3"/>
  <c r="L30" i="3"/>
  <c r="P30" i="3"/>
  <c r="M30" i="3"/>
  <c r="K43" i="3"/>
  <c r="O43" i="3"/>
  <c r="L43" i="3"/>
  <c r="P43" i="3"/>
  <c r="N43" i="3"/>
  <c r="M43" i="3"/>
  <c r="L44" i="3"/>
  <c r="P44" i="3"/>
  <c r="O44" i="3"/>
  <c r="M44" i="3"/>
  <c r="N44" i="3"/>
  <c r="K44" i="3"/>
  <c r="L28" i="3"/>
  <c r="P28" i="3"/>
  <c r="O28" i="3"/>
  <c r="M28" i="3"/>
  <c r="K28" i="3"/>
  <c r="N28" i="3"/>
  <c r="M37" i="3"/>
  <c r="N37" i="3"/>
  <c r="L37" i="3"/>
  <c r="K37" i="3"/>
  <c r="O37" i="3"/>
  <c r="P37" i="3"/>
  <c r="M21" i="3"/>
  <c r="L21" i="3"/>
  <c r="N21" i="3"/>
  <c r="P21" i="3"/>
  <c r="K21" i="3"/>
  <c r="O21" i="3"/>
  <c r="M41" i="3"/>
  <c r="L41" i="3"/>
  <c r="N41" i="3"/>
  <c r="P41" i="3"/>
  <c r="K41" i="3"/>
  <c r="O41" i="3"/>
  <c r="N22" i="3"/>
  <c r="M22" i="3"/>
  <c r="K22" i="3"/>
  <c r="O22" i="3"/>
  <c r="L22" i="3"/>
  <c r="P22" i="3"/>
  <c r="L36" i="3"/>
  <c r="P36" i="3"/>
  <c r="O36" i="3"/>
  <c r="M36" i="3"/>
  <c r="N36" i="3"/>
  <c r="K36" i="3"/>
  <c r="M29" i="3"/>
  <c r="L29" i="3"/>
  <c r="N29" i="3"/>
  <c r="P29" i="3"/>
  <c r="K29" i="3"/>
  <c r="O29" i="3"/>
  <c r="M49" i="3"/>
  <c r="P49" i="3"/>
  <c r="N49" i="3"/>
  <c r="L49" i="3"/>
  <c r="K49" i="3"/>
  <c r="O49" i="3"/>
  <c r="N42" i="3"/>
  <c r="K42" i="3"/>
  <c r="O42" i="3"/>
  <c r="L42" i="3"/>
  <c r="P42" i="3"/>
  <c r="M42" i="3"/>
  <c r="N26" i="3"/>
  <c r="M26" i="3"/>
  <c r="K26" i="3"/>
  <c r="O26" i="3"/>
  <c r="L26" i="3"/>
  <c r="P26" i="3"/>
  <c r="K35" i="3"/>
  <c r="O35" i="3"/>
  <c r="N35" i="3"/>
  <c r="L35" i="3"/>
  <c r="P35" i="3"/>
  <c r="M35" i="3"/>
  <c r="K47" i="3"/>
  <c r="O47" i="3"/>
  <c r="L47" i="3"/>
  <c r="P47" i="3"/>
  <c r="M47" i="3"/>
  <c r="N47" i="3"/>
  <c r="L40" i="3"/>
  <c r="P40" i="3"/>
  <c r="K40" i="3"/>
  <c r="M40" i="3"/>
  <c r="N40" i="3"/>
  <c r="O40" i="3"/>
  <c r="L24" i="3"/>
  <c r="P24" i="3"/>
  <c r="K24" i="3"/>
  <c r="M24" i="3"/>
  <c r="O24" i="3"/>
  <c r="N24" i="3"/>
  <c r="M33" i="3"/>
  <c r="P33" i="3"/>
  <c r="N33" i="3"/>
  <c r="L33" i="3"/>
  <c r="K33" i="3"/>
  <c r="O33" i="3"/>
  <c r="D31" i="3"/>
  <c r="D45" i="3"/>
  <c r="D42" i="3"/>
  <c r="D49" i="3"/>
  <c r="D39" i="3"/>
  <c r="D28" i="3"/>
  <c r="D43" i="3"/>
  <c r="D32" i="3"/>
  <c r="D34" i="3"/>
  <c r="D35" i="3"/>
  <c r="D47" i="3"/>
  <c r="D36" i="3"/>
  <c r="D25" i="3"/>
  <c r="D46" i="3"/>
  <c r="D51" i="3"/>
  <c r="D40" i="3"/>
  <c r="D29" i="3"/>
  <c r="D26" i="3"/>
  <c r="D41" i="3"/>
  <c r="D30" i="3"/>
  <c r="D44" i="3"/>
  <c r="D33" i="3"/>
  <c r="D38" i="3"/>
  <c r="D48" i="3"/>
  <c r="D37" i="3"/>
  <c r="D27" i="3"/>
  <c r="D50" i="3"/>
  <c r="U51" i="11"/>
  <c r="U50" i="11"/>
  <c r="U48" i="11"/>
  <c r="S51" i="11"/>
  <c r="U47" i="11"/>
  <c r="U45" i="11"/>
  <c r="S53" i="11"/>
  <c r="U52" i="11"/>
  <c r="U49" i="11"/>
  <c r="U46" i="11"/>
  <c r="U53" i="11"/>
  <c r="S52" i="11"/>
  <c r="S49" i="11"/>
  <c r="Y6" i="20"/>
  <c r="AQ7" i="20"/>
  <c r="C41" i="7"/>
  <c r="M365" i="6"/>
  <c r="AC92" i="6"/>
  <c r="AC29" i="6"/>
  <c r="AC134" i="6"/>
  <c r="M344" i="6"/>
  <c r="AC344" i="6"/>
  <c r="AC8" i="6"/>
  <c r="AC50" i="6"/>
  <c r="M113" i="6"/>
  <c r="M155" i="6"/>
  <c r="AC365" i="6"/>
  <c r="M29" i="6"/>
  <c r="M50" i="6"/>
  <c r="AC71" i="6"/>
  <c r="M71" i="6"/>
  <c r="M92" i="6"/>
  <c r="AC113" i="6"/>
  <c r="M134" i="6"/>
  <c r="W50" i="11"/>
  <c r="W47" i="11"/>
  <c r="G36" i="3"/>
  <c r="W48" i="11"/>
  <c r="W46" i="11"/>
  <c r="W53" i="11"/>
  <c r="W51" i="11"/>
  <c r="W52" i="11"/>
  <c r="E37" i="3"/>
  <c r="F37" i="3" s="1"/>
  <c r="W49" i="11"/>
  <c r="W45" i="11"/>
  <c r="U54" i="11"/>
  <c r="W44" i="11"/>
  <c r="U44" i="11"/>
  <c r="E46" i="3"/>
  <c r="F46" i="3" s="1"/>
  <c r="E33" i="3"/>
  <c r="G33" i="3" s="1"/>
  <c r="G46" i="3"/>
  <c r="F35" i="3"/>
  <c r="F25" i="3"/>
  <c r="E42" i="3"/>
  <c r="F42" i="3" s="1"/>
  <c r="E28" i="3"/>
  <c r="F28" i="3" s="1"/>
  <c r="S113" i="6"/>
  <c r="AF134" i="6"/>
  <c r="G47" i="3"/>
  <c r="D14" i="3"/>
  <c r="G42" i="3"/>
  <c r="E35" i="3"/>
  <c r="G35" i="3" s="1"/>
  <c r="G50" i="3"/>
  <c r="E18" i="3"/>
  <c r="E31" i="3"/>
  <c r="G31" i="3" s="1"/>
  <c r="G49" i="3"/>
  <c r="E16" i="3"/>
  <c r="G16" i="3" s="1"/>
  <c r="G51" i="3"/>
  <c r="E41" i="3"/>
  <c r="F41" i="3" s="1"/>
  <c r="E21" i="3"/>
  <c r="E49" i="3"/>
  <c r="F49" i="3" s="1"/>
  <c r="G27" i="3"/>
  <c r="G40" i="3"/>
  <c r="E34" i="3"/>
  <c r="G34" i="3" s="1"/>
  <c r="F33" i="3"/>
  <c r="F29" i="3"/>
  <c r="E25" i="3"/>
  <c r="I25" i="3" s="1"/>
  <c r="G25" i="3"/>
  <c r="E15" i="3"/>
  <c r="F15" i="3" s="1"/>
  <c r="E29" i="3"/>
  <c r="G29" i="3" s="1"/>
  <c r="G26" i="3"/>
  <c r="E26" i="3"/>
  <c r="F26" i="3" s="1"/>
  <c r="F34" i="3"/>
  <c r="E51" i="3"/>
  <c r="F51" i="3" s="1"/>
  <c r="E44" i="3"/>
  <c r="F44" i="3" s="1"/>
  <c r="G45" i="3"/>
  <c r="E20" i="3"/>
  <c r="E19" i="3"/>
  <c r="E45" i="3"/>
  <c r="F45" i="3" s="1"/>
  <c r="G41" i="3"/>
  <c r="E17" i="3"/>
  <c r="E50" i="3"/>
  <c r="F50" i="3" s="1"/>
  <c r="G28" i="3"/>
  <c r="E24" i="3"/>
  <c r="F24" i="3" s="1"/>
  <c r="E27" i="3"/>
  <c r="F27" i="3" s="1"/>
  <c r="E40" i="3"/>
  <c r="F40" i="3" s="1"/>
  <c r="E47" i="3"/>
  <c r="F47" i="3" s="1"/>
  <c r="E23" i="3"/>
  <c r="F23" i="3" s="1"/>
  <c r="G48" i="3"/>
  <c r="E39" i="3"/>
  <c r="F39" i="3" s="1"/>
  <c r="F31" i="3"/>
  <c r="E22" i="3"/>
  <c r="F22" i="3" s="1"/>
  <c r="E36" i="3"/>
  <c r="F36" i="3" s="1"/>
  <c r="G30" i="3"/>
  <c r="G44" i="3"/>
  <c r="E32" i="3"/>
  <c r="G32" i="3" s="1"/>
  <c r="F30" i="3"/>
  <c r="E30" i="3"/>
  <c r="I30" i="3" s="1"/>
  <c r="E43" i="3"/>
  <c r="F43" i="3" s="1"/>
  <c r="G43" i="3"/>
  <c r="E48" i="3"/>
  <c r="F48" i="3" s="1"/>
  <c r="F32" i="3"/>
  <c r="G37" i="3"/>
  <c r="G39" i="3"/>
  <c r="E38" i="3"/>
  <c r="G38" i="3" s="1"/>
  <c r="H6" i="20"/>
  <c r="AE6" i="20" s="1"/>
  <c r="H7" i="20"/>
  <c r="AE7" i="20" s="1"/>
  <c r="F38" i="3"/>
  <c r="B16" i="21" l="1"/>
  <c r="G24" i="3"/>
  <c r="Q24" i="3"/>
  <c r="N23" i="3"/>
  <c r="O23" i="3"/>
  <c r="K23" i="3"/>
  <c r="P23" i="3"/>
  <c r="M23" i="3"/>
  <c r="G23" i="3"/>
  <c r="F21" i="3"/>
  <c r="Q22" i="3"/>
  <c r="G22" i="3"/>
  <c r="Q21" i="3"/>
  <c r="G21" i="3"/>
  <c r="Q20" i="3"/>
  <c r="F20" i="3"/>
  <c r="G20" i="3"/>
  <c r="I24" i="3" s="1"/>
  <c r="G19" i="3"/>
  <c r="K19" i="3"/>
  <c r="O19" i="3"/>
  <c r="L19" i="3"/>
  <c r="P19" i="3"/>
  <c r="N19" i="3"/>
  <c r="M19" i="3"/>
  <c r="F19" i="3"/>
  <c r="F18" i="3"/>
  <c r="G18" i="3"/>
  <c r="F17" i="3"/>
  <c r="N62" i="21"/>
  <c r="O62" i="21" s="1"/>
  <c r="B63" i="21" s="1"/>
  <c r="G17" i="3"/>
  <c r="I37" i="3"/>
  <c r="I31" i="3"/>
  <c r="I46" i="3"/>
  <c r="I33" i="3"/>
  <c r="I28" i="3"/>
  <c r="I42" i="3"/>
  <c r="I29" i="3"/>
  <c r="I41" i="3"/>
  <c r="F16" i="3"/>
  <c r="S134" i="6"/>
  <c r="AF155" i="6"/>
  <c r="I36" i="3"/>
  <c r="G15" i="3"/>
  <c r="I16" i="3" s="1"/>
  <c r="I49" i="3"/>
  <c r="I50" i="3"/>
  <c r="I35" i="3"/>
  <c r="I34" i="3"/>
  <c r="I44" i="3"/>
  <c r="I47" i="3"/>
  <c r="I15" i="3"/>
  <c r="J15" i="3" s="1"/>
  <c r="D15" i="3" s="1"/>
  <c r="I26" i="3"/>
  <c r="I51" i="3"/>
  <c r="I45" i="3"/>
  <c r="I27" i="3"/>
  <c r="I39" i="3"/>
  <c r="I40" i="3"/>
  <c r="I48" i="3"/>
  <c r="I43" i="3"/>
  <c r="I38" i="3"/>
  <c r="I32" i="3"/>
  <c r="Q23" i="3" l="1"/>
  <c r="I22" i="3"/>
  <c r="I23" i="3"/>
  <c r="I21" i="3"/>
  <c r="I20" i="3"/>
  <c r="I19" i="3"/>
  <c r="Q19" i="3"/>
  <c r="I18" i="3"/>
  <c r="E32" i="11"/>
  <c r="I17" i="3"/>
  <c r="J16" i="3"/>
  <c r="D16" i="3" s="1"/>
  <c r="S155" i="6"/>
  <c r="P344" i="6"/>
  <c r="J17" i="3" l="1"/>
  <c r="J18" i="3" s="1"/>
  <c r="D18" i="3" s="1"/>
  <c r="C344" i="6"/>
  <c r="P365" i="6"/>
  <c r="C365" i="6" s="1"/>
  <c r="J19" i="3" l="1"/>
  <c r="J20" i="3" s="1"/>
  <c r="D20" i="3" s="1"/>
  <c r="D19" i="3" l="1"/>
  <c r="J21" i="3"/>
  <c r="D21" i="3" s="1"/>
  <c r="J22" i="3" l="1"/>
  <c r="D22" i="3" s="1"/>
  <c r="J23" i="3" l="1"/>
  <c r="D23" i="3" s="1"/>
  <c r="J24" i="3" l="1"/>
  <c r="D24" i="3" s="1"/>
  <c r="AL11" i="20" s="1"/>
  <c r="J25" i="3" l="1"/>
  <c r="J26" i="3" l="1"/>
  <c r="J27" i="3" l="1"/>
  <c r="J28" i="3" l="1"/>
  <c r="J29" i="3" l="1"/>
  <c r="J30" i="3" l="1"/>
  <c r="J31" i="3" l="1"/>
  <c r="J32" i="3" l="1"/>
  <c r="J33" i="3" l="1"/>
  <c r="J34" i="3" l="1"/>
  <c r="J35" i="3" l="1"/>
  <c r="J36" i="3" l="1"/>
  <c r="J37" i="3" l="1"/>
  <c r="J38" i="3" l="1"/>
  <c r="J39" i="3" l="1"/>
  <c r="J40" i="3" l="1"/>
  <c r="J41" i="3" l="1"/>
  <c r="J42" i="3" l="1"/>
  <c r="J43" i="3" l="1"/>
  <c r="J44" i="3" l="1"/>
  <c r="J45" i="3" l="1"/>
  <c r="J46" i="3" l="1"/>
  <c r="J47" i="3" l="1"/>
  <c r="J48" i="3" l="1"/>
  <c r="J49" i="3" l="1"/>
  <c r="J50" i="3" l="1"/>
  <c r="J51" i="3" l="1"/>
</calcChain>
</file>

<file path=xl/sharedStrings.xml><?xml version="1.0" encoding="utf-8"?>
<sst xmlns="http://schemas.openxmlformats.org/spreadsheetml/2006/main" count="1298" uniqueCount="554">
  <si>
    <t>能登地区</t>
    <rPh sb="0" eb="2">
      <t>ノト</t>
    </rPh>
    <rPh sb="2" eb="4">
      <t>チク</t>
    </rPh>
    <phoneticPr fontId="3"/>
  </si>
  <si>
    <t>金沢市</t>
    <rPh sb="0" eb="3">
      <t>カナザワシ</t>
    </rPh>
    <phoneticPr fontId="3"/>
  </si>
  <si>
    <t>星稜</t>
    <rPh sb="0" eb="2">
      <t>セイリョウ</t>
    </rPh>
    <phoneticPr fontId="3"/>
  </si>
  <si>
    <t>予選地区</t>
    <rPh sb="0" eb="2">
      <t>ヨセン</t>
    </rPh>
    <rPh sb="2" eb="4">
      <t>チク</t>
    </rPh>
    <phoneticPr fontId="3"/>
  </si>
  <si>
    <t>順位</t>
    <rPh sb="0" eb="2">
      <t>ジュンイ</t>
    </rPh>
    <phoneticPr fontId="3"/>
  </si>
  <si>
    <t>学校名</t>
    <rPh sb="0" eb="3">
      <t>ガッコウメイ</t>
    </rPh>
    <phoneticPr fontId="3"/>
  </si>
  <si>
    <t>～立</t>
    <rPh sb="1" eb="2">
      <t>リツ</t>
    </rPh>
    <phoneticPr fontId="3"/>
  </si>
  <si>
    <t>その他</t>
    <rPh sb="2" eb="3">
      <t>タ</t>
    </rPh>
    <phoneticPr fontId="3"/>
  </si>
  <si>
    <t>郡市名</t>
    <rPh sb="0" eb="2">
      <t>グンシ</t>
    </rPh>
    <rPh sb="2" eb="3">
      <t>メイ</t>
    </rPh>
    <phoneticPr fontId="3"/>
  </si>
  <si>
    <t>羽咋郡</t>
    <rPh sb="0" eb="3">
      <t>ハクイグン</t>
    </rPh>
    <phoneticPr fontId="3"/>
  </si>
  <si>
    <t>１位</t>
  </si>
  <si>
    <t>２位</t>
  </si>
  <si>
    <t>３位</t>
  </si>
  <si>
    <t>５位</t>
  </si>
  <si>
    <t>1日目</t>
    <rPh sb="1" eb="3">
      <t>ニチメ</t>
    </rPh>
    <phoneticPr fontId="3"/>
  </si>
  <si>
    <t>2日目</t>
    <rPh sb="1" eb="3">
      <t>ニチメ</t>
    </rPh>
    <phoneticPr fontId="3"/>
  </si>
  <si>
    <t>3日目</t>
    <rPh sb="1" eb="3">
      <t>ニチメ</t>
    </rPh>
    <phoneticPr fontId="3"/>
  </si>
  <si>
    <t>ブロック</t>
    <phoneticPr fontId="3"/>
  </si>
  <si>
    <t>地区＋順位</t>
    <rPh sb="0" eb="2">
      <t>チク</t>
    </rPh>
    <rPh sb="3" eb="5">
      <t>ジュンイ</t>
    </rPh>
    <phoneticPr fontId="3"/>
  </si>
  <si>
    <t>正式学校名</t>
    <rPh sb="0" eb="2">
      <t>セイシキ</t>
    </rPh>
    <rPh sb="2" eb="5">
      <t>ガッコウメイ</t>
    </rPh>
    <phoneticPr fontId="3"/>
  </si>
  <si>
    <t>能登ブロック</t>
    <rPh sb="0" eb="2">
      <t>ノト</t>
    </rPh>
    <phoneticPr fontId="3"/>
  </si>
  <si>
    <t>北加賀ブロック</t>
    <rPh sb="0" eb="3">
      <t>キタカガ</t>
    </rPh>
    <phoneticPr fontId="3"/>
  </si>
  <si>
    <t>南加賀ブロック</t>
    <rPh sb="0" eb="1">
      <t>ミナミ</t>
    </rPh>
    <rPh sb="1" eb="3">
      <t>カガ</t>
    </rPh>
    <phoneticPr fontId="3"/>
  </si>
  <si>
    <t>回</t>
    <rPh sb="0" eb="1">
      <t>カイ</t>
    </rPh>
    <phoneticPr fontId="3"/>
  </si>
  <si>
    <t>松任</t>
    <rPh sb="0" eb="2">
      <t>マットウ</t>
    </rPh>
    <phoneticPr fontId="3"/>
  </si>
  <si>
    <t>附属</t>
    <rPh sb="0" eb="2">
      <t>フゾク</t>
    </rPh>
    <phoneticPr fontId="3"/>
  </si>
  <si>
    <t>押水</t>
    <rPh sb="0" eb="2">
      <t>オシミズ</t>
    </rPh>
    <phoneticPr fontId="3"/>
  </si>
  <si>
    <t>優勝：</t>
    <rPh sb="0" eb="2">
      <t>ユウショウ</t>
    </rPh>
    <phoneticPr fontId="3"/>
  </si>
  <si>
    <t>領　収　証</t>
    <rPh sb="0" eb="1">
      <t>リョウ</t>
    </rPh>
    <rPh sb="2" eb="3">
      <t>オサム</t>
    </rPh>
    <rPh sb="4" eb="5">
      <t>ショウ</t>
    </rPh>
    <phoneticPr fontId="3"/>
  </si>
  <si>
    <t>金額</t>
    <rPh sb="0" eb="2">
      <t>キンガク</t>
    </rPh>
    <phoneticPr fontId="3"/>
  </si>
  <si>
    <t>円</t>
    <rPh sb="0" eb="1">
      <t>エン</t>
    </rPh>
    <phoneticPr fontId="3"/>
  </si>
  <si>
    <t>但し</t>
    <rPh sb="0" eb="1">
      <t>タダ</t>
    </rPh>
    <phoneticPr fontId="3"/>
  </si>
  <si>
    <t>上記のとおり領収いたしました。</t>
    <rPh sb="0" eb="2">
      <t>ジョウキ</t>
    </rPh>
    <rPh sb="6" eb="8">
      <t>リョウシュウ</t>
    </rPh>
    <phoneticPr fontId="3"/>
  </si>
  <si>
    <t>石川県中体連サッカー競技部</t>
    <rPh sb="0" eb="3">
      <t>イシカワケン</t>
    </rPh>
    <rPh sb="3" eb="6">
      <t>チュウタイレン</t>
    </rPh>
    <rPh sb="10" eb="12">
      <t>キョウギ</t>
    </rPh>
    <rPh sb="12" eb="13">
      <t>ブ</t>
    </rPh>
    <phoneticPr fontId="3"/>
  </si>
  <si>
    <r>
      <t>専門委員長　　</t>
    </r>
    <r>
      <rPr>
        <sz val="20"/>
        <rFont val="HG丸ｺﾞｼｯｸM-PRO"/>
        <family val="3"/>
        <charset val="128"/>
      </rPr>
      <t>木 元　正 樹</t>
    </r>
    <rPh sb="0" eb="2">
      <t>センモン</t>
    </rPh>
    <rPh sb="2" eb="4">
      <t>イイン</t>
    </rPh>
    <rPh sb="4" eb="5">
      <t>ナガ</t>
    </rPh>
    <rPh sb="7" eb="8">
      <t>キ</t>
    </rPh>
    <rPh sb="9" eb="10">
      <t>モト</t>
    </rPh>
    <rPh sb="11" eb="12">
      <t>セイ</t>
    </rPh>
    <rPh sb="13" eb="14">
      <t>キ</t>
    </rPh>
    <phoneticPr fontId="3"/>
  </si>
  <si>
    <t>津幡南</t>
    <rPh sb="0" eb="2">
      <t>ツバタ</t>
    </rPh>
    <rPh sb="2" eb="3">
      <t>ミナミ</t>
    </rPh>
    <phoneticPr fontId="3"/>
  </si>
  <si>
    <t>南部</t>
    <rPh sb="0" eb="2">
      <t>ナンブ</t>
    </rPh>
    <phoneticPr fontId="3"/>
  </si>
  <si>
    <t>野々市</t>
    <rPh sb="0" eb="3">
      <t>ノノイチ</t>
    </rPh>
    <phoneticPr fontId="3"/>
  </si>
  <si>
    <t>河北郡</t>
    <rPh sb="0" eb="2">
      <t>カホク</t>
    </rPh>
    <rPh sb="2" eb="3">
      <t>グン</t>
    </rPh>
    <phoneticPr fontId="3"/>
  </si>
  <si>
    <t>白山市</t>
    <rPh sb="0" eb="2">
      <t>ハクサン</t>
    </rPh>
    <rPh sb="2" eb="3">
      <t>シ</t>
    </rPh>
    <phoneticPr fontId="3"/>
  </si>
  <si>
    <t>小松市</t>
    <rPh sb="0" eb="2">
      <t>コマツ</t>
    </rPh>
    <rPh sb="2" eb="3">
      <t>シ</t>
    </rPh>
    <phoneticPr fontId="3"/>
  </si>
  <si>
    <t>石川郡</t>
    <rPh sb="0" eb="3">
      <t>イシカワグン</t>
    </rPh>
    <phoneticPr fontId="3"/>
  </si>
  <si>
    <t>主催</t>
    <rPh sb="0" eb="2">
      <t>シュサイ</t>
    </rPh>
    <phoneticPr fontId="3"/>
  </si>
  <si>
    <t>共催</t>
    <rPh sb="0" eb="2">
      <t>キョウサイ</t>
    </rPh>
    <phoneticPr fontId="3"/>
  </si>
  <si>
    <t>後援</t>
    <rPh sb="0" eb="2">
      <t>コウエン</t>
    </rPh>
    <phoneticPr fontId="3"/>
  </si>
  <si>
    <t>主管</t>
    <rPh sb="0" eb="2">
      <t>シュカン</t>
    </rPh>
    <phoneticPr fontId="3"/>
  </si>
  <si>
    <t>閉 会 式</t>
    <phoneticPr fontId="3"/>
  </si>
  <si>
    <t>石川県中学校体育連盟</t>
    <phoneticPr fontId="3"/>
  </si>
  <si>
    <t>白山市体育協会</t>
    <phoneticPr fontId="3"/>
  </si>
  <si>
    <t>加賀地区中学校体育連盟</t>
    <phoneticPr fontId="3"/>
  </si>
  <si>
    <t>北國新聞社</t>
    <phoneticPr fontId="3"/>
  </si>
  <si>
    <t>(土)</t>
    <rPh sb="1" eb="2">
      <t>ツチ</t>
    </rPh>
    <phoneticPr fontId="3"/>
  </si>
  <si>
    <t>(日)</t>
    <rPh sb="1" eb="2">
      <t>ニチ</t>
    </rPh>
    <phoneticPr fontId="3"/>
  </si>
  <si>
    <t>(予定)</t>
    <rPh sb="1" eb="3">
      <t>ヨテイ</t>
    </rPh>
    <phoneticPr fontId="3"/>
  </si>
  <si>
    <t>(3日間とも)</t>
    <rPh sb="2" eb="4">
      <t>ニチカン</t>
    </rPh>
    <phoneticPr fontId="3"/>
  </si>
  <si>
    <t>白山・野々市</t>
    <rPh sb="0" eb="2">
      <t>ハクサン</t>
    </rPh>
    <phoneticPr fontId="3"/>
  </si>
  <si>
    <t>金沢市</t>
    <rPh sb="0" eb="2">
      <t>カナザワ</t>
    </rPh>
    <rPh sb="2" eb="3">
      <t>シ</t>
    </rPh>
    <phoneticPr fontId="3"/>
  </si>
  <si>
    <t>能美郡市</t>
    <rPh sb="0" eb="2">
      <t>ノウミ</t>
    </rPh>
    <rPh sb="2" eb="4">
      <t>グンシ</t>
    </rPh>
    <phoneticPr fontId="3"/>
  </si>
  <si>
    <t>石川県教育委員会教育長</t>
    <rPh sb="0" eb="3">
      <t>イシカワケン</t>
    </rPh>
    <rPh sb="3" eb="5">
      <t>キョウイク</t>
    </rPh>
    <rPh sb="5" eb="8">
      <t>イインカイ</t>
    </rPh>
    <rPh sb="8" eb="11">
      <t>キョウイクチョウ</t>
    </rPh>
    <phoneticPr fontId="3"/>
  </si>
  <si>
    <t>石川県中学校体育連盟会長</t>
    <rPh sb="0" eb="3">
      <t>イシカワケン</t>
    </rPh>
    <rPh sb="3" eb="6">
      <t>チュウガッコウ</t>
    </rPh>
    <rPh sb="6" eb="8">
      <t>タイイク</t>
    </rPh>
    <rPh sb="8" eb="10">
      <t>レンメイ</t>
    </rPh>
    <rPh sb="10" eb="12">
      <t>カイチョウ</t>
    </rPh>
    <phoneticPr fontId="3"/>
  </si>
  <si>
    <t>様</t>
    <rPh sb="0" eb="1">
      <t>サマ</t>
    </rPh>
    <phoneticPr fontId="3"/>
  </si>
  <si>
    <t>団体名</t>
    <rPh sb="0" eb="3">
      <t>ダンタイメイ</t>
    </rPh>
    <phoneticPr fontId="3"/>
  </si>
  <si>
    <t>代表者</t>
    <rPh sb="0" eb="3">
      <t>ダイヒョウシャ</t>
    </rPh>
    <phoneticPr fontId="3"/>
  </si>
  <si>
    <t>連絡先住所</t>
    <rPh sb="0" eb="3">
      <t>レンラクサキ</t>
    </rPh>
    <rPh sb="3" eb="5">
      <t>ジュウショ</t>
    </rPh>
    <phoneticPr fontId="3"/>
  </si>
  <si>
    <t>Tel.</t>
    <phoneticPr fontId="3"/>
  </si>
  <si>
    <t>０７６－２１８－９０００</t>
    <phoneticPr fontId="3"/>
  </si>
  <si>
    <t>記</t>
    <rPh sb="0" eb="1">
      <t>キ</t>
    </rPh>
    <phoneticPr fontId="3"/>
  </si>
  <si>
    <t>１．事業の名称</t>
    <rPh sb="2" eb="4">
      <t>ジギョウ</t>
    </rPh>
    <rPh sb="5" eb="7">
      <t>メイショウ</t>
    </rPh>
    <phoneticPr fontId="3"/>
  </si>
  <si>
    <t>４．参加者数</t>
    <rPh sb="2" eb="6">
      <t>サンカシャスウ</t>
    </rPh>
    <phoneticPr fontId="3"/>
  </si>
  <si>
    <t>６．事務取扱者連絡先</t>
    <rPh sb="2" eb="4">
      <t>ジム</t>
    </rPh>
    <rPh sb="4" eb="7">
      <t>トリアツカイシャ</t>
    </rPh>
    <rPh sb="7" eb="10">
      <t>レンラクサキ</t>
    </rPh>
    <phoneticPr fontId="3"/>
  </si>
  <si>
    <t>別紙大会要項のとおり</t>
    <rPh sb="0" eb="2">
      <t>ベッシ</t>
    </rPh>
    <rPh sb="2" eb="4">
      <t>タイカイ</t>
    </rPh>
    <rPh sb="4" eb="6">
      <t>ヨウコウ</t>
    </rPh>
    <phoneticPr fontId="3"/>
  </si>
  <si>
    <r>
      <t xml:space="preserve">一般社団法人 </t>
    </r>
    <r>
      <rPr>
        <sz val="14"/>
        <rFont val="ＭＳ Ｐ明朝"/>
        <family val="1"/>
        <charset val="128"/>
      </rPr>
      <t>石川県サッカー協会</t>
    </r>
    <rPh sb="0" eb="2">
      <t>イッパン</t>
    </rPh>
    <rPh sb="2" eb="6">
      <t>シャダンホウジン</t>
    </rPh>
    <rPh sb="7" eb="10">
      <t>イシカワケン</t>
    </rPh>
    <rPh sb="14" eb="16">
      <t>キョウカイ</t>
    </rPh>
    <phoneticPr fontId="3"/>
  </si>
  <si>
    <t>　標記の件について、承認のあった事業が下記の通りに終了致しましたので報告致します。</t>
    <rPh sb="1" eb="3">
      <t>ヒョウキ</t>
    </rPh>
    <rPh sb="4" eb="5">
      <t>ケン</t>
    </rPh>
    <rPh sb="10" eb="12">
      <t>ショウニン</t>
    </rPh>
    <rPh sb="16" eb="18">
      <t>ジギョウ</t>
    </rPh>
    <rPh sb="19" eb="21">
      <t>カキ</t>
    </rPh>
    <rPh sb="22" eb="23">
      <t>トオ</t>
    </rPh>
    <rPh sb="25" eb="27">
      <t>シュウリョウ</t>
    </rPh>
    <rPh sb="27" eb="28">
      <t>イタ</t>
    </rPh>
    <rPh sb="34" eb="36">
      <t>ホウコク</t>
    </rPh>
    <rPh sb="36" eb="37">
      <t>イタ</t>
    </rPh>
    <phoneticPr fontId="3"/>
  </si>
  <si>
    <t>　このことについて、下記のとおり貴教育委員会・連盟の共催名義をいただきたく、開催書類を添えて申請致します。</t>
    <rPh sb="10" eb="12">
      <t>カキ</t>
    </rPh>
    <rPh sb="16" eb="17">
      <t>キ</t>
    </rPh>
    <rPh sb="17" eb="19">
      <t>キョウイク</t>
    </rPh>
    <rPh sb="19" eb="22">
      <t>イインカイ</t>
    </rPh>
    <rPh sb="23" eb="25">
      <t>レンメイ</t>
    </rPh>
    <rPh sb="26" eb="28">
      <t>キョウサイ</t>
    </rPh>
    <rPh sb="28" eb="30">
      <t>メイギ</t>
    </rPh>
    <rPh sb="38" eb="40">
      <t>カイサイ</t>
    </rPh>
    <rPh sb="40" eb="42">
      <t>ショルイ</t>
    </rPh>
    <rPh sb="43" eb="44">
      <t>ソ</t>
    </rPh>
    <rPh sb="46" eb="49">
      <t>シンセイイタ</t>
    </rPh>
    <phoneticPr fontId="3"/>
  </si>
  <si>
    <t>２．事業の目的</t>
    <rPh sb="2" eb="4">
      <t>ジギョウ</t>
    </rPh>
    <rPh sb="5" eb="7">
      <t>モクテキ</t>
    </rPh>
    <phoneticPr fontId="3"/>
  </si>
  <si>
    <t>３．事業の主催</t>
    <rPh sb="2" eb="4">
      <t>ジギョウ</t>
    </rPh>
    <rPh sb="5" eb="7">
      <t>シュサイ</t>
    </rPh>
    <phoneticPr fontId="3"/>
  </si>
  <si>
    <t>４．事業の期日</t>
    <rPh sb="2" eb="4">
      <t>ジギョウ</t>
    </rPh>
    <rPh sb="5" eb="7">
      <t>キジツ</t>
    </rPh>
    <phoneticPr fontId="3"/>
  </si>
  <si>
    <t>５．開催場所等</t>
    <rPh sb="2" eb="4">
      <t>カイサイ</t>
    </rPh>
    <rPh sb="4" eb="6">
      <t>バショ</t>
    </rPh>
    <rPh sb="6" eb="7">
      <t>トウ</t>
    </rPh>
    <phoneticPr fontId="3"/>
  </si>
  <si>
    <t>５．事業の内容</t>
    <rPh sb="2" eb="4">
      <t>ジギョウ</t>
    </rPh>
    <rPh sb="5" eb="7">
      <t>ナイヨウ</t>
    </rPh>
    <phoneticPr fontId="3"/>
  </si>
  <si>
    <t>７．事業の内容</t>
    <rPh sb="2" eb="4">
      <t>ジギョウ</t>
    </rPh>
    <rPh sb="5" eb="7">
      <t>ナイヨウ</t>
    </rPh>
    <phoneticPr fontId="3"/>
  </si>
  <si>
    <t>６．事業の対象</t>
    <rPh sb="2" eb="4">
      <t>ジギョウ</t>
    </rPh>
    <rPh sb="5" eb="7">
      <t>タイショウ</t>
    </rPh>
    <phoneticPr fontId="3"/>
  </si>
  <si>
    <t>11．事務取扱者連絡先</t>
    <rPh sb="3" eb="5">
      <t>ジム</t>
    </rPh>
    <rPh sb="5" eb="8">
      <t>トリアツカイシャ</t>
    </rPh>
    <rPh sb="8" eb="11">
      <t>レンラクサキ</t>
    </rPh>
    <phoneticPr fontId="3"/>
  </si>
  <si>
    <t>８．他共催依頼先</t>
    <rPh sb="2" eb="3">
      <t>ホカ</t>
    </rPh>
    <rPh sb="3" eb="5">
      <t>キョウサイ</t>
    </rPh>
    <rPh sb="5" eb="8">
      <t>イライサキ</t>
    </rPh>
    <phoneticPr fontId="3"/>
  </si>
  <si>
    <t>なし</t>
    <phoneticPr fontId="3"/>
  </si>
  <si>
    <t>９．後援依頼先</t>
    <rPh sb="2" eb="4">
      <t>コウエン</t>
    </rPh>
    <rPh sb="4" eb="7">
      <t>イライサキ</t>
    </rPh>
    <phoneticPr fontId="3"/>
  </si>
  <si>
    <t>10．参加料徴収等</t>
    <rPh sb="3" eb="6">
      <t>サンカリョウ</t>
    </rPh>
    <rPh sb="6" eb="8">
      <t>チョウシュウ</t>
    </rPh>
    <rPh sb="8" eb="9">
      <t>ナド</t>
    </rPh>
    <phoneticPr fontId="3"/>
  </si>
  <si>
    <t>共 催 名 義 等 使 用 承 認 申 請 書</t>
    <rPh sb="0" eb="1">
      <t>トモ</t>
    </rPh>
    <rPh sb="2" eb="3">
      <t>サイ</t>
    </rPh>
    <rPh sb="4" eb="5">
      <t>ナ</t>
    </rPh>
    <rPh sb="6" eb="7">
      <t>ギ</t>
    </rPh>
    <rPh sb="8" eb="9">
      <t>ナド</t>
    </rPh>
    <rPh sb="10" eb="11">
      <t>シ</t>
    </rPh>
    <rPh sb="12" eb="13">
      <t>ヨウ</t>
    </rPh>
    <rPh sb="14" eb="15">
      <t>ショウ</t>
    </rPh>
    <rPh sb="16" eb="17">
      <t>ニン</t>
    </rPh>
    <rPh sb="18" eb="19">
      <t>サル</t>
    </rPh>
    <rPh sb="20" eb="21">
      <t>ショウ</t>
    </rPh>
    <rPh sb="22" eb="23">
      <t>ショ</t>
    </rPh>
    <phoneticPr fontId="3"/>
  </si>
  <si>
    <t>共 催 名 義 等 使 用 事 業 報 告 書</t>
    <rPh sb="0" eb="1">
      <t>トモ</t>
    </rPh>
    <rPh sb="2" eb="3">
      <t>サイ</t>
    </rPh>
    <rPh sb="4" eb="5">
      <t>ナ</t>
    </rPh>
    <rPh sb="6" eb="7">
      <t>ギ</t>
    </rPh>
    <rPh sb="8" eb="9">
      <t>ナド</t>
    </rPh>
    <rPh sb="10" eb="11">
      <t>シ</t>
    </rPh>
    <rPh sb="12" eb="13">
      <t>ヨウ</t>
    </rPh>
    <rPh sb="14" eb="15">
      <t>コト</t>
    </rPh>
    <rPh sb="16" eb="17">
      <t>ギョウ</t>
    </rPh>
    <rPh sb="18" eb="19">
      <t>ホウ</t>
    </rPh>
    <rPh sb="20" eb="21">
      <t>コク</t>
    </rPh>
    <rPh sb="22" eb="23">
      <t>ショ</t>
    </rPh>
    <phoneticPr fontId="3"/>
  </si>
  <si>
    <t>２．事業の期日</t>
    <rPh sb="2" eb="4">
      <t>ジギョウ</t>
    </rPh>
    <rPh sb="5" eb="7">
      <t>キジツ</t>
    </rPh>
    <phoneticPr fontId="3"/>
  </si>
  <si>
    <t>３．開催場所等</t>
    <rPh sb="2" eb="4">
      <t>カイサイ</t>
    </rPh>
    <rPh sb="4" eb="6">
      <t>バショ</t>
    </rPh>
    <rPh sb="6" eb="7">
      <t>ナド</t>
    </rPh>
    <phoneticPr fontId="3"/>
  </si>
  <si>
    <t>(一社)石川県サッカー協会　　白山市教育委員会</t>
    <rPh sb="1" eb="2">
      <t>イチ</t>
    </rPh>
    <rPh sb="2" eb="3">
      <t>シャ</t>
    </rPh>
    <rPh sb="4" eb="7">
      <t>イシカワケン</t>
    </rPh>
    <rPh sb="11" eb="13">
      <t>キョウカイ</t>
    </rPh>
    <rPh sb="15" eb="18">
      <t>ハクサンシ</t>
    </rPh>
    <rPh sb="18" eb="20">
      <t>キョウイク</t>
    </rPh>
    <rPh sb="20" eb="23">
      <t>イインカイ</t>
    </rPh>
    <phoneticPr fontId="3"/>
  </si>
  <si>
    <t>マッチコミッショナー報告書</t>
    <rPh sb="10" eb="13">
      <t>ホウコクショ</t>
    </rPh>
    <phoneticPr fontId="3"/>
  </si>
  <si>
    <t>１．大会役員</t>
    <rPh sb="2" eb="4">
      <t>タイカイ</t>
    </rPh>
    <rPh sb="4" eb="6">
      <t>ヤクイン</t>
    </rPh>
    <phoneticPr fontId="3"/>
  </si>
  <si>
    <t>大会長</t>
    <rPh sb="0" eb="2">
      <t>タイカイ</t>
    </rPh>
    <rPh sb="2" eb="3">
      <t>チョウ</t>
    </rPh>
    <phoneticPr fontId="3"/>
  </si>
  <si>
    <t>副大会長</t>
    <rPh sb="0" eb="1">
      <t>フク</t>
    </rPh>
    <rPh sb="1" eb="4">
      <t>タイカイチョウ</t>
    </rPh>
    <phoneticPr fontId="3"/>
  </si>
  <si>
    <t>大会委員長</t>
    <rPh sb="0" eb="2">
      <t>タイカイ</t>
    </rPh>
    <rPh sb="2" eb="5">
      <t>イインチョウ</t>
    </rPh>
    <phoneticPr fontId="3"/>
  </si>
  <si>
    <t>大会副委員長</t>
    <rPh sb="0" eb="2">
      <t>タイカイ</t>
    </rPh>
    <rPh sb="2" eb="6">
      <t>フクイインチョウ</t>
    </rPh>
    <phoneticPr fontId="3"/>
  </si>
  <si>
    <t>競技委員長</t>
    <rPh sb="0" eb="2">
      <t>キョウギ</t>
    </rPh>
    <rPh sb="2" eb="5">
      <t>イインチョウ</t>
    </rPh>
    <phoneticPr fontId="3"/>
  </si>
  <si>
    <t>競技副委員長</t>
    <rPh sb="0" eb="2">
      <t>キョウギ</t>
    </rPh>
    <rPh sb="2" eb="3">
      <t>フク</t>
    </rPh>
    <rPh sb="3" eb="6">
      <t>イインチョウ</t>
    </rPh>
    <phoneticPr fontId="3"/>
  </si>
  <si>
    <t>委員</t>
    <rPh sb="0" eb="2">
      <t>イイン</t>
    </rPh>
    <phoneticPr fontId="3"/>
  </si>
  <si>
    <t>審判委員長</t>
    <rPh sb="0" eb="2">
      <t>シンパン</t>
    </rPh>
    <rPh sb="2" eb="5">
      <t>イインチョウ</t>
    </rPh>
    <phoneticPr fontId="3"/>
  </si>
  <si>
    <t>審判員</t>
    <rPh sb="0" eb="3">
      <t>シンパンイン</t>
    </rPh>
    <phoneticPr fontId="3"/>
  </si>
  <si>
    <t>総務委員</t>
    <rPh sb="0" eb="2">
      <t>ソウム</t>
    </rPh>
    <rPh sb="2" eb="4">
      <t>イイン</t>
    </rPh>
    <phoneticPr fontId="3"/>
  </si>
  <si>
    <t>競技責任者</t>
    <rPh sb="0" eb="2">
      <t>キョウギ</t>
    </rPh>
    <rPh sb="2" eb="5">
      <t>セキニンシャ</t>
    </rPh>
    <phoneticPr fontId="3"/>
  </si>
  <si>
    <t>式典係</t>
    <rPh sb="0" eb="2">
      <t>シキテン</t>
    </rPh>
    <rPh sb="2" eb="3">
      <t>ガカリ</t>
    </rPh>
    <phoneticPr fontId="3"/>
  </si>
  <si>
    <t>庶務係</t>
    <rPh sb="0" eb="3">
      <t>ショムガカリ</t>
    </rPh>
    <phoneticPr fontId="3"/>
  </si>
  <si>
    <t>会場係</t>
    <rPh sb="0" eb="3">
      <t>カイジョウガカリ</t>
    </rPh>
    <phoneticPr fontId="3"/>
  </si>
  <si>
    <t>救護係</t>
    <rPh sb="0" eb="2">
      <t>キュウゴ</t>
    </rPh>
    <rPh sb="2" eb="3">
      <t>ガカリ</t>
    </rPh>
    <phoneticPr fontId="3"/>
  </si>
  <si>
    <t>閉会式（松任総合運動公園グランド）</t>
    <rPh sb="0" eb="3">
      <t>ヘイカイシキ</t>
    </rPh>
    <rPh sb="4" eb="6">
      <t>マットウ</t>
    </rPh>
    <rPh sb="6" eb="8">
      <t>ソウゴウ</t>
    </rPh>
    <rPh sb="8" eb="10">
      <t>ウンドウ</t>
    </rPh>
    <rPh sb="10" eb="12">
      <t>コウエン</t>
    </rPh>
    <phoneticPr fontId="3"/>
  </si>
  <si>
    <t>１．役員、選手整列</t>
    <rPh sb="2" eb="4">
      <t>ヤクイン</t>
    </rPh>
    <rPh sb="5" eb="7">
      <t>センシュ</t>
    </rPh>
    <rPh sb="7" eb="9">
      <t>セイレツ</t>
    </rPh>
    <phoneticPr fontId="3"/>
  </si>
  <si>
    <t>２．開式通告</t>
    <rPh sb="2" eb="4">
      <t>カイシキ</t>
    </rPh>
    <rPh sb="4" eb="6">
      <t>ツウコク</t>
    </rPh>
    <phoneticPr fontId="3"/>
  </si>
  <si>
    <t>７．閉式通告</t>
    <rPh sb="2" eb="4">
      <t>ヘイシキ</t>
    </rPh>
    <rPh sb="4" eb="6">
      <t>ツウコク</t>
    </rPh>
    <phoneticPr fontId="3"/>
  </si>
  <si>
    <t>３．成績発表</t>
    <rPh sb="2" eb="4">
      <t>セイセキ</t>
    </rPh>
    <rPh sb="4" eb="6">
      <t>ハッピョウ</t>
    </rPh>
    <phoneticPr fontId="3"/>
  </si>
  <si>
    <t>４．表彰</t>
    <rPh sb="2" eb="4">
      <t>ヒョウショウ</t>
    </rPh>
    <phoneticPr fontId="3"/>
  </si>
  <si>
    <t>５．閉会の挨拶</t>
    <rPh sb="2" eb="4">
      <t>ヘイカイ</t>
    </rPh>
    <rPh sb="5" eb="7">
      <t>アイサツ</t>
    </rPh>
    <phoneticPr fontId="3"/>
  </si>
  <si>
    <t>６．閉会宣言</t>
    <rPh sb="2" eb="4">
      <t>ヘイカイ</t>
    </rPh>
    <rPh sb="4" eb="6">
      <t>センゲン</t>
    </rPh>
    <phoneticPr fontId="3"/>
  </si>
  <si>
    <t>３位表彰式</t>
    <rPh sb="1" eb="2">
      <t>イ</t>
    </rPh>
    <rPh sb="2" eb="5">
      <t>ヒョウショウシキ</t>
    </rPh>
    <phoneticPr fontId="3"/>
  </si>
  <si>
    <t>準決勝第２試合終了後に行います。</t>
    <rPh sb="0" eb="3">
      <t>ジュンケッショウ</t>
    </rPh>
    <rPh sb="3" eb="4">
      <t>ダイ</t>
    </rPh>
    <rPh sb="5" eb="7">
      <t>シアイ</t>
    </rPh>
    <rPh sb="7" eb="10">
      <t>シュウリョウゴ</t>
    </rPh>
    <rPh sb="11" eb="12">
      <t>オコナ</t>
    </rPh>
    <phoneticPr fontId="3"/>
  </si>
  <si>
    <t>３．歴代優勝校</t>
    <rPh sb="2" eb="4">
      <t>レキダイ</t>
    </rPh>
    <rPh sb="4" eb="7">
      <t>ユウショウコウ</t>
    </rPh>
    <phoneticPr fontId="3"/>
  </si>
  <si>
    <t>石川県中体連審判員</t>
    <rPh sb="0" eb="3">
      <t>イシカワケン</t>
    </rPh>
    <rPh sb="3" eb="6">
      <t>チュウタイレン</t>
    </rPh>
    <rPh sb="6" eb="9">
      <t>シンパンイン</t>
    </rPh>
    <phoneticPr fontId="3"/>
  </si>
  <si>
    <t>高橋　明裕</t>
    <rPh sb="0" eb="2">
      <t>タカハシ</t>
    </rPh>
    <rPh sb="3" eb="5">
      <t>アキヒロ</t>
    </rPh>
    <phoneticPr fontId="3"/>
  </si>
  <si>
    <t>白山市サッカー協会長</t>
    <rPh sb="0" eb="3">
      <t>ハクサンシ</t>
    </rPh>
    <rPh sb="7" eb="10">
      <t>キョウカイチョウ</t>
    </rPh>
    <phoneticPr fontId="3"/>
  </si>
  <si>
    <t>松任中校長</t>
    <rPh sb="0" eb="2">
      <t>マットウ</t>
    </rPh>
    <rPh sb="2" eb="3">
      <t>チュウ</t>
    </rPh>
    <rPh sb="3" eb="5">
      <t>コウチョウ</t>
    </rPh>
    <phoneticPr fontId="3"/>
  </si>
  <si>
    <t>光野中校長</t>
    <rPh sb="0" eb="1">
      <t>ヒカリ</t>
    </rPh>
    <rPh sb="1" eb="2">
      <t>ノ</t>
    </rPh>
    <rPh sb="2" eb="3">
      <t>チュウ</t>
    </rPh>
    <rPh sb="3" eb="5">
      <t>コウチョウ</t>
    </rPh>
    <phoneticPr fontId="3"/>
  </si>
  <si>
    <t>北星中校長</t>
    <rPh sb="0" eb="2">
      <t>ホクセイ</t>
    </rPh>
    <rPh sb="2" eb="3">
      <t>チュウ</t>
    </rPh>
    <rPh sb="3" eb="5">
      <t>コウチョウ</t>
    </rPh>
    <phoneticPr fontId="3"/>
  </si>
  <si>
    <t>笠間中校長</t>
    <rPh sb="0" eb="2">
      <t>カサマ</t>
    </rPh>
    <rPh sb="2" eb="3">
      <t>チュウ</t>
    </rPh>
    <rPh sb="3" eb="5">
      <t>コウチョウ</t>
    </rPh>
    <phoneticPr fontId="3"/>
  </si>
  <si>
    <t>部長</t>
    <rPh sb="0" eb="2">
      <t>ブチョウ</t>
    </rPh>
    <phoneticPr fontId="3"/>
  </si>
  <si>
    <t>優勝校</t>
    <rPh sb="0" eb="2">
      <t>ユウショウ</t>
    </rPh>
    <rPh sb="2" eb="3">
      <t>コウ</t>
    </rPh>
    <phoneticPr fontId="3"/>
  </si>
  <si>
    <t>泉</t>
    <rPh sb="0" eb="1">
      <t>イズミ</t>
    </rPh>
    <phoneticPr fontId="3"/>
  </si>
  <si>
    <t>浅野川</t>
    <rPh sb="0" eb="2">
      <t>アサノ</t>
    </rPh>
    <rPh sb="2" eb="3">
      <t>カワ</t>
    </rPh>
    <phoneticPr fontId="3"/>
  </si>
  <si>
    <t>笠間</t>
    <rPh sb="0" eb="2">
      <t>カサマ</t>
    </rPh>
    <phoneticPr fontId="3"/>
  </si>
  <si>
    <t>津幡</t>
    <rPh sb="0" eb="2">
      <t>ツバタ</t>
    </rPh>
    <phoneticPr fontId="3"/>
  </si>
  <si>
    <t>長田</t>
    <rPh sb="0" eb="2">
      <t>ナガタ</t>
    </rPh>
    <phoneticPr fontId="3"/>
  </si>
  <si>
    <t>金石</t>
    <rPh sb="0" eb="2">
      <t>カナイワ</t>
    </rPh>
    <phoneticPr fontId="3"/>
  </si>
  <si>
    <t>高尾台</t>
    <rPh sb="0" eb="3">
      <t>タカオダイ</t>
    </rPh>
    <phoneticPr fontId="3"/>
  </si>
  <si>
    <t>森本</t>
    <rPh sb="0" eb="2">
      <t>モリモト</t>
    </rPh>
    <phoneticPr fontId="3"/>
  </si>
  <si>
    <t>松任・笠間</t>
    <rPh sb="0" eb="2">
      <t>マットウ</t>
    </rPh>
    <rPh sb="3" eb="5">
      <t>カサマ</t>
    </rPh>
    <phoneticPr fontId="3"/>
  </si>
  <si>
    <t>浅野川</t>
    <rPh sb="0" eb="2">
      <t>アサノ</t>
    </rPh>
    <rPh sb="2" eb="3">
      <t>ガワ</t>
    </rPh>
    <phoneticPr fontId="3"/>
  </si>
  <si>
    <t>光野</t>
    <rPh sb="0" eb="1">
      <t>ヒカリ</t>
    </rPh>
    <rPh sb="1" eb="2">
      <t>ノ</t>
    </rPh>
    <phoneticPr fontId="3"/>
  </si>
  <si>
    <t>マッチコミッショナー名</t>
    <rPh sb="10" eb="11">
      <t>メイ</t>
    </rPh>
    <phoneticPr fontId="3"/>
  </si>
  <si>
    <t>１．対象試合</t>
    <rPh sb="2" eb="4">
      <t>タイショウ</t>
    </rPh>
    <rPh sb="4" eb="6">
      <t>ジアイ</t>
    </rPh>
    <phoneticPr fontId="3"/>
  </si>
  <si>
    <t>開催日</t>
    <rPh sb="0" eb="3">
      <t>カイサイビ</t>
    </rPh>
    <phoneticPr fontId="3"/>
  </si>
  <si>
    <t>会場名</t>
    <rPh sb="0" eb="2">
      <t>カイジョウ</t>
    </rPh>
    <rPh sb="2" eb="3">
      <t>メイ</t>
    </rPh>
    <phoneticPr fontId="3"/>
  </si>
  <si>
    <t>２．試合運営について</t>
    <rPh sb="2" eb="4">
      <t>シアイ</t>
    </rPh>
    <rPh sb="4" eb="6">
      <t>ウンエイ</t>
    </rPh>
    <phoneticPr fontId="3"/>
  </si>
  <si>
    <t>運営全般</t>
    <rPh sb="0" eb="2">
      <t>ウンエイ</t>
    </rPh>
    <rPh sb="2" eb="4">
      <t>ゼンパン</t>
    </rPh>
    <phoneticPr fontId="3"/>
  </si>
  <si>
    <t>芝生（ピッチ）</t>
    <rPh sb="0" eb="2">
      <t>シバフ</t>
    </rPh>
    <phoneticPr fontId="3"/>
  </si>
  <si>
    <t>警備体制</t>
    <rPh sb="0" eb="2">
      <t>ケイビ</t>
    </rPh>
    <rPh sb="2" eb="4">
      <t>タイセイ</t>
    </rPh>
    <phoneticPr fontId="3"/>
  </si>
  <si>
    <t>メディアサービス</t>
    <phoneticPr fontId="3"/>
  </si>
  <si>
    <t>チームの態度</t>
    <rPh sb="4" eb="6">
      <t>タイド</t>
    </rPh>
    <phoneticPr fontId="3"/>
  </si>
  <si>
    <t>上記で３・４に○をした理由</t>
    <rPh sb="0" eb="2">
      <t>ジョウキ</t>
    </rPh>
    <rPh sb="11" eb="13">
      <t>リユウ</t>
    </rPh>
    <phoneticPr fontId="3"/>
  </si>
  <si>
    <t>３．審判について</t>
    <rPh sb="2" eb="4">
      <t>シンパン</t>
    </rPh>
    <phoneticPr fontId="3"/>
  </si>
  <si>
    <t>※試合運営において緊急を要する場合（試合中断・延期・会場トラブルなどは『マッチコミッショナー緊急報告書』にて報告をして下さい。</t>
    <rPh sb="1" eb="3">
      <t>シアイ</t>
    </rPh>
    <rPh sb="3" eb="5">
      <t>ウンエイ</t>
    </rPh>
    <rPh sb="9" eb="11">
      <t>キンキュウ</t>
    </rPh>
    <rPh sb="12" eb="13">
      <t>ヨウ</t>
    </rPh>
    <rPh sb="15" eb="17">
      <t>バアイ</t>
    </rPh>
    <rPh sb="18" eb="20">
      <t>シアイ</t>
    </rPh>
    <rPh sb="20" eb="22">
      <t>チュウダン</t>
    </rPh>
    <rPh sb="23" eb="25">
      <t>エンキ</t>
    </rPh>
    <rPh sb="26" eb="28">
      <t>カイジョウ</t>
    </rPh>
    <rPh sb="46" eb="48">
      <t>キンキュウ</t>
    </rPh>
    <rPh sb="48" eb="51">
      <t>ホウコクショ</t>
    </rPh>
    <rPh sb="54" eb="56">
      <t>ホウコク</t>
    </rPh>
    <rPh sb="59" eb="60">
      <t>クダ</t>
    </rPh>
    <phoneticPr fontId="3"/>
  </si>
  <si>
    <t>本紙郵送の必要はございません。大会事務局で保管願います。</t>
    <rPh sb="0" eb="2">
      <t>ホンシ</t>
    </rPh>
    <rPh sb="2" eb="4">
      <t>ユウソウ</t>
    </rPh>
    <rPh sb="5" eb="7">
      <t>ヒツヨウ</t>
    </rPh>
    <rPh sb="15" eb="17">
      <t>タイカイ</t>
    </rPh>
    <rPh sb="17" eb="20">
      <t>ジムキョク</t>
    </rPh>
    <rPh sb="21" eb="23">
      <t>ホカン</t>
    </rPh>
    <rPh sb="23" eb="24">
      <t>ネガ</t>
    </rPh>
    <phoneticPr fontId="3"/>
  </si>
  <si>
    <r>
      <t>諸室</t>
    </r>
    <r>
      <rPr>
        <sz val="8"/>
        <rFont val="ＭＳ Ｐゴシック"/>
        <family val="3"/>
        <charset val="128"/>
      </rPr>
      <t>（ロッカーを含む）</t>
    </r>
    <rPh sb="0" eb="1">
      <t>ショ</t>
    </rPh>
    <rPh sb="1" eb="2">
      <t>シツ</t>
    </rPh>
    <rPh sb="8" eb="9">
      <t>フク</t>
    </rPh>
    <phoneticPr fontId="3"/>
  </si>
  <si>
    <t>チーム名</t>
    <rPh sb="3" eb="4">
      <t>メイ</t>
    </rPh>
    <phoneticPr fontId="3"/>
  </si>
  <si>
    <t>Ａチーム（</t>
    <phoneticPr fontId="3"/>
  </si>
  <si>
    <t>Ｂチーム（</t>
    <phoneticPr fontId="3"/>
  </si>
  <si>
    <t>（Ａ）</t>
    <phoneticPr fontId="3"/>
  </si>
  <si>
    <t>前半</t>
    <rPh sb="0" eb="2">
      <t>ゼンハン</t>
    </rPh>
    <phoneticPr fontId="3"/>
  </si>
  <si>
    <t>後半</t>
    <rPh sb="0" eb="2">
      <t>コウハン</t>
    </rPh>
    <phoneticPr fontId="3"/>
  </si>
  <si>
    <t>延長前半</t>
    <rPh sb="0" eb="2">
      <t>エンチョウ</t>
    </rPh>
    <rPh sb="2" eb="4">
      <t>ゼンハン</t>
    </rPh>
    <phoneticPr fontId="3"/>
  </si>
  <si>
    <t>延長後半</t>
    <rPh sb="0" eb="2">
      <t>エンチョウ</t>
    </rPh>
    <rPh sb="2" eb="4">
      <t>コウハン</t>
    </rPh>
    <phoneticPr fontId="3"/>
  </si>
  <si>
    <t>再延長前半</t>
    <rPh sb="0" eb="3">
      <t>サイエンチョウ</t>
    </rPh>
    <rPh sb="3" eb="5">
      <t>ゼンハン</t>
    </rPh>
    <phoneticPr fontId="3"/>
  </si>
  <si>
    <t>再延長後半</t>
    <rPh sb="0" eb="3">
      <t>サイエンチョウ</t>
    </rPh>
    <rPh sb="3" eb="5">
      <t>コウハン</t>
    </rPh>
    <phoneticPr fontId="3"/>
  </si>
  <si>
    <t>ＰＫ</t>
    <phoneticPr fontId="3"/>
  </si>
  <si>
    <t>（Ｂ）</t>
    <phoneticPr fontId="3"/>
  </si>
  <si>
    <t>vs</t>
    <phoneticPr fontId="3"/>
  </si>
  <si>
    <t>結　果</t>
    <rPh sb="0" eb="1">
      <t>ケッ</t>
    </rPh>
    <rPh sb="2" eb="3">
      <t>カ</t>
    </rPh>
    <phoneticPr fontId="3"/>
  </si>
  <si>
    <t>対　戦</t>
    <rPh sb="0" eb="1">
      <t>タイ</t>
    </rPh>
    <rPh sb="2" eb="3">
      <t>イクサ</t>
    </rPh>
    <phoneticPr fontId="3"/>
  </si>
  <si>
    <t>）</t>
    <phoneticPr fontId="3"/>
  </si>
  <si>
    <t>１．非常に良い　　　　２．問題ない　　　　３．やや問題あり　　　　４．問題あり</t>
    <rPh sb="2" eb="4">
      <t>ヒジョウ</t>
    </rPh>
    <rPh sb="5" eb="6">
      <t>ヨ</t>
    </rPh>
    <rPh sb="13" eb="15">
      <t>モンダイ</t>
    </rPh>
    <rPh sb="25" eb="27">
      <t>モンダイ</t>
    </rPh>
    <rPh sb="35" eb="37">
      <t>モンダイ</t>
    </rPh>
    <phoneticPr fontId="3"/>
  </si>
  <si>
    <t>キックオフ</t>
    <phoneticPr fontId="3"/>
  </si>
  <si>
    <t>大　会　名　：</t>
    <rPh sb="0" eb="1">
      <t>ダイ</t>
    </rPh>
    <rPh sb="2" eb="3">
      <t>カイ</t>
    </rPh>
    <rPh sb="4" eb="5">
      <t>ナ</t>
    </rPh>
    <phoneticPr fontId="3"/>
  </si>
  <si>
    <t>総　評</t>
    <rPh sb="0" eb="1">
      <t>ソウ</t>
    </rPh>
    <rPh sb="2" eb="3">
      <t>ヒョウ</t>
    </rPh>
    <phoneticPr fontId="3"/>
  </si>
  <si>
    <t>ＰＫ</t>
    <phoneticPr fontId="3"/>
  </si>
  <si>
    <t>メディアサービス</t>
    <phoneticPr fontId="3"/>
  </si>
  <si>
    <t>Ａチーム（</t>
    <phoneticPr fontId="3"/>
  </si>
  <si>
    <t>）</t>
    <phoneticPr fontId="3"/>
  </si>
  <si>
    <t>Ｂチーム（</t>
    <phoneticPr fontId="3"/>
  </si>
  <si>
    <t>【準決勝】</t>
    <rPh sb="1" eb="4">
      <t>ジュンケッショウ</t>
    </rPh>
    <phoneticPr fontId="3"/>
  </si>
  <si>
    <t>【決勝】</t>
    <rPh sb="1" eb="3">
      <t>ケッショウ</t>
    </rPh>
    <phoneticPr fontId="3"/>
  </si>
  <si>
    <t>キックオフ</t>
    <phoneticPr fontId="3"/>
  </si>
  <si>
    <t>（Ａ）</t>
    <phoneticPr fontId="3"/>
  </si>
  <si>
    <t>vs</t>
    <phoneticPr fontId="3"/>
  </si>
  <si>
    <t>（Ｂ）</t>
    <phoneticPr fontId="3"/>
  </si>
  <si>
    <t>キックオフ</t>
    <phoneticPr fontId="3"/>
  </si>
  <si>
    <t>（Ａ）</t>
    <phoneticPr fontId="3"/>
  </si>
  <si>
    <t>vs</t>
    <phoneticPr fontId="3"/>
  </si>
  <si>
    <t>（Ｂ）</t>
    <phoneticPr fontId="3"/>
  </si>
  <si>
    <t>星稜</t>
  </si>
  <si>
    <t>金沢市</t>
  </si>
  <si>
    <t>第１位</t>
    <rPh sb="0" eb="1">
      <t>ダイ</t>
    </rPh>
    <rPh sb="2" eb="3">
      <t>イ</t>
    </rPh>
    <phoneticPr fontId="3"/>
  </si>
  <si>
    <t>第２位</t>
    <rPh sb="0" eb="1">
      <t>ダイ</t>
    </rPh>
    <rPh sb="2" eb="3">
      <t>イ</t>
    </rPh>
    <phoneticPr fontId="3"/>
  </si>
  <si>
    <t>第３位</t>
    <rPh sb="0" eb="1">
      <t>ダイ</t>
    </rPh>
    <rPh sb="2" eb="3">
      <t>イ</t>
    </rPh>
    <phoneticPr fontId="3"/>
  </si>
  <si>
    <t>A</t>
  </si>
  <si>
    <t>　石川県内６地区から代表チームを選出する。各地区より合計１６チーム（能登地区3、河北郡市・金沢市8、白山市・野々市市3、能美郡市1、小松市1）参加の大会とする。　</t>
    <rPh sb="1" eb="4">
      <t>イシカワケン</t>
    </rPh>
    <rPh sb="4" eb="5">
      <t>ナイ</t>
    </rPh>
    <rPh sb="6" eb="8">
      <t>チク</t>
    </rPh>
    <rPh sb="10" eb="12">
      <t>ダイヒョウ</t>
    </rPh>
    <rPh sb="16" eb="18">
      <t>センシュツ</t>
    </rPh>
    <rPh sb="21" eb="24">
      <t>カクチク</t>
    </rPh>
    <rPh sb="26" eb="28">
      <t>ゴウケイ</t>
    </rPh>
    <rPh sb="34" eb="36">
      <t>ノト</t>
    </rPh>
    <rPh sb="36" eb="38">
      <t>チク</t>
    </rPh>
    <rPh sb="40" eb="42">
      <t>カホク</t>
    </rPh>
    <rPh sb="42" eb="44">
      <t>グンシ</t>
    </rPh>
    <rPh sb="45" eb="48">
      <t>カナザワシ</t>
    </rPh>
    <rPh sb="50" eb="53">
      <t>ハクサンシ</t>
    </rPh>
    <rPh sb="54" eb="57">
      <t>ノノイチ</t>
    </rPh>
    <rPh sb="57" eb="58">
      <t>シ</t>
    </rPh>
    <rPh sb="60" eb="62">
      <t>ノミ</t>
    </rPh>
    <rPh sb="62" eb="64">
      <t>グンシ</t>
    </rPh>
    <rPh sb="66" eb="69">
      <t>コマツシ</t>
    </rPh>
    <rPh sb="71" eb="73">
      <t>サンカ</t>
    </rPh>
    <rPh sb="74" eb="76">
      <t>タイカイ</t>
    </rPh>
    <phoneticPr fontId="3"/>
  </si>
  <si>
    <t>　県内６地区より選出された合計１６チーム参加での県大会を行う。また、翌年夏開催の石川県中学校サッカー大会でのシード権決定するための大会として位置づける。</t>
    <rPh sb="1" eb="3">
      <t>ケンナイ</t>
    </rPh>
    <rPh sb="4" eb="6">
      <t>チク</t>
    </rPh>
    <rPh sb="8" eb="10">
      <t>センシュツ</t>
    </rPh>
    <rPh sb="13" eb="15">
      <t>ゴウケイ</t>
    </rPh>
    <rPh sb="20" eb="22">
      <t>サンカ</t>
    </rPh>
    <rPh sb="24" eb="27">
      <t>ケンタイカイ</t>
    </rPh>
    <rPh sb="28" eb="29">
      <t>オコナ</t>
    </rPh>
    <rPh sb="34" eb="36">
      <t>ヨクネン</t>
    </rPh>
    <rPh sb="36" eb="37">
      <t>ナツ</t>
    </rPh>
    <rPh sb="37" eb="39">
      <t>カイサイ</t>
    </rPh>
    <rPh sb="40" eb="43">
      <t>イシカワケン</t>
    </rPh>
    <rPh sb="43" eb="46">
      <t>チュウガッコウ</t>
    </rPh>
    <rPh sb="50" eb="52">
      <t>タイカイ</t>
    </rPh>
    <rPh sb="57" eb="58">
      <t>ケン</t>
    </rPh>
    <rPh sb="58" eb="60">
      <t>ケッテイ</t>
    </rPh>
    <rPh sb="65" eb="67">
      <t>タイカイ</t>
    </rPh>
    <rPh sb="70" eb="72">
      <t>イチ</t>
    </rPh>
    <phoneticPr fontId="3"/>
  </si>
  <si>
    <t>北辰中校長</t>
    <rPh sb="0" eb="2">
      <t>ホクシン</t>
    </rPh>
    <rPh sb="2" eb="3">
      <t>ナカ</t>
    </rPh>
    <rPh sb="3" eb="5">
      <t>コウチョウ</t>
    </rPh>
    <phoneticPr fontId="3"/>
  </si>
  <si>
    <t>美川中校長</t>
    <rPh sb="0" eb="2">
      <t>ミカワ</t>
    </rPh>
    <rPh sb="2" eb="3">
      <t>チュウ</t>
    </rPh>
    <rPh sb="3" eb="5">
      <t>コウチョウ</t>
    </rPh>
    <phoneticPr fontId="3"/>
  </si>
  <si>
    <t>委員長</t>
    <rPh sb="0" eb="3">
      <t>イインチョウ</t>
    </rPh>
    <phoneticPr fontId="3"/>
  </si>
  <si>
    <t>副委員長1</t>
    <rPh sb="0" eb="4">
      <t>フクイインチョウ</t>
    </rPh>
    <phoneticPr fontId="3"/>
  </si>
  <si>
    <t>副委員長2</t>
    <rPh sb="0" eb="4">
      <t>フクイインチョウ</t>
    </rPh>
    <phoneticPr fontId="3"/>
  </si>
  <si>
    <t>副委員長3</t>
    <rPh sb="0" eb="4">
      <t>フクイインチョウ</t>
    </rPh>
    <phoneticPr fontId="3"/>
  </si>
  <si>
    <t>会長</t>
    <rPh sb="0" eb="2">
      <t>カイチョウ</t>
    </rPh>
    <phoneticPr fontId="3"/>
  </si>
  <si>
    <t>協会長</t>
    <rPh sb="0" eb="3">
      <t>キョウカイチョウ</t>
    </rPh>
    <phoneticPr fontId="3"/>
  </si>
  <si>
    <t>能美市</t>
    <rPh sb="0" eb="3">
      <t>ノミシ</t>
    </rPh>
    <phoneticPr fontId="3"/>
  </si>
  <si>
    <t>小松市</t>
    <rPh sb="0" eb="3">
      <t>コマツシ</t>
    </rPh>
    <phoneticPr fontId="3"/>
  </si>
  <si>
    <t xml:space="preserve">                                      </t>
  </si>
  <si>
    <t>７．競技規定</t>
  </si>
  <si>
    <t>８．競技方法</t>
  </si>
  <si>
    <t>９．参加規定</t>
  </si>
  <si>
    <t>　本大会における1位チームの地区を翌年７月に行われる石川県中学校サッカー大会の第1シードとする。同様に、4位地区までを第4シードまでに配置する。</t>
    <rPh sb="20" eb="21">
      <t>ガツ</t>
    </rPh>
    <phoneticPr fontId="3"/>
  </si>
  <si>
    <t>河北郡市</t>
  </si>
  <si>
    <t>寺越　和洋</t>
    <phoneticPr fontId="3"/>
  </si>
  <si>
    <t>会場</t>
    <phoneticPr fontId="3"/>
  </si>
  <si>
    <t>会期</t>
    <phoneticPr fontId="3"/>
  </si>
  <si>
    <t>競技開始</t>
    <phoneticPr fontId="3"/>
  </si>
  <si>
    <t>白山市教育委員会</t>
    <phoneticPr fontId="3"/>
  </si>
  <si>
    <t>石川県中体連サッカー部</t>
    <phoneticPr fontId="3"/>
  </si>
  <si>
    <r>
      <t>１．主　催</t>
    </r>
    <r>
      <rPr>
        <sz val="10.5"/>
        <color theme="1"/>
        <rFont val="Century"/>
        <family val="1"/>
      </rPr>
      <t/>
    </r>
    <phoneticPr fontId="3"/>
  </si>
  <si>
    <t>２．共　催　</t>
    <phoneticPr fontId="3"/>
  </si>
  <si>
    <t>３．後　援　　</t>
    <phoneticPr fontId="3"/>
  </si>
  <si>
    <t>４．主　管　　　　</t>
    <phoneticPr fontId="3"/>
  </si>
  <si>
    <t>　　　　　</t>
    <phoneticPr fontId="3"/>
  </si>
  <si>
    <t>白山市サッカー協会</t>
    <phoneticPr fontId="3"/>
  </si>
  <si>
    <t>５．会　場　　</t>
    <phoneticPr fontId="3"/>
  </si>
  <si>
    <t>６．会　期</t>
    <phoneticPr fontId="3"/>
  </si>
  <si>
    <t>　本大会はバッドマーク方式を採用する。大会期間中、警告を2回受けた選手および退場を命じられた選手は、次の1試合に出場できない。退場となった違反行為の内容によっては、専門委員長、専門副委員長で組織する規律委員会でそれ以後の処置について決定する。また、本大会以前に行われた各地区予選大会においての警告の累積は、未消化であっても本大会には適用されない。しかし、退場による出場停止処分が未消化である場合は、本大会で適用される。</t>
    <phoneticPr fontId="3"/>
  </si>
  <si>
    <t>　トーナメント方式による。</t>
    <phoneticPr fontId="3"/>
  </si>
  <si>
    <t xml:space="preserve"> 　1チームの編成は監督・コーチ・マネージャー各１名、選手１８名を限度とする。</t>
    <phoneticPr fontId="3"/>
  </si>
  <si>
    <t xml:space="preserve">１０．表　彰  </t>
    <phoneticPr fontId="3"/>
  </si>
  <si>
    <t>　１位には優勝旗、２位にはトロフィー、１～３位には賞状を授与する。</t>
    <phoneticPr fontId="3"/>
  </si>
  <si>
    <t xml:space="preserve">１１．参加申込  </t>
    <phoneticPr fontId="3"/>
  </si>
  <si>
    <t>１２．抽選会</t>
    <phoneticPr fontId="3"/>
  </si>
  <si>
    <t xml:space="preserve">１３．その他 </t>
    <phoneticPr fontId="3"/>
  </si>
  <si>
    <t>白山市・野々市市中体連サッカー部</t>
    <rPh sb="4" eb="8">
      <t>ノノイチシ</t>
    </rPh>
    <phoneticPr fontId="3"/>
  </si>
  <si>
    <t>予備
抽選</t>
    <rPh sb="0" eb="2">
      <t>ヨビ</t>
    </rPh>
    <rPh sb="3" eb="5">
      <t>チュウセン</t>
    </rPh>
    <phoneticPr fontId="3"/>
  </si>
  <si>
    <t>くじ
番号</t>
    <rPh sb="3" eb="5">
      <t>バンゴウ</t>
    </rPh>
    <phoneticPr fontId="3"/>
  </si>
  <si>
    <t>白山市体育協会、北國新聞社、モルテン</t>
    <rPh sb="0" eb="3">
      <t>ハクサンシ</t>
    </rPh>
    <rPh sb="3" eb="5">
      <t>タイイク</t>
    </rPh>
    <rPh sb="5" eb="7">
      <t>キョウカイ</t>
    </rPh>
    <rPh sb="8" eb="10">
      <t>ホッコク</t>
    </rPh>
    <rPh sb="10" eb="13">
      <t>シンブンシャ</t>
    </rPh>
    <phoneticPr fontId="3"/>
  </si>
  <si>
    <t>石川県教育委員会</t>
    <rPh sb="0" eb="3">
      <t>イシカワケン</t>
    </rPh>
    <rPh sb="3" eb="5">
      <t>キョウイク</t>
    </rPh>
    <rPh sb="5" eb="8">
      <t>イインカイ</t>
    </rPh>
    <phoneticPr fontId="3"/>
  </si>
  <si>
    <t>ホームページ：　http://soccer.fan.coocan.jp/</t>
    <phoneticPr fontId="3"/>
  </si>
  <si>
    <t>(一社)石川県サッカー協会</t>
  </si>
  <si>
    <t>　試合開始30分前までに、先発メンバー11人の※欄に○を付けたメンバー表(参加申込用紙をコピーしたもの)、3部を本部に提出する。</t>
  </si>
  <si>
    <t>(１)競技規則</t>
  </si>
  <si>
    <t>(２)メンバー表</t>
  </si>
  <si>
    <t>(３)選手交代</t>
  </si>
  <si>
    <t>(４)大会規律</t>
  </si>
  <si>
    <t>(５)大会球</t>
  </si>
  <si>
    <t>(６)ユニフォーム　</t>
  </si>
  <si>
    <t>(７)選手変更</t>
  </si>
  <si>
    <t>(１)競技方法</t>
  </si>
  <si>
    <t>(２)試合時間</t>
  </si>
  <si>
    <t>　試合時間は60分(30-10-30)とし、勝敗が決しないときは10分の延長を行い、なお決しないときはＰＫ方式により次回へ進出するチームおよび優勝チームを決定する。なお、延長を行う際のインターバルは3分間を確保する。</t>
  </si>
  <si>
    <t>(１)予選地区割り及び参加チーム数</t>
  </si>
  <si>
    <t>・白山市・野々市市(3)</t>
  </si>
  <si>
    <t>・能美郡市(1)</t>
  </si>
  <si>
    <t>・小松市(１)</t>
  </si>
  <si>
    <t>(２)チーム編成</t>
  </si>
  <si>
    <t>(３)監督・コーチ　</t>
  </si>
  <si>
    <t>(４)合同チーム</t>
  </si>
  <si>
    <t>　複数の学校により編成されたチーム(合同チーム)の参加を認める。ただし参加に際しては、定められた規準を満たしていることとする。この規定は本年度の石川県中学校体育大会の規定に準ずる。</t>
    <rPh sb="70" eb="71">
      <t>ド</t>
    </rPh>
    <phoneticPr fontId="3"/>
  </si>
  <si>
    <t>　試合球は5号球とし、競技規則第2条に適合するものとする。</t>
    <phoneticPr fontId="3"/>
  </si>
  <si>
    <t>　交代に関しては、競技開始前にメンバー表登録した選手の中で、7名までの交代が認められる。</t>
    <phoneticPr fontId="3"/>
  </si>
  <si>
    <t>　石川県内6地区で予選を行い代表チームを選出する。予選地区は以下のように設定する。
各地区より合計16チーム参加の大会とする。</t>
    <phoneticPr fontId="3"/>
  </si>
  <si>
    <t>千木　良介</t>
    <rPh sb="0" eb="2">
      <t>セギ</t>
    </rPh>
    <rPh sb="3" eb="5">
      <t>リョウスケ</t>
    </rPh>
    <phoneticPr fontId="3"/>
  </si>
  <si>
    <t>小松</t>
    <rPh sb="0" eb="2">
      <t>コマツ</t>
    </rPh>
    <phoneticPr fontId="3"/>
  </si>
  <si>
    <t>能美</t>
    <rPh sb="0" eb="2">
      <t>ノミ</t>
    </rPh>
    <phoneticPr fontId="3"/>
  </si>
  <si>
    <t>白山・野々市</t>
    <rPh sb="0" eb="2">
      <t>ハクサン</t>
    </rPh>
    <rPh sb="3" eb="6">
      <t>ノノイチ</t>
    </rPh>
    <phoneticPr fontId="3"/>
  </si>
  <si>
    <t>金沢</t>
    <rPh sb="0" eb="2">
      <t>カナザワ</t>
    </rPh>
    <phoneticPr fontId="3"/>
  </si>
  <si>
    <t>河北</t>
    <rPh sb="0" eb="2">
      <t>カホク</t>
    </rPh>
    <phoneticPr fontId="3"/>
  </si>
  <si>
    <t>羽咋</t>
    <rPh sb="0" eb="2">
      <t>ハクイ</t>
    </rPh>
    <phoneticPr fontId="3"/>
  </si>
  <si>
    <t>鹿島</t>
    <rPh sb="0" eb="2">
      <t>カシマ</t>
    </rPh>
    <phoneticPr fontId="3"/>
  </si>
  <si>
    <t>七尾</t>
    <rPh sb="0" eb="2">
      <t>ナナオ</t>
    </rPh>
    <phoneticPr fontId="3"/>
  </si>
  <si>
    <t>輪島</t>
    <rPh sb="0" eb="2">
      <t>ワジマ</t>
    </rPh>
    <phoneticPr fontId="3"/>
  </si>
  <si>
    <t>光野</t>
    <rPh sb="0" eb="2">
      <t>ヒカリノ</t>
    </rPh>
    <phoneticPr fontId="3"/>
  </si>
  <si>
    <t>北星</t>
    <rPh sb="0" eb="2">
      <t>ホクセイ</t>
    </rPh>
    <phoneticPr fontId="3"/>
  </si>
  <si>
    <t>美川</t>
    <rPh sb="0" eb="2">
      <t>ミカワ</t>
    </rPh>
    <phoneticPr fontId="3"/>
  </si>
  <si>
    <t>北辰</t>
    <rPh sb="0" eb="2">
      <t>ホクシン</t>
    </rPh>
    <phoneticPr fontId="3"/>
  </si>
  <si>
    <t>松陽</t>
    <rPh sb="0" eb="2">
      <t>ショウヨウ</t>
    </rPh>
    <phoneticPr fontId="3"/>
  </si>
  <si>
    <t>丸内</t>
    <rPh sb="0" eb="2">
      <t>マルノウチ</t>
    </rPh>
    <phoneticPr fontId="3"/>
  </si>
  <si>
    <t>寺井</t>
    <rPh sb="0" eb="2">
      <t>テライ</t>
    </rPh>
    <phoneticPr fontId="3"/>
  </si>
  <si>
    <t>辰口</t>
    <rPh sb="0" eb="2">
      <t>タツノクチ</t>
    </rPh>
    <phoneticPr fontId="3"/>
  </si>
  <si>
    <t>布水</t>
    <rPh sb="0" eb="1">
      <t>フ</t>
    </rPh>
    <rPh sb="1" eb="2">
      <t>スイ</t>
    </rPh>
    <phoneticPr fontId="3"/>
  </si>
  <si>
    <t>【石川県中学校新人サッカー大会】</t>
    <rPh sb="1" eb="4">
      <t>イシカワケン</t>
    </rPh>
    <rPh sb="4" eb="7">
      <t>チュウガッコウ</t>
    </rPh>
    <rPh sb="7" eb="9">
      <t>シンジン</t>
    </rPh>
    <rPh sb="13" eb="15">
      <t>タイカイ</t>
    </rPh>
    <phoneticPr fontId="3"/>
  </si>
  <si>
    <t>【加賀地区中学校新人サッカー大会】</t>
    <rPh sb="1" eb="3">
      <t>カガ</t>
    </rPh>
    <rPh sb="3" eb="5">
      <t>チク</t>
    </rPh>
    <rPh sb="5" eb="8">
      <t>チュウガッコウ</t>
    </rPh>
    <rPh sb="8" eb="10">
      <t>シンジン</t>
    </rPh>
    <rPh sb="14" eb="16">
      <t>タイカイ</t>
    </rPh>
    <phoneticPr fontId="3"/>
  </si>
  <si>
    <t>１．日程</t>
  </si>
  <si>
    <t>参加チーム確認</t>
  </si>
  <si>
    <t>要項審議</t>
  </si>
  <si>
    <t>抽選・連絡確認事項</t>
  </si>
  <si>
    <t>２．参加チーム確認</t>
  </si>
  <si>
    <t>３．要項審議</t>
  </si>
  <si>
    <t>４．抽選</t>
  </si>
  <si>
    <t>　　位置づけ</t>
  </si>
  <si>
    <t>①</t>
  </si>
  <si>
    <t>②</t>
  </si>
  <si>
    <t>③</t>
  </si>
  <si>
    <t>④</t>
  </si>
  <si>
    <t>⑤</t>
  </si>
  <si>
    <t>⑥</t>
  </si>
  <si>
    <t>⑦</t>
  </si>
  <si>
    <t>⑧</t>
  </si>
  <si>
    <t>⑨</t>
  </si>
  <si>
    <t>⑩</t>
  </si>
  <si>
    <t>⑪</t>
  </si>
  <si>
    <t>⑫</t>
  </si>
  <si>
    <t>⑬</t>
  </si>
  <si>
    <t>⑭</t>
  </si>
  <si>
    <t>⑮</t>
  </si>
  <si>
    <t>⑯</t>
  </si>
  <si>
    <t>【抽選方法】以下のように抽選を行う。予備抽選も行う。</t>
  </si>
  <si>
    <t>挨拶</t>
    <phoneticPr fontId="3"/>
  </si>
  <si>
    <t>石川県中体連サッカー競技部　部長</t>
  </si>
  <si>
    <t>【河北郡市】</t>
  </si>
  <si>
    <t>【金沢市】</t>
  </si>
  <si>
    <t>【白山・野々市】</t>
  </si>
  <si>
    <t>【能美市】</t>
  </si>
  <si>
    <t>【小松市】</t>
  </si>
  <si>
    <t>トーナメント表</t>
    <phoneticPr fontId="3"/>
  </si>
  <si>
    <t>中学校</t>
  </si>
  <si>
    <t>(４)その他のチームが残りのくじを引く。</t>
  </si>
  <si>
    <t>　　　能登地区(3チーム)</t>
  </si>
  <si>
    <t>　　　加賀地区(13チーム)</t>
  </si>
  <si>
    <t>北加賀ブロック(2＋6＝8チーム)</t>
  </si>
  <si>
    <t>南加賀ブロック(3＋1＋1＝5チーム)</t>
  </si>
  <si>
    <t>別紙要項にて(試合会場・開始時刻など)</t>
  </si>
  <si>
    <t>北加賀ブロック(1＋7＝8チーム)</t>
  </si>
  <si>
    <t>　来夏の全国＝北信越＝県大会のシード権のかかった大会として位置づけ、偏りのないように、地区や
順位を考慮して抽選する。(1位・2位を考慮)</t>
    <phoneticPr fontId="3"/>
  </si>
  <si>
    <r>
      <rPr>
        <b/>
        <sz val="10"/>
        <rFont val="HG丸ｺﾞｼｯｸM-PRO"/>
        <family val="3"/>
        <charset val="128"/>
      </rPr>
      <t>５．連絡・確認事項</t>
    </r>
    <r>
      <rPr>
        <sz val="10"/>
        <rFont val="HG丸ｺﾞｼｯｸM-PRO"/>
        <family val="3"/>
        <charset val="128"/>
      </rPr>
      <t>　　別紙</t>
    </r>
    <phoneticPr fontId="3"/>
  </si>
  <si>
    <t>優先順位３　(予選2位チーム)</t>
    <phoneticPr fontId="3"/>
  </si>
  <si>
    <t>優先順位１　(2チーム以上出場している地区の1位チーム)</t>
    <rPh sb="19" eb="21">
      <t>チク</t>
    </rPh>
    <phoneticPr fontId="3"/>
  </si>
  <si>
    <t>優先順位２　(1チームのみ出場している地区の1位チーム)</t>
    <rPh sb="19" eb="21">
      <t>チク</t>
    </rPh>
    <phoneticPr fontId="3"/>
  </si>
  <si>
    <t>(1)2チーム以上出場している地区の1位3チーム(能登、金沢、白山・野々市)が、①、⑧、⑨、⑯の
　4本から抽選。</t>
    <phoneticPr fontId="3"/>
  </si>
  <si>
    <t>(2)1チームのみ出場している地区の1位3チーム(河北、能美、小松)が、(1)の抽選で残ったくじ
　1本に④、⑤、⑫、⑬を加えた5本から抽選。</t>
    <phoneticPr fontId="3"/>
  </si>
  <si>
    <t>【抽選(1)(2)配慮事項】</t>
    <phoneticPr fontId="3"/>
  </si>
  <si>
    <t>【抽選(3)配慮事項】</t>
    <phoneticPr fontId="3"/>
  </si>
  <si>
    <t>(4)その他のチームが残りのくじを引く。</t>
    <phoneticPr fontId="3"/>
  </si>
  <si>
    <t>(1)2チーム以上出場している地区の1位4チーム(能登、河北、金沢、白山・野々市)が、
　①、⑧、⑨、⑯の4本から抽選。</t>
    <rPh sb="15" eb="17">
      <t>チク</t>
    </rPh>
    <rPh sb="28" eb="30">
      <t>カホク</t>
    </rPh>
    <phoneticPr fontId="3"/>
  </si>
  <si>
    <r>
      <t>(3)地区予選2位の4チームが、</t>
    </r>
    <r>
      <rPr>
        <u val="double"/>
        <sz val="10"/>
        <rFont val="HG丸ｺﾞｼｯｸM-PRO"/>
        <family val="3"/>
        <charset val="128"/>
      </rPr>
      <t>1回戦で予選1位全チームと対戦しない場所4本</t>
    </r>
    <r>
      <rPr>
        <sz val="10"/>
        <rFont val="HG丸ｺﾞｼｯｸM-PRO"/>
        <family val="3"/>
        <charset val="128"/>
      </rPr>
      <t>(④、⑤、⑫、⑬の
　余り2本とその隣)の中から抽選。(能登、河北、金沢、白山・野々市)</t>
    </r>
    <rPh sb="3" eb="5">
      <t>チク</t>
    </rPh>
    <rPh sb="24" eb="25">
      <t>ゼン</t>
    </rPh>
    <rPh sb="49" eb="50">
      <t>アマ</t>
    </rPh>
    <rPh sb="52" eb="53">
      <t>ホン</t>
    </rPh>
    <rPh sb="56" eb="57">
      <t>トナリ</t>
    </rPh>
    <rPh sb="69" eb="71">
      <t>カホク</t>
    </rPh>
    <phoneticPr fontId="3"/>
  </si>
  <si>
    <r>
      <t>・同ブロック内(北加賀・南加賀)の1位を左右の山に均等に分ける。そのため、河北(北加賀)と金沢
　(北加賀)は左右の山に分ける。能登(能登)、白山・野々市(南加賀)、能美(南加賀)、小松(南加賀)は、
　2チームずつ左右の山に分ける。</t>
    </r>
    <r>
      <rPr>
        <u val="double"/>
        <sz val="10"/>
        <color rgb="FF000000"/>
        <rFont val="HG丸ｺﾞｼｯｸM-PRO"/>
        <family val="3"/>
        <charset val="128"/>
      </rPr>
      <t xml:space="preserve">ただし、南加賀ブロック内(能美、小松、白山・野々市)の地区予選
</t>
    </r>
    <r>
      <rPr>
        <sz val="10"/>
        <color rgb="FF000000"/>
        <rFont val="HG丸ｺﾞｼｯｸM-PRO"/>
        <family val="3"/>
        <charset val="128"/>
      </rPr>
      <t>　</t>
    </r>
    <r>
      <rPr>
        <u val="double"/>
        <sz val="10"/>
        <color rgb="FF000000"/>
        <rFont val="HG丸ｺﾞｼｯｸM-PRO"/>
        <family val="3"/>
        <charset val="128"/>
      </rPr>
      <t>1位どうしは準決勝まで対戦がないようにする。</t>
    </r>
    <rPh sb="55" eb="57">
      <t>サユウ</t>
    </rPh>
    <rPh sb="60" eb="61">
      <t>ワ</t>
    </rPh>
    <rPh sb="108" eb="110">
      <t>サユウ</t>
    </rPh>
    <rPh sb="113" eb="114">
      <t>ワ</t>
    </rPh>
    <rPh sb="144" eb="146">
      <t>チク</t>
    </rPh>
    <phoneticPr fontId="3"/>
  </si>
  <si>
    <r>
      <t>・</t>
    </r>
    <r>
      <rPr>
        <u val="double"/>
        <sz val="10"/>
        <rFont val="HG丸ｺﾞｼｯｸM-PRO"/>
        <family val="3"/>
        <charset val="128"/>
      </rPr>
      <t>同地区予選の1位と2位は準決勝まで対戦がないようにする。</t>
    </r>
    <r>
      <rPr>
        <sz val="10"/>
        <rFont val="HG丸ｺﾞｼｯｸM-PRO"/>
        <family val="3"/>
        <charset val="128"/>
      </rPr>
      <t>(能登、河北、金沢、白山・野々市)</t>
    </r>
    <rPh sb="33" eb="35">
      <t>カホク</t>
    </rPh>
    <phoneticPr fontId="3"/>
  </si>
  <si>
    <r>
      <t>・1位チームが</t>
    </r>
    <r>
      <rPr>
        <u val="double"/>
        <sz val="10"/>
        <rFont val="HG丸ｺﾞｼｯｸM-PRO"/>
        <family val="3"/>
        <charset val="128"/>
      </rPr>
      <t>左右の山に3チームずつ入るようにする。</t>
    </r>
    <rPh sb="7" eb="9">
      <t>サユウ</t>
    </rPh>
    <rPh sb="10" eb="11">
      <t>ヤマ</t>
    </rPh>
    <phoneticPr fontId="3"/>
  </si>
  <si>
    <r>
      <t>・1位チームが</t>
    </r>
    <r>
      <rPr>
        <u val="double"/>
        <sz val="10"/>
        <rFont val="HG丸ｺﾞｼｯｸM-PRO"/>
        <family val="3"/>
        <charset val="128"/>
      </rPr>
      <t>左右の各山に3チームずつ入るようにする。</t>
    </r>
    <rPh sb="7" eb="9">
      <t>サユウ</t>
    </rPh>
    <phoneticPr fontId="3"/>
  </si>
  <si>
    <r>
      <t>(3)郡地区予選2位の3チームが、</t>
    </r>
    <r>
      <rPr>
        <u val="double"/>
        <sz val="10"/>
        <rFont val="HG丸ｺﾞｼｯｸM-PRO"/>
        <family val="3"/>
        <charset val="128"/>
      </rPr>
      <t>1回戦で予選1位全チームと対戦しない場所4本</t>
    </r>
    <r>
      <rPr>
        <sz val="10"/>
        <rFont val="HG丸ｺﾞｼｯｸM-PRO"/>
        <family val="3"/>
        <charset val="128"/>
      </rPr>
      <t>(抽選(1)(2)の余り
　2本とその隣)の中から抽選。(能登、金沢、白山・野々市)</t>
    </r>
    <phoneticPr fontId="3"/>
  </si>
  <si>
    <r>
      <t>・</t>
    </r>
    <r>
      <rPr>
        <u val="double"/>
        <sz val="10"/>
        <rFont val="HG丸ｺﾞｼｯｸM-PRO"/>
        <family val="3"/>
        <charset val="128"/>
      </rPr>
      <t>同地区予選の1位と2位は準決勝まで対戦がないようにする。</t>
    </r>
    <r>
      <rPr>
        <sz val="10"/>
        <rFont val="HG丸ｺﾞｼｯｸM-PRO"/>
        <family val="3"/>
        <charset val="128"/>
      </rPr>
      <t>(能登、金沢、白山・野々市)</t>
    </r>
    <phoneticPr fontId="3"/>
  </si>
  <si>
    <r>
      <t>(2)1チームのみ出場している地区の1位2チーム(能美、小松)が④、⑤、⑫、⑬のうちの、
　</t>
    </r>
    <r>
      <rPr>
        <u val="double"/>
        <sz val="10"/>
        <rFont val="HG丸ｺﾞｼｯｸM-PRO"/>
        <family val="3"/>
        <charset val="128"/>
      </rPr>
      <t>白山・野々市1位の山に最も近い場所を除いた3本の中から抽選。</t>
    </r>
    <rPh sb="15" eb="17">
      <t>チク</t>
    </rPh>
    <phoneticPr fontId="3"/>
  </si>
  <si>
    <t>学校名
(入力)</t>
    <rPh sb="0" eb="3">
      <t>ガッコウメイ</t>
    </rPh>
    <rPh sb="5" eb="7">
      <t>ニュウリョク</t>
    </rPh>
    <phoneticPr fontId="3"/>
  </si>
  <si>
    <t>－</t>
    <phoneticPr fontId="3"/>
  </si>
  <si>
    <t>①</t>
    <phoneticPr fontId="3"/>
  </si>
  <si>
    <t>5年連続9回目</t>
  </si>
  <si>
    <t>酒巻　浩司</t>
    <rPh sb="0" eb="2">
      <t>サカマキ</t>
    </rPh>
    <rPh sb="3" eb="5">
      <t>コウジ</t>
    </rPh>
    <phoneticPr fontId="3"/>
  </si>
  <si>
    <t>B</t>
  </si>
  <si>
    <t>石田　和也</t>
    <rPh sb="0" eb="2">
      <t>イシダ</t>
    </rPh>
    <rPh sb="3" eb="5">
      <t>カズヤ</t>
    </rPh>
    <phoneticPr fontId="3"/>
  </si>
  <si>
    <t>小畠　悠大</t>
    <rPh sb="0" eb="2">
      <t>コバタケ</t>
    </rPh>
    <rPh sb="3" eb="4">
      <t>ユウ</t>
    </rPh>
    <rPh sb="4" eb="5">
      <t>ダイ</t>
    </rPh>
    <phoneticPr fontId="3"/>
  </si>
  <si>
    <t>山本　悠祐</t>
    <rPh sb="0" eb="2">
      <t>ヤマモト</t>
    </rPh>
    <rPh sb="3" eb="5">
      <t>ユウスケ</t>
    </rPh>
    <phoneticPr fontId="3"/>
  </si>
  <si>
    <t>長谷川　慎</t>
    <rPh sb="0" eb="3">
      <t>ハセガワ</t>
    </rPh>
    <rPh sb="4" eb="5">
      <t>シン</t>
    </rPh>
    <phoneticPr fontId="3"/>
  </si>
  <si>
    <t>島　敦志</t>
    <rPh sb="0" eb="1">
      <t>シマ</t>
    </rPh>
    <phoneticPr fontId="3"/>
  </si>
  <si>
    <t>羽咋郡</t>
    <rPh sb="0" eb="3">
      <t>ハクイグン</t>
    </rPh>
    <phoneticPr fontId="3"/>
  </si>
  <si>
    <t>河北郡</t>
    <rPh sb="0" eb="3">
      <t>カホクグン</t>
    </rPh>
    <phoneticPr fontId="3"/>
  </si>
  <si>
    <t>金沢市</t>
    <rPh sb="0" eb="3">
      <t>カナザワシ</t>
    </rPh>
    <phoneticPr fontId="3"/>
  </si>
  <si>
    <t>石川郡</t>
    <rPh sb="0" eb="3">
      <t>イシカワグン</t>
    </rPh>
    <phoneticPr fontId="3"/>
  </si>
  <si>
    <t>学校名</t>
    <rPh sb="0" eb="3">
      <t>ガッコウメイ</t>
    </rPh>
    <phoneticPr fontId="3"/>
  </si>
  <si>
    <t>鹿島郡</t>
    <rPh sb="0" eb="3">
      <t>カシマグン</t>
    </rPh>
    <phoneticPr fontId="3"/>
  </si>
  <si>
    <t>能美郡</t>
    <rPh sb="0" eb="3">
      <t>ノミグン</t>
    </rPh>
    <phoneticPr fontId="3"/>
  </si>
  <si>
    <t>河島　統志</t>
  </si>
  <si>
    <r>
      <t>会　　　長　　　</t>
    </r>
    <r>
      <rPr>
        <sz val="14"/>
        <rFont val="ＭＳ Ｐ明朝"/>
        <family val="1"/>
        <charset val="128"/>
      </rPr>
      <t>小 石　一 寛</t>
    </r>
    <r>
      <rPr>
        <sz val="11"/>
        <rFont val="ＭＳ Ｐ明朝"/>
        <family val="1"/>
        <charset val="128"/>
      </rPr>
      <t>　　印</t>
    </r>
    <rPh sb="8" eb="9">
      <t>チイ</t>
    </rPh>
    <rPh sb="10" eb="11">
      <t>イシ</t>
    </rPh>
    <rPh sb="12" eb="13">
      <t>イチ</t>
    </rPh>
    <rPh sb="14" eb="15">
      <t>ヒロ</t>
    </rPh>
    <phoneticPr fontId="3"/>
  </si>
  <si>
    <t>〒921-8151</t>
    <phoneticPr fontId="3"/>
  </si>
  <si>
    <t>山 本　悠 祐</t>
    <rPh sb="0" eb="1">
      <t>ヤマ</t>
    </rPh>
    <rPh sb="2" eb="3">
      <t>ホン</t>
    </rPh>
    <rPh sb="4" eb="5">
      <t>ユウ</t>
    </rPh>
    <rPh sb="6" eb="7">
      <t>ユウ</t>
    </rPh>
    <phoneticPr fontId="3"/>
  </si>
  <si>
    <t>小石　一寛</t>
    <rPh sb="0" eb="2">
      <t>コイシ</t>
    </rPh>
    <rPh sb="3" eb="4">
      <t>イチ</t>
    </rPh>
    <rPh sb="4" eb="5">
      <t>ヒロ</t>
    </rPh>
    <phoneticPr fontId="3"/>
  </si>
  <si>
    <t>志村　信幸</t>
    <rPh sb="0" eb="2">
      <t>シムラ</t>
    </rPh>
    <rPh sb="3" eb="5">
      <t>ノブユキ</t>
    </rPh>
    <phoneticPr fontId="3"/>
  </si>
  <si>
    <t>米澤　大輝</t>
    <phoneticPr fontId="3"/>
  </si>
  <si>
    <r>
      <rPr>
        <sz val="11"/>
        <color theme="1"/>
        <rFont val="AR P丸ゴシック体M04"/>
        <family val="3"/>
        <charset val="128"/>
      </rPr>
      <t>山本E-mail</t>
    </r>
    <r>
      <rPr>
        <sz val="11"/>
        <color rgb="FF000000"/>
        <rFont val="AR P丸ゴシック体M04"/>
        <family val="3"/>
        <charset val="128"/>
      </rPr>
      <t>：　p.yusuke.111@gmail.com</t>
    </r>
    <rPh sb="0" eb="2">
      <t>ヤマモト</t>
    </rPh>
    <phoneticPr fontId="3"/>
  </si>
  <si>
    <t>メールアドレス：　p.yusuke.111@gmail.com</t>
    <phoneticPr fontId="3"/>
  </si>
  <si>
    <r>
      <t>専門委員長　　</t>
    </r>
    <r>
      <rPr>
        <sz val="20"/>
        <rFont val="HG丸ｺﾞｼｯｸM-PRO"/>
        <family val="3"/>
        <charset val="128"/>
      </rPr>
      <t>山本　悠祐</t>
    </r>
    <rPh sb="0" eb="2">
      <t>センモン</t>
    </rPh>
    <rPh sb="2" eb="4">
      <t>イイン</t>
    </rPh>
    <rPh sb="4" eb="5">
      <t>ナガ</t>
    </rPh>
    <rPh sb="7" eb="9">
      <t>ヤマモト</t>
    </rPh>
    <rPh sb="10" eb="12">
      <t>ユウスケ</t>
    </rPh>
    <phoneticPr fontId="3"/>
  </si>
  <si>
    <t>星稜</t>
    <phoneticPr fontId="3"/>
  </si>
  <si>
    <t>黒田　拓麻</t>
    <rPh sb="0" eb="2">
      <t>クロダ</t>
    </rPh>
    <rPh sb="3" eb="5">
      <t>タクマ</t>
    </rPh>
    <phoneticPr fontId="3"/>
  </si>
  <si>
    <t>廣瀨　章</t>
    <rPh sb="0" eb="2">
      <t>ヒロセ</t>
    </rPh>
    <rPh sb="3" eb="4">
      <t>アキラ</t>
    </rPh>
    <phoneticPr fontId="3"/>
  </si>
  <si>
    <t>日時：</t>
    <rPh sb="0" eb="2">
      <t>ニチジ</t>
    </rPh>
    <phoneticPr fontId="3"/>
  </si>
  <si>
    <t>会場：</t>
    <rPh sb="0" eb="2">
      <t>カイジョウ</t>
    </rPh>
    <phoneticPr fontId="3"/>
  </si>
  <si>
    <t>ｖｓ</t>
    <phoneticPr fontId="3"/>
  </si>
  <si>
    <t>1．スケジュール</t>
    <phoneticPr fontId="3"/>
  </si>
  <si>
    <t>時刻</t>
    <rPh sb="0" eb="2">
      <t>ジコク</t>
    </rPh>
    <phoneticPr fontId="3"/>
  </si>
  <si>
    <t>実　施　項　目</t>
    <rPh sb="0" eb="1">
      <t>ジツ</t>
    </rPh>
    <rPh sb="2" eb="3">
      <t>シ</t>
    </rPh>
    <rPh sb="4" eb="5">
      <t>コウ</t>
    </rPh>
    <rPh sb="6" eb="7">
      <t>メ</t>
    </rPh>
    <phoneticPr fontId="3"/>
  </si>
  <si>
    <t>分前</t>
    <rPh sb="0" eb="1">
      <t>フン</t>
    </rPh>
    <rPh sb="1" eb="2">
      <t>マエ</t>
    </rPh>
    <phoneticPr fontId="3"/>
  </si>
  <si>
    <t>マッチコミッショナー、審判員、両チーム選手到着</t>
    <rPh sb="11" eb="14">
      <t>シンパンイン</t>
    </rPh>
    <rPh sb="15" eb="16">
      <t>リョウ</t>
    </rPh>
    <rPh sb="19" eb="21">
      <t>センシュ</t>
    </rPh>
    <rPh sb="21" eb="23">
      <t>トウチャク</t>
    </rPh>
    <phoneticPr fontId="3"/>
  </si>
  <si>
    <t>ピッチ内ウォーミングアップ開始</t>
    <rPh sb="3" eb="4">
      <t>ナイ</t>
    </rPh>
    <rPh sb="13" eb="15">
      <t>カイシ</t>
    </rPh>
    <phoneticPr fontId="3"/>
  </si>
  <si>
    <t>ピッチ内ウォーミングアップ終了</t>
    <rPh sb="3" eb="4">
      <t>ナイ</t>
    </rPh>
    <rPh sb="13" eb="15">
      <t>シュウリョウ</t>
    </rPh>
    <phoneticPr fontId="3"/>
  </si>
  <si>
    <t>メンバーチェック</t>
    <phoneticPr fontId="3"/>
  </si>
  <si>
    <t>前半キックオフ</t>
    <rPh sb="0" eb="2">
      <t>ゼンハン</t>
    </rPh>
    <phoneticPr fontId="3"/>
  </si>
  <si>
    <t>予定</t>
    <rPh sb="0" eb="2">
      <t>ヨテイ</t>
    </rPh>
    <phoneticPr fontId="3"/>
  </si>
  <si>
    <t>前半終了</t>
    <rPh sb="0" eb="2">
      <t>ゼンハン</t>
    </rPh>
    <rPh sb="2" eb="4">
      <t>シュウリョウ</t>
    </rPh>
    <phoneticPr fontId="3"/>
  </si>
  <si>
    <t>後半キックオフ（前半終了10分後）</t>
    <rPh sb="0" eb="2">
      <t>コウハン</t>
    </rPh>
    <rPh sb="8" eb="10">
      <t>ゼンハン</t>
    </rPh>
    <rPh sb="10" eb="12">
      <t>シュウリョウ</t>
    </rPh>
    <rPh sb="14" eb="15">
      <t>フン</t>
    </rPh>
    <rPh sb="15" eb="16">
      <t>ゴ</t>
    </rPh>
    <phoneticPr fontId="3"/>
  </si>
  <si>
    <r>
      <t xml:space="preserve">マッチコーディネーションミーティング
</t>
    </r>
    <r>
      <rPr>
        <sz val="11"/>
        <rFont val="ＭＳ Ｐゴシック"/>
        <family val="3"/>
        <charset val="128"/>
      </rPr>
      <t>（参加者：マッチコミッショナー、審判員、両チーム監督、運営委員）</t>
    </r>
    <rPh sb="20" eb="23">
      <t>サンカシャ</t>
    </rPh>
    <rPh sb="35" eb="38">
      <t>シンパンイン</t>
    </rPh>
    <rPh sb="39" eb="40">
      <t>リョウ</t>
    </rPh>
    <rPh sb="43" eb="45">
      <t>カントク</t>
    </rPh>
    <rPh sb="46" eb="48">
      <t>ウンエイ</t>
    </rPh>
    <rPh sb="48" eb="50">
      <t>イイン</t>
    </rPh>
    <phoneticPr fontId="3"/>
  </si>
  <si>
    <r>
      <t xml:space="preserve">ピッチインスペクション
</t>
    </r>
    <r>
      <rPr>
        <sz val="11"/>
        <rFont val="ＭＳ Ｐゴシック"/>
        <family val="3"/>
        <charset val="128"/>
      </rPr>
      <t>（マッチコミッショナー、審判員、運営委員）</t>
    </r>
    <rPh sb="24" eb="27">
      <t>シンパンイン</t>
    </rPh>
    <rPh sb="28" eb="30">
      <t>ウンエイ</t>
    </rPh>
    <rPh sb="30" eb="32">
      <t>イイン</t>
    </rPh>
    <phoneticPr fontId="3"/>
  </si>
  <si>
    <t>【注意事項】</t>
    <rPh sb="1" eb="3">
      <t>チュウイ</t>
    </rPh>
    <rPh sb="3" eb="5">
      <t>ジコウ</t>
    </rPh>
    <phoneticPr fontId="3"/>
  </si>
  <si>
    <t>　1．ゲーム中の控え選手のアップは両端の決められた場所でお願いします。</t>
    <rPh sb="6" eb="7">
      <t>チュウ</t>
    </rPh>
    <rPh sb="8" eb="9">
      <t>ヒカ</t>
    </rPh>
    <rPh sb="10" eb="12">
      <t>センシュ</t>
    </rPh>
    <rPh sb="17" eb="19">
      <t>リョウハシ</t>
    </rPh>
    <rPh sb="20" eb="21">
      <t>キ</t>
    </rPh>
    <rPh sb="25" eb="27">
      <t>バショ</t>
    </rPh>
    <rPh sb="29" eb="30">
      <t>ネガ</t>
    </rPh>
    <phoneticPr fontId="3"/>
  </si>
  <si>
    <t>　　　ボールは使用できません。ビブスの着用をお願いします。</t>
    <rPh sb="7" eb="9">
      <t>シヨウ</t>
    </rPh>
    <rPh sb="19" eb="21">
      <t>チャクヨウ</t>
    </rPh>
    <rPh sb="23" eb="24">
      <t>ネガ</t>
    </rPh>
    <phoneticPr fontId="3"/>
  </si>
  <si>
    <t>　2．出場停止選手の確認</t>
    <rPh sb="3" eb="5">
      <t>シュツジョウ</t>
    </rPh>
    <rPh sb="5" eb="7">
      <t>テイシ</t>
    </rPh>
    <rPh sb="7" eb="9">
      <t>センシュ</t>
    </rPh>
    <rPh sb="10" eb="12">
      <t>カクニン</t>
    </rPh>
    <phoneticPr fontId="3"/>
  </si>
  <si>
    <t>2．ユニフォーム（シャツ／ショーツ／ソックス）</t>
    <phoneticPr fontId="3"/>
  </si>
  <si>
    <t>ビブス</t>
    <phoneticPr fontId="3"/>
  </si>
  <si>
    <t>G　　K</t>
    <phoneticPr fontId="3"/>
  </si>
  <si>
    <t>F　　P</t>
    <phoneticPr fontId="3"/>
  </si>
  <si>
    <t>3．役員</t>
    <rPh sb="2" eb="4">
      <t>ヤクイン</t>
    </rPh>
    <phoneticPr fontId="3"/>
  </si>
  <si>
    <t>マッチコミッショナー</t>
    <phoneticPr fontId="3"/>
  </si>
  <si>
    <t>運営委員</t>
    <rPh sb="0" eb="2">
      <t>ウンエイ</t>
    </rPh>
    <rPh sb="2" eb="4">
      <t>イイン</t>
    </rPh>
    <phoneticPr fontId="3"/>
  </si>
  <si>
    <t>第４審判員</t>
    <rPh sb="0" eb="1">
      <t>ダイ</t>
    </rPh>
    <rPh sb="2" eb="5">
      <t>シンパンイン</t>
    </rPh>
    <phoneticPr fontId="3"/>
  </si>
  <si>
    <t>主　審</t>
    <rPh sb="0" eb="1">
      <t>オモ</t>
    </rPh>
    <rPh sb="2" eb="3">
      <t>シン</t>
    </rPh>
    <phoneticPr fontId="3"/>
  </si>
  <si>
    <t>副審　１</t>
    <rPh sb="0" eb="1">
      <t>フク</t>
    </rPh>
    <rPh sb="1" eb="2">
      <t>シン</t>
    </rPh>
    <phoneticPr fontId="3"/>
  </si>
  <si>
    <t>副審　２</t>
    <rPh sb="0" eb="1">
      <t>フク</t>
    </rPh>
    <rPh sb="1" eb="2">
      <t>シン</t>
    </rPh>
    <phoneticPr fontId="3"/>
  </si>
  <si>
    <t>９：００キックオフ</t>
    <phoneticPr fontId="3"/>
  </si>
  <si>
    <t>準決勝　マッチタイムスケジュール</t>
    <rPh sb="0" eb="3">
      <t>ジュンケッショウ</t>
    </rPh>
    <phoneticPr fontId="3"/>
  </si>
  <si>
    <t>決勝　マッチタイムスケジュール</t>
    <rPh sb="0" eb="2">
      <t>ケッショウ</t>
    </rPh>
    <phoneticPr fontId="3"/>
  </si>
  <si>
    <t>１４：１５キックオフ</t>
    <phoneticPr fontId="3"/>
  </si>
  <si>
    <t>黒川　陸郎</t>
    <rPh sb="0" eb="2">
      <t>クロカワ</t>
    </rPh>
    <rPh sb="3" eb="4">
      <t>リク</t>
    </rPh>
    <rPh sb="4" eb="5">
      <t>ロウ</t>
    </rPh>
    <phoneticPr fontId="3"/>
  </si>
  <si>
    <t>米澤　大輝</t>
    <rPh sb="0" eb="2">
      <t>ヨネザワ</t>
    </rPh>
    <rPh sb="3" eb="5">
      <t>ダイキ</t>
    </rPh>
    <phoneticPr fontId="3"/>
  </si>
  <si>
    <t>阿部　勇仁</t>
    <rPh sb="0" eb="2">
      <t>アベ</t>
    </rPh>
    <rPh sb="3" eb="5">
      <t>ユウジン</t>
    </rPh>
    <phoneticPr fontId="3"/>
  </si>
  <si>
    <t>中川　幸樹</t>
    <rPh sb="0" eb="2">
      <t>ナカガワ</t>
    </rPh>
    <rPh sb="3" eb="5">
      <t>コウキ</t>
    </rPh>
    <phoneticPr fontId="3"/>
  </si>
  <si>
    <t>両チーム選手・審判員入場→選手・審判員挨拶→コイントス</t>
    <rPh sb="0" eb="1">
      <t>リョウ</t>
    </rPh>
    <rPh sb="4" eb="6">
      <t>センシュ</t>
    </rPh>
    <rPh sb="7" eb="10">
      <t>シンパンイン</t>
    </rPh>
    <rPh sb="10" eb="12">
      <t>ニュウジョウ</t>
    </rPh>
    <rPh sb="13" eb="15">
      <t>センシュ</t>
    </rPh>
    <rPh sb="16" eb="19">
      <t>シンパンイン</t>
    </rPh>
    <rPh sb="19" eb="21">
      <t>アイサツ</t>
    </rPh>
    <phoneticPr fontId="3"/>
  </si>
  <si>
    <r>
      <t xml:space="preserve">試合終了・選手・審判員挨拶
</t>
    </r>
    <r>
      <rPr>
        <sz val="10"/>
        <rFont val="ＭＳ Ｐゴシック"/>
        <family val="3"/>
        <charset val="128"/>
      </rPr>
      <t>※60分で勝敗が決しない場合は、10分間の延長戦を行う。延長に入る間のインターバルは3分を確保する。それでも決しない場合は、PK方式で決する。その際のインターバルは1分（程度）を確保する。</t>
    </r>
    <rPh sb="0" eb="2">
      <t>シアイ</t>
    </rPh>
    <rPh sb="2" eb="4">
      <t>シュウリョウ</t>
    </rPh>
    <rPh sb="5" eb="7">
      <t>センシュ</t>
    </rPh>
    <rPh sb="8" eb="11">
      <t>シンパンイン</t>
    </rPh>
    <rPh sb="11" eb="13">
      <t>アイサツ</t>
    </rPh>
    <rPh sb="17" eb="18">
      <t>フン</t>
    </rPh>
    <rPh sb="19" eb="21">
      <t>ショウハイ</t>
    </rPh>
    <rPh sb="22" eb="23">
      <t>ケッ</t>
    </rPh>
    <rPh sb="26" eb="28">
      <t>バアイ</t>
    </rPh>
    <rPh sb="32" eb="33">
      <t>フン</t>
    </rPh>
    <rPh sb="33" eb="34">
      <t>カン</t>
    </rPh>
    <rPh sb="35" eb="38">
      <t>エンチョウセン</t>
    </rPh>
    <rPh sb="39" eb="40">
      <t>オコナ</t>
    </rPh>
    <rPh sb="42" eb="44">
      <t>エンチョウ</t>
    </rPh>
    <rPh sb="45" eb="46">
      <t>ハイ</t>
    </rPh>
    <rPh sb="47" eb="48">
      <t>マ</t>
    </rPh>
    <rPh sb="57" eb="58">
      <t>フン</t>
    </rPh>
    <rPh sb="59" eb="61">
      <t>カクホ</t>
    </rPh>
    <rPh sb="68" eb="69">
      <t>ケッ</t>
    </rPh>
    <rPh sb="72" eb="74">
      <t>バアイ</t>
    </rPh>
    <rPh sb="78" eb="80">
      <t>ホウシキ</t>
    </rPh>
    <rPh sb="81" eb="82">
      <t>ケッ</t>
    </rPh>
    <rPh sb="87" eb="88">
      <t>サイ</t>
    </rPh>
    <rPh sb="97" eb="98">
      <t>フン</t>
    </rPh>
    <rPh sb="99" eb="101">
      <t>テイド</t>
    </rPh>
    <rPh sb="103" eb="105">
      <t>カクホ</t>
    </rPh>
    <phoneticPr fontId="3"/>
  </si>
  <si>
    <t>第1試合終了後</t>
    <rPh sb="0" eb="1">
      <t>ダイ</t>
    </rPh>
    <rPh sb="2" eb="4">
      <t>シアイ</t>
    </rPh>
    <rPh sb="4" eb="7">
      <t>シュウリョウゴ</t>
    </rPh>
    <phoneticPr fontId="3"/>
  </si>
  <si>
    <t>白山市立北星中学校</t>
    <rPh sb="0" eb="2">
      <t>ハクサン</t>
    </rPh>
    <rPh sb="2" eb="4">
      <t>シリツ</t>
    </rPh>
    <rPh sb="4" eb="6">
      <t>ホクセイ</t>
    </rPh>
    <rPh sb="6" eb="9">
      <t>チュウガッコウ</t>
    </rPh>
    <phoneticPr fontId="3"/>
  </si>
  <si>
    <t>若狭　朋幸</t>
    <rPh sb="0" eb="2">
      <t>ワカサ</t>
    </rPh>
    <rPh sb="3" eb="4">
      <t>トモ</t>
    </rPh>
    <rPh sb="4" eb="5">
      <t>サチ</t>
    </rPh>
    <phoneticPr fontId="3"/>
  </si>
  <si>
    <t>２．閉会式</t>
    <rPh sb="2" eb="5">
      <t>ヘイカイシキ</t>
    </rPh>
    <rPh sb="3" eb="5">
      <t>エシキ</t>
    </rPh>
    <phoneticPr fontId="3"/>
  </si>
  <si>
    <t>村中　大吾</t>
    <rPh sb="0" eb="2">
      <t>ムラナカ</t>
    </rPh>
    <rPh sb="3" eb="5">
      <t>ダイゴ</t>
    </rPh>
    <phoneticPr fontId="3"/>
  </si>
  <si>
    <t>木元　正樹</t>
    <rPh sb="0" eb="2">
      <t>キモト</t>
    </rPh>
    <rPh sb="3" eb="5">
      <t>マサキ</t>
    </rPh>
    <phoneticPr fontId="3"/>
  </si>
  <si>
    <t>長瀬　太一</t>
    <rPh sb="0" eb="2">
      <t>ナガセ</t>
    </rPh>
    <rPh sb="3" eb="5">
      <t>タイチ</t>
    </rPh>
    <phoneticPr fontId="3"/>
  </si>
  <si>
    <t>１０：４０キックオフ</t>
    <phoneticPr fontId="3"/>
  </si>
  <si>
    <t>〒924-0026</t>
    <phoneticPr fontId="3"/>
  </si>
  <si>
    <t>白山市平木町112－1</t>
    <rPh sb="0" eb="3">
      <t>ハクサンシ</t>
    </rPh>
    <rPh sb="3" eb="6">
      <t>ヒラギマチ</t>
    </rPh>
    <phoneticPr fontId="3"/>
  </si>
  <si>
    <t>白山市立北星中学校</t>
    <rPh sb="0" eb="4">
      <t>ハクサンシリツ</t>
    </rPh>
    <rPh sb="4" eb="6">
      <t>ホクセイ</t>
    </rPh>
    <rPh sb="6" eb="9">
      <t>チュウガッコウ</t>
    </rPh>
    <phoneticPr fontId="3"/>
  </si>
  <si>
    <t>Tel.（076）275－4454　　　Fax.（076）275－4457</t>
    <phoneticPr fontId="3"/>
  </si>
  <si>
    <t>表彰式</t>
    <rPh sb="0" eb="3">
      <t>ヒョウショウシキ</t>
    </rPh>
    <phoneticPr fontId="3"/>
  </si>
  <si>
    <t>茶林　一誠</t>
  </si>
  <si>
    <t>黒田　拓麻</t>
  </si>
  <si>
    <t>中川　幸樹</t>
  </si>
  <si>
    <t>米田　圭吾</t>
  </si>
  <si>
    <t>清水　淳一</t>
  </si>
  <si>
    <t>技術・記録係</t>
    <rPh sb="0" eb="2">
      <t>ギジュツ</t>
    </rPh>
    <rPh sb="3" eb="6">
      <t>キロクガカリ</t>
    </rPh>
    <phoneticPr fontId="3"/>
  </si>
  <si>
    <t>押田　哲治</t>
    <rPh sb="0" eb="2">
      <t>オシダ</t>
    </rPh>
    <rPh sb="3" eb="5">
      <t>テツハル</t>
    </rPh>
    <phoneticPr fontId="1"/>
  </si>
  <si>
    <t>杉村　正輝</t>
    <rPh sb="0" eb="2">
      <t>スギムラ</t>
    </rPh>
    <rPh sb="3" eb="5">
      <t>マサテル</t>
    </rPh>
    <phoneticPr fontId="1"/>
  </si>
  <si>
    <t>正：　黄　　・　　緑　　・　　黄
副：　白　　・　　白　 ・　　白　</t>
    <rPh sb="0" eb="1">
      <t>セイ</t>
    </rPh>
    <rPh sb="3" eb="4">
      <t>キ</t>
    </rPh>
    <rPh sb="9" eb="10">
      <t>ミドリ</t>
    </rPh>
    <rPh sb="15" eb="16">
      <t>キ</t>
    </rPh>
    <rPh sb="17" eb="18">
      <t>フク</t>
    </rPh>
    <rPh sb="20" eb="21">
      <t>シロ</t>
    </rPh>
    <rPh sb="26" eb="27">
      <t>シロ</t>
    </rPh>
    <rPh sb="32" eb="33">
      <t>シロ</t>
    </rPh>
    <phoneticPr fontId="3"/>
  </si>
  <si>
    <t>押田　哲治</t>
    <rPh sb="0" eb="2">
      <t>オシダ</t>
    </rPh>
    <rPh sb="3" eb="5">
      <t>テツハル</t>
    </rPh>
    <phoneticPr fontId="3"/>
  </si>
  <si>
    <t>黒田　拓麻</t>
    <rPh sb="0" eb="2">
      <t>クロダ</t>
    </rPh>
    <rPh sb="3" eb="5">
      <t>タクマ</t>
    </rPh>
    <phoneticPr fontId="3"/>
  </si>
  <si>
    <t>(月)</t>
    <rPh sb="1" eb="2">
      <t>ゲツ</t>
    </rPh>
    <phoneticPr fontId="3"/>
  </si>
  <si>
    <t>令和4年10月8日(土)、9日(日)、10日(月)</t>
    <rPh sb="23" eb="24">
      <t>ゲツ</t>
    </rPh>
    <phoneticPr fontId="3"/>
  </si>
  <si>
    <r>
      <t>ユニフォーム（シャツ，ショーツ，ソックス）は正のほかに，副として異なる色のユニフォーム（シャツ，ショーツ，ソックス）を参加申込書に記載し、必ず試合会場まで携行すること。（ナショナルチームエンブレム・広告等の入ったユニフォームは、その部分を覆う。）審判員と同一色または類似色（黒または紺）のユニフォームをシャツに用いることはできない。なお，背番号は１番から99番の番号とする。ユニフォームのシャツが縞柄等であって明確な識別が困難なときには、背番号表示をわかりやすくすること。</t>
    </r>
    <r>
      <rPr>
        <b/>
        <sz val="11"/>
        <color theme="1"/>
        <rFont val="AR P丸ゴシック体M04"/>
        <family val="3"/>
        <charset val="128"/>
      </rPr>
      <t>ソックスにテープまたはその他の材質のものを貼り付ける、または外部に着用する場合、ソックスと同色でなくても良い。アンダーシャツ、アンダーショーツおよびタイツの色は問わない。ただし原則としてチーム内で同色のものを着用する。</t>
    </r>
    <r>
      <rPr>
        <sz val="11"/>
        <color theme="1"/>
        <rFont val="AR P丸ゴシック体M04"/>
        <family val="3"/>
        <charset val="128"/>
      </rPr>
      <t>主審は、対戦するチームのユニフォームの色彩が類似しており判別しがたいと判断したときは、両チームの立ち会いのもとに、その試合において着用するユニフォームを決定する。その場合、主審は、両チームの各２組のユニフォームのうちから、シャツ、ショーツ及びソックスのそれぞれについて、判別しやすい組み合わせを決定することができる。その他に関しては(公財)日本サッカー協会ユニフォーム規定に準ずる。</t>
    </r>
    <rPh sb="222" eb="224">
      <t>ヒョウジ</t>
    </rPh>
    <phoneticPr fontId="3"/>
  </si>
  <si>
    <t>金沢市横川7丁目50番地1
 　　　　　　　　　87ビル横川1F</t>
    <rPh sb="0" eb="3">
      <t>カナザワシ</t>
    </rPh>
    <rPh sb="3" eb="5">
      <t>ヨコガワ</t>
    </rPh>
    <rPh sb="6" eb="8">
      <t>チョウメ</t>
    </rPh>
    <rPh sb="10" eb="12">
      <t>バンチ</t>
    </rPh>
    <rPh sb="28" eb="30">
      <t>ヨコガワ</t>
    </rPh>
    <phoneticPr fontId="3"/>
  </si>
  <si>
    <t>木下　貴博</t>
    <rPh sb="0" eb="2">
      <t>キノシタ</t>
    </rPh>
    <rPh sb="3" eb="5">
      <t>タカヒロ</t>
    </rPh>
    <phoneticPr fontId="3"/>
  </si>
  <si>
    <t>才鴈　浩子</t>
    <rPh sb="0" eb="1">
      <t>サイ</t>
    </rPh>
    <rPh sb="1" eb="2">
      <t>ガン</t>
    </rPh>
    <rPh sb="3" eb="5">
      <t>ヒロコ</t>
    </rPh>
    <phoneticPr fontId="3"/>
  </si>
  <si>
    <t>池田　和貴</t>
    <rPh sb="0" eb="2">
      <t>イケダ</t>
    </rPh>
    <rPh sb="3" eb="4">
      <t>ワ</t>
    </rPh>
    <rPh sb="4" eb="5">
      <t>キ</t>
    </rPh>
    <phoneticPr fontId="0"/>
  </si>
  <si>
    <t>荻原　海</t>
    <rPh sb="0" eb="2">
      <t>オギワラ</t>
    </rPh>
    <rPh sb="3" eb="4">
      <t>ウミ</t>
    </rPh>
    <phoneticPr fontId="3"/>
  </si>
  <si>
    <t>村中　大吾　</t>
    <rPh sb="0" eb="2">
      <t>ムラナカ</t>
    </rPh>
    <rPh sb="3" eb="5">
      <t>ダイゴ</t>
    </rPh>
    <phoneticPr fontId="3"/>
  </si>
  <si>
    <t>南　　昇吾</t>
    <rPh sb="0" eb="1">
      <t>ミナミ</t>
    </rPh>
    <rPh sb="3" eb="5">
      <t>ショウゴ</t>
    </rPh>
    <phoneticPr fontId="0"/>
  </si>
  <si>
    <t>島　　敦志</t>
    <rPh sb="0" eb="1">
      <t>シマ</t>
    </rPh>
    <phoneticPr fontId="3"/>
  </si>
  <si>
    <t>南　　智也</t>
    <rPh sb="0" eb="1">
      <t>ミナミ</t>
    </rPh>
    <rPh sb="3" eb="5">
      <t>トモヤ</t>
    </rPh>
    <phoneticPr fontId="0"/>
  </si>
  <si>
    <t>(初日のみ)</t>
    <rPh sb="1" eb="3">
      <t>ショニチ</t>
    </rPh>
    <phoneticPr fontId="3"/>
  </si>
  <si>
    <t>A</t>
    <phoneticPr fontId="3"/>
  </si>
  <si>
    <t>中能登</t>
    <rPh sb="0" eb="3">
      <t>ナカノト</t>
    </rPh>
    <phoneticPr fontId="3"/>
  </si>
  <si>
    <t>内灘</t>
    <rPh sb="0" eb="2">
      <t>ウチナダ</t>
    </rPh>
    <phoneticPr fontId="3"/>
  </si>
  <si>
    <t>学院附属</t>
    <rPh sb="0" eb="2">
      <t>ガクイン</t>
    </rPh>
    <rPh sb="2" eb="4">
      <t>フゾク</t>
    </rPh>
    <phoneticPr fontId="3"/>
  </si>
  <si>
    <t>北鳴</t>
    <rPh sb="0" eb="1">
      <t>キタ</t>
    </rPh>
    <rPh sb="1" eb="2">
      <t>メイ</t>
    </rPh>
    <phoneticPr fontId="3"/>
  </si>
  <si>
    <t>西南部</t>
    <rPh sb="0" eb="3">
      <t>セイナンブ</t>
    </rPh>
    <phoneticPr fontId="3"/>
  </si>
  <si>
    <t>金大附属</t>
    <rPh sb="0" eb="4">
      <t>キンダイフゾク</t>
    </rPh>
    <phoneticPr fontId="3"/>
  </si>
  <si>
    <t>港</t>
    <rPh sb="0" eb="1">
      <t>ミナト</t>
    </rPh>
    <phoneticPr fontId="3"/>
  </si>
  <si>
    <t>兼六</t>
    <rPh sb="0" eb="2">
      <t>ケンロク</t>
    </rPh>
    <phoneticPr fontId="3"/>
  </si>
  <si>
    <t>松本　隆志</t>
    <rPh sb="0" eb="2">
      <t>マツモト</t>
    </rPh>
    <phoneticPr fontId="3"/>
  </si>
  <si>
    <t>高橋　明裕</t>
  </si>
  <si>
    <t>青島　和樹</t>
    <rPh sb="0" eb="2">
      <t>アオシマ</t>
    </rPh>
    <rPh sb="3" eb="5">
      <t>カズキ</t>
    </rPh>
    <phoneticPr fontId="1"/>
  </si>
  <si>
    <t>志村　信幸</t>
    <rPh sb="0" eb="2">
      <t>シムラ</t>
    </rPh>
    <rPh sb="3" eb="5">
      <t>ノブユキ</t>
    </rPh>
    <phoneticPr fontId="1"/>
  </si>
  <si>
    <t>八田　信介</t>
    <rPh sb="0" eb="2">
      <t>ハッタ</t>
    </rPh>
    <rPh sb="3" eb="5">
      <t>シンスケ</t>
    </rPh>
    <phoneticPr fontId="1"/>
  </si>
  <si>
    <t>源　洋平</t>
    <rPh sb="0" eb="1">
      <t>ミナモト</t>
    </rPh>
    <rPh sb="2" eb="4">
      <t>ヨウヘイ</t>
    </rPh>
    <phoneticPr fontId="1"/>
  </si>
  <si>
    <t>高出　晃輔</t>
  </si>
  <si>
    <t>髭本　侑樹</t>
  </si>
  <si>
    <t>村松　八尋</t>
  </si>
  <si>
    <t>伴場　淳希</t>
  </si>
  <si>
    <t>東出　大聖</t>
  </si>
  <si>
    <t>吉田　拓夢</t>
  </si>
  <si>
    <t>小坂　真生</t>
  </si>
  <si>
    <t>河二　尊</t>
    <rPh sb="0" eb="1">
      <t>カワ</t>
    </rPh>
    <rPh sb="1" eb="2">
      <t>ニ</t>
    </rPh>
    <rPh sb="3" eb="4">
      <t>ソン</t>
    </rPh>
    <phoneticPr fontId="1"/>
  </si>
  <si>
    <t>諸江　真一</t>
  </si>
  <si>
    <t>田口　昂宙</t>
  </si>
  <si>
    <t>山本　慧</t>
  </si>
  <si>
    <t>松岡　拓海</t>
  </si>
  <si>
    <t>山口　朔</t>
  </si>
  <si>
    <t>富松　凌</t>
  </si>
  <si>
    <t>松田　侑樹</t>
  </si>
  <si>
    <t>木谷　敦生</t>
  </si>
  <si>
    <t>出原　知哉</t>
    <rPh sb="0" eb="2">
      <t>デハラ</t>
    </rPh>
    <rPh sb="3" eb="5">
      <t>トモヤ</t>
    </rPh>
    <phoneticPr fontId="1"/>
  </si>
  <si>
    <t>星野　美幸</t>
    <rPh sb="0" eb="2">
      <t>ホシノ</t>
    </rPh>
    <rPh sb="3" eb="5">
      <t>ミユキ</t>
    </rPh>
    <phoneticPr fontId="1"/>
  </si>
  <si>
    <t>渡辺　風太</t>
  </si>
  <si>
    <t>前塚　蒼</t>
  </si>
  <si>
    <t>北村　禎崇</t>
  </si>
  <si>
    <t>酒井　佑亮</t>
  </si>
  <si>
    <t>池田　和貴</t>
  </si>
  <si>
    <t>南　智也</t>
    <rPh sb="0" eb="1">
      <t>ミナミ</t>
    </rPh>
    <rPh sb="2" eb="4">
      <t>トモヤ</t>
    </rPh>
    <phoneticPr fontId="1"/>
  </si>
  <si>
    <t>鳥井　芳一</t>
  </si>
  <si>
    <t>安田　光成</t>
  </si>
  <si>
    <t>北西　浩司</t>
    <rPh sb="0" eb="2">
      <t>キタニシ</t>
    </rPh>
    <rPh sb="3" eb="5">
      <t>コウジ</t>
    </rPh>
    <phoneticPr fontId="1"/>
  </si>
  <si>
    <t>大矢　岬輝</t>
  </si>
  <si>
    <t>廣瀨　章</t>
  </si>
  <si>
    <t>河島　統志</t>
    <rPh sb="0" eb="2">
      <t>カワシマ</t>
    </rPh>
    <rPh sb="3" eb="4">
      <t>モトイ</t>
    </rPh>
    <rPh sb="4" eb="5">
      <t>ココロザシ</t>
    </rPh>
    <phoneticPr fontId="3"/>
  </si>
  <si>
    <t>荻原　海</t>
    <rPh sb="0" eb="2">
      <t>オギワラ</t>
    </rPh>
    <rPh sb="3" eb="4">
      <t>ウミ</t>
    </rPh>
    <phoneticPr fontId="3"/>
  </si>
  <si>
    <t>志村　伸幸</t>
    <rPh sb="0" eb="2">
      <t>シムラ</t>
    </rPh>
    <rPh sb="3" eb="5">
      <t>ノブユキ</t>
    </rPh>
    <phoneticPr fontId="3"/>
  </si>
  <si>
    <t>本郷　行秀</t>
    <rPh sb="0" eb="2">
      <t>ホンゴウ</t>
    </rPh>
    <phoneticPr fontId="3"/>
  </si>
  <si>
    <t>高出　晃輔</t>
    <rPh sb="0" eb="2">
      <t>タカデ</t>
    </rPh>
    <phoneticPr fontId="3"/>
  </si>
  <si>
    <t>千木　良介</t>
    <rPh sb="0" eb="2">
      <t>セギ</t>
    </rPh>
    <rPh sb="3" eb="5">
      <t>リョウスケ</t>
    </rPh>
    <phoneticPr fontId="3"/>
  </si>
  <si>
    <t>石田　和也</t>
    <rPh sb="0" eb="2">
      <t>イシダ</t>
    </rPh>
    <rPh sb="3" eb="5">
      <t>カズヤ</t>
    </rPh>
    <phoneticPr fontId="3"/>
  </si>
  <si>
    <t>正：　橙　　・　　橙　　・　　橙
副：　白　　・　　白　　・　　白　</t>
    <rPh sb="0" eb="1">
      <t>セイ</t>
    </rPh>
    <rPh sb="3" eb="4">
      <t>ダイダイ</t>
    </rPh>
    <rPh sb="9" eb="10">
      <t>ダイダイ</t>
    </rPh>
    <rPh sb="15" eb="16">
      <t>ダイダイ</t>
    </rPh>
    <rPh sb="17" eb="18">
      <t>フク</t>
    </rPh>
    <rPh sb="20" eb="21">
      <t>シロ</t>
    </rPh>
    <rPh sb="26" eb="27">
      <t>シロ</t>
    </rPh>
    <rPh sb="32" eb="33">
      <t>シロ</t>
    </rPh>
    <phoneticPr fontId="3"/>
  </si>
  <si>
    <t>正：　ｸﾞﾚｰ　・　　ｸﾞﾚｰ　・　ｸﾞﾚｰ
副：　緑　　・　　緑　　・　　緑　</t>
    <rPh sb="0" eb="1">
      <t>セイ</t>
    </rPh>
    <rPh sb="23" eb="24">
      <t>フク</t>
    </rPh>
    <rPh sb="26" eb="27">
      <t>ミドリ</t>
    </rPh>
    <rPh sb="32" eb="33">
      <t>ミドリ</t>
    </rPh>
    <rPh sb="38" eb="39">
      <t>ミドリ</t>
    </rPh>
    <phoneticPr fontId="3"/>
  </si>
  <si>
    <t>正：　赤　　・　　赤　　・　　赤
副：　水　　・　  水  　・　　水　</t>
    <rPh sb="0" eb="1">
      <t>セイ</t>
    </rPh>
    <rPh sb="3" eb="4">
      <t>アカ</t>
    </rPh>
    <rPh sb="9" eb="10">
      <t>アカ</t>
    </rPh>
    <rPh sb="15" eb="16">
      <t>アカ</t>
    </rPh>
    <rPh sb="17" eb="18">
      <t>フク</t>
    </rPh>
    <rPh sb="20" eb="21">
      <t>ミズ</t>
    </rPh>
    <rPh sb="27" eb="28">
      <t>ミズ</t>
    </rPh>
    <rPh sb="34" eb="35">
      <t>ミズ</t>
    </rPh>
    <phoneticPr fontId="3"/>
  </si>
  <si>
    <t>正：  黄　  ・　　黄　   ・　　黄　
副：  緑　　・　　緑　　 ・　　緑　</t>
    <rPh sb="0" eb="1">
      <t>セイ</t>
    </rPh>
    <rPh sb="4" eb="5">
      <t>キ</t>
    </rPh>
    <rPh sb="11" eb="12">
      <t>キ</t>
    </rPh>
    <rPh sb="19" eb="20">
      <t>キ</t>
    </rPh>
    <rPh sb="22" eb="23">
      <t>フク</t>
    </rPh>
    <rPh sb="26" eb="27">
      <t>ミドリ</t>
    </rPh>
    <rPh sb="32" eb="33">
      <t>ミドリ</t>
    </rPh>
    <rPh sb="36" eb="37">
      <t>ミドリ</t>
    </rPh>
    <rPh sb="39" eb="40">
      <t>ミドリ</t>
    </rPh>
    <phoneticPr fontId="3"/>
  </si>
  <si>
    <t>正：  青     ・    青     ・    青
副：　白　　・　　白　　・　　白　</t>
    <rPh sb="0" eb="1">
      <t>セイ</t>
    </rPh>
    <rPh sb="4" eb="5">
      <t>アオ</t>
    </rPh>
    <rPh sb="15" eb="16">
      <t>アオ</t>
    </rPh>
    <rPh sb="26" eb="27">
      <t>アオ</t>
    </rPh>
    <rPh sb="28" eb="29">
      <t>フク</t>
    </rPh>
    <rPh sb="31" eb="32">
      <t>シロ</t>
    </rPh>
    <rPh sb="37" eb="38">
      <t>シロ</t>
    </rPh>
    <rPh sb="43" eb="44">
      <t>シロ</t>
    </rPh>
    <phoneticPr fontId="3"/>
  </si>
  <si>
    <t>正：  ｴﾝｼﾞ  ・　ｴﾝｼﾞ 　・　 ｴﾝｼﾞ
副：　白　　・　　白　　・　　白　</t>
    <rPh sb="0" eb="1">
      <t>セイ</t>
    </rPh>
    <rPh sb="26" eb="27">
      <t>フク</t>
    </rPh>
    <rPh sb="29" eb="30">
      <t>シロ</t>
    </rPh>
    <rPh sb="35" eb="36">
      <t>シロ</t>
    </rPh>
    <rPh sb="41" eb="42">
      <t>シロ</t>
    </rPh>
    <phoneticPr fontId="3"/>
  </si>
  <si>
    <t>正：　黄　　・　　黄　　・　　黄
副： ﾋﾟﾝｸ 　・　 ﾋﾟﾝｸ　 ・　　ﾋﾟﾝｸ　</t>
    <rPh sb="0" eb="1">
      <t>セイ</t>
    </rPh>
    <rPh sb="3" eb="4">
      <t>キ</t>
    </rPh>
    <rPh sb="9" eb="10">
      <t>キ</t>
    </rPh>
    <rPh sb="15" eb="16">
      <t>キ</t>
    </rPh>
    <rPh sb="17" eb="18">
      <t>フク</t>
    </rPh>
    <phoneticPr fontId="3"/>
  </si>
  <si>
    <t xml:space="preserve">令和4年度 第22回 石川県中学校新人サッカー大会 </t>
    <phoneticPr fontId="3"/>
  </si>
  <si>
    <t>松任総合運動公園グラウンド、手取公園湊グラウンド</t>
    <rPh sb="0" eb="2">
      <t>マットウ</t>
    </rPh>
    <rPh sb="2" eb="4">
      <t>ソウゴウ</t>
    </rPh>
    <rPh sb="4" eb="6">
      <t>ウンドウ</t>
    </rPh>
    <rPh sb="6" eb="8">
      <t>コウエン</t>
    </rPh>
    <rPh sb="14" eb="18">
      <t>テドリコウエン</t>
    </rPh>
    <rPh sb="18" eb="19">
      <t>ミナト</t>
    </rPh>
    <phoneticPr fontId="3"/>
  </si>
  <si>
    <t xml:space="preserve">令和5年度 第23回 石川県中学校新人サッカー大会 </t>
    <phoneticPr fontId="3"/>
  </si>
  <si>
    <t>令和5年10月7日(土)、8日(日)、9日(月)</t>
    <rPh sb="22" eb="23">
      <t>ゲツ</t>
    </rPh>
    <phoneticPr fontId="3"/>
  </si>
  <si>
    <t>松任総合運動公園陸上競技場、スカイパークこまつ翼（予定）</t>
    <rPh sb="0" eb="2">
      <t>マットウ</t>
    </rPh>
    <rPh sb="2" eb="4">
      <t>ソウゴウ</t>
    </rPh>
    <rPh sb="4" eb="6">
      <t>ウンドウ</t>
    </rPh>
    <rPh sb="6" eb="8">
      <t>コウエン</t>
    </rPh>
    <rPh sb="8" eb="10">
      <t>リクジョウ</t>
    </rPh>
    <rPh sb="10" eb="13">
      <t>キョウギジョウ</t>
    </rPh>
    <rPh sb="23" eb="24">
      <t>ツバサ</t>
    </rPh>
    <rPh sb="25" eb="27">
      <t>ヨテイ</t>
    </rPh>
    <phoneticPr fontId="3"/>
  </si>
  <si>
    <t>松任総合運動公園陸上競技場</t>
    <rPh sb="8" eb="10">
      <t>リクジョウ</t>
    </rPh>
    <rPh sb="10" eb="13">
      <t>キョウギジョウ</t>
    </rPh>
    <phoneticPr fontId="3"/>
  </si>
  <si>
    <t>スカイパークこまつ翼</t>
    <rPh sb="9" eb="10">
      <t>ツバサ</t>
    </rPh>
    <phoneticPr fontId="3"/>
  </si>
  <si>
    <t>(松任総合運動公園陸上競技場、</t>
    <rPh sb="9" eb="11">
      <t>リクジョウ</t>
    </rPh>
    <rPh sb="11" eb="14">
      <t>キョウギジョウ</t>
    </rPh>
    <phoneticPr fontId="3"/>
  </si>
  <si>
    <t xml:space="preserve"> こまつドームドリームピッチ)</t>
    <phoneticPr fontId="3"/>
  </si>
  <si>
    <t>(松任総合運動公園陸上競技場)</t>
    <rPh sb="9" eb="11">
      <t>リクジョウ</t>
    </rPh>
    <rPh sb="11" eb="14">
      <t>キョウギジョウ</t>
    </rPh>
    <phoneticPr fontId="3"/>
  </si>
  <si>
    <t>(松任総合運動公園陸上競技場)</t>
    <rPh sb="9" eb="14">
      <t>リクジョウキョウギジョウ</t>
    </rPh>
    <phoneticPr fontId="3"/>
  </si>
  <si>
    <t>・河北郡市(１)</t>
    <phoneticPr fontId="3"/>
  </si>
  <si>
    <t>　参加申込書(Excelファイル)は下記アドレスよりダウンロードし作成する。作成した参加申込書は、抽選会のときに持参すること。(プリントアウトし校長・代表者印が必要)
　また、プログラム原稿用として、入力したExcelファイルをメールに添付し、下記アドレスまで送付すること。(予選終了後、できるだけ早く送付すること。なお、締め切り日までに予選が終了していない地区は、出場の可能性がある全チームの参加申込書を送付すること。)</t>
    <rPh sb="75" eb="78">
      <t>ダイヒョウシャ</t>
    </rPh>
    <phoneticPr fontId="3"/>
  </si>
  <si>
    <t>　監督は当該校の教員・部活動指導員であること。コーチが当該校の教員以外の場合は、学校長が承認した者とすること。地域スポーツ団体等地域クラブ活動が全中大会に出場する場合、「学校・校長」を「地域スポーツ団体等地域クラブ活動・代表者」に読み替えること。</t>
    <rPh sb="11" eb="14">
      <t>ブカツドウ</t>
    </rPh>
    <rPh sb="14" eb="17">
      <t>シドウイン</t>
    </rPh>
    <phoneticPr fontId="3"/>
  </si>
  <si>
    <t>松任総合運動公園陸上競技場、ｽｶｲﾊﾟｰｸこまつ翼、こまつﾄﾞｰﾑ（予定）</t>
    <rPh sb="0" eb="2">
      <t>マットウ</t>
    </rPh>
    <rPh sb="2" eb="4">
      <t>ソウゴウ</t>
    </rPh>
    <rPh sb="4" eb="6">
      <t>ウンドウ</t>
    </rPh>
    <rPh sb="6" eb="8">
      <t>コウエン</t>
    </rPh>
    <rPh sb="8" eb="10">
      <t>リクジョウ</t>
    </rPh>
    <rPh sb="10" eb="13">
      <t>キョウギジョウ</t>
    </rPh>
    <rPh sb="24" eb="25">
      <t>ツバサ</t>
    </rPh>
    <rPh sb="34" eb="36">
      <t>ヨテイ</t>
    </rPh>
    <phoneticPr fontId="3"/>
  </si>
  <si>
    <t>・能登地区(2)　</t>
    <phoneticPr fontId="3"/>
  </si>
  <si>
    <t>・金沢市(8)</t>
    <phoneticPr fontId="3"/>
  </si>
  <si>
    <t>星稜</t>
    <rPh sb="0" eb="2">
      <t>セイリョウ</t>
    </rPh>
    <phoneticPr fontId="3"/>
  </si>
  <si>
    <t>可長　俊太</t>
    <rPh sb="0" eb="1">
      <t>カ</t>
    </rPh>
    <rPh sb="1" eb="2">
      <t>チョウ</t>
    </rPh>
    <rPh sb="3" eb="5">
      <t>シュンタ</t>
    </rPh>
    <phoneticPr fontId="3"/>
  </si>
  <si>
    <t>髭本　侑樹</t>
    <rPh sb="0" eb="2">
      <t>ヒゲモト</t>
    </rPh>
    <rPh sb="3" eb="4">
      <t>ユウ</t>
    </rPh>
    <rPh sb="4" eb="5">
      <t>ジュ</t>
    </rPh>
    <phoneticPr fontId="0"/>
  </si>
  <si>
    <t>安田　光成</t>
    <rPh sb="0" eb="2">
      <t>ヤスダ</t>
    </rPh>
    <rPh sb="3" eb="5">
      <t>ミツナリ</t>
    </rPh>
    <phoneticPr fontId="0"/>
  </si>
  <si>
    <t>中曽　浩平</t>
    <phoneticPr fontId="3"/>
  </si>
  <si>
    <t>長瀬　太一</t>
    <phoneticPr fontId="3"/>
  </si>
  <si>
    <t>北　正裕</t>
  </si>
  <si>
    <t>日向　正志</t>
    <rPh sb="0" eb="2">
      <t>ヒュウガ</t>
    </rPh>
    <rPh sb="3" eb="5">
      <t>マサシ</t>
    </rPh>
    <phoneticPr fontId="3"/>
  </si>
  <si>
    <t>佐竹　康弘</t>
    <rPh sb="0" eb="2">
      <t>サタケ</t>
    </rPh>
    <rPh sb="3" eb="5">
      <t>ヤスヒロ</t>
    </rPh>
    <phoneticPr fontId="3"/>
  </si>
  <si>
    <t>山邉　雅司</t>
    <phoneticPr fontId="3"/>
  </si>
  <si>
    <t>田向　剛　</t>
    <rPh sb="0" eb="2">
      <t>タムカイ</t>
    </rPh>
    <rPh sb="3" eb="4">
      <t>ツヨシ</t>
    </rPh>
    <phoneticPr fontId="3"/>
  </si>
  <si>
    <t>岩脇　司　</t>
    <rPh sb="0" eb="2">
      <t>イワワキ</t>
    </rPh>
    <rPh sb="3" eb="4">
      <t>ツカサ</t>
    </rPh>
    <phoneticPr fontId="3"/>
  </si>
  <si>
    <t>⑧</t>
    <phoneticPr fontId="3"/>
  </si>
  <si>
    <t>B</t>
    <phoneticPr fontId="3"/>
  </si>
  <si>
    <t>( スカイパークこまつ翼)</t>
    <phoneticPr fontId="3"/>
  </si>
  <si>
    <t>こまつドームドリームピッチ</t>
    <phoneticPr fontId="3"/>
  </si>
  <si>
    <t>北加賀ブロック(1＋8＝9チーム)</t>
    <phoneticPr fontId="3"/>
  </si>
  <si>
    <t>　　　能登地区(2チーム)</t>
    <phoneticPr fontId="3"/>
  </si>
  <si>
    <t>　　　加賀地区(14チーム)</t>
    <phoneticPr fontId="3"/>
  </si>
  <si>
    <t>1～8</t>
    <phoneticPr fontId="3"/>
  </si>
  <si>
    <t>9～16</t>
    <phoneticPr fontId="3"/>
  </si>
  <si>
    <t>能登</t>
    <rPh sb="0" eb="2">
      <t>ノト</t>
    </rPh>
    <phoneticPr fontId="3"/>
  </si>
  <si>
    <t>白山</t>
    <rPh sb="0" eb="2">
      <t>ハクサン</t>
    </rPh>
    <phoneticPr fontId="3"/>
  </si>
  <si>
    <t>能美</t>
    <rPh sb="0" eb="2">
      <t>ノウミ</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</si>
</sst>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h&quot;時&quot;mm&quot;分&quot;;@"/>
    <numFmt numFmtId="178" formatCode="h:mm;@"/>
  </numFmts>
  <fonts count="5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AR P丸ゴシック体M04"/>
      <family val="3"/>
      <charset val="128"/>
    </font>
    <font>
      <sz val="11"/>
      <name val="HG丸ｺﾞｼｯｸM-PRO"/>
      <family val="3"/>
      <charset val="128"/>
    </font>
    <font>
      <sz val="22"/>
      <name val="HG丸ｺﾞｼｯｸM-PRO"/>
      <family val="3"/>
      <charset val="128"/>
    </font>
    <font>
      <sz val="10"/>
      <name val="HG丸ｺﾞｼｯｸM-PRO"/>
      <family val="3"/>
      <charset val="128"/>
    </font>
    <font>
      <sz val="20"/>
      <name val="HG丸ｺﾞｼｯｸM-PRO"/>
      <family val="3"/>
      <charset val="128"/>
    </font>
    <font>
      <sz val="8"/>
      <name val="ＭＳ Ｐゴシック"/>
      <family val="3"/>
      <charset val="128"/>
    </font>
    <font>
      <sz val="11"/>
      <name val="ＭＳ Ｐ明朝"/>
      <family val="1"/>
      <charset val="128"/>
    </font>
    <font>
      <sz val="14"/>
      <name val="ＭＳ Ｐ明朝"/>
      <family val="1"/>
      <charset val="128"/>
    </font>
    <font>
      <sz val="11"/>
      <name val="ＭＳ 明朝"/>
      <family val="1"/>
      <charset val="128"/>
    </font>
    <font>
      <sz val="14"/>
      <name val="ＭＳ 明朝"/>
      <family val="1"/>
      <charset val="128"/>
    </font>
    <font>
      <sz val="14"/>
      <name val="ＭＳ Ｐゴシック"/>
      <family val="3"/>
      <charset val="128"/>
    </font>
    <font>
      <sz val="9"/>
      <name val="ＭＳ Ｐゴシック"/>
      <family val="3"/>
      <charset val="128"/>
    </font>
    <font>
      <sz val="16"/>
      <name val="ＭＳ Ｐゴシック"/>
      <family val="3"/>
      <charset val="128"/>
    </font>
    <font>
      <sz val="10.5"/>
      <color theme="1"/>
      <name val="Century"/>
      <family val="1"/>
    </font>
    <font>
      <sz val="11"/>
      <color theme="0"/>
      <name val="HG丸ｺﾞｼｯｸM-PRO"/>
      <family val="3"/>
      <charset val="128"/>
    </font>
    <font>
      <b/>
      <sz val="16"/>
      <color theme="1"/>
      <name val="AR P丸ゴシック体M04"/>
      <family val="3"/>
      <charset val="128"/>
    </font>
    <font>
      <sz val="11"/>
      <color theme="1"/>
      <name val="AR P丸ゴシック体M04"/>
      <family val="3"/>
      <charset val="128"/>
    </font>
    <font>
      <sz val="11"/>
      <color rgb="FF000000"/>
      <name val="AR P丸ゴシック体M04"/>
      <family val="3"/>
      <charset val="128"/>
    </font>
    <font>
      <b/>
      <i/>
      <u/>
      <sz val="14"/>
      <color theme="1"/>
      <name val="AR P丸ゴシック体M04"/>
      <family val="3"/>
      <charset val="128"/>
    </font>
    <font>
      <b/>
      <i/>
      <u/>
      <sz val="16"/>
      <color theme="1"/>
      <name val="AR P丸ゴシック体M04"/>
      <family val="3"/>
      <charset val="128"/>
    </font>
    <font>
      <sz val="10"/>
      <color rgb="FF000000"/>
      <name val="HG丸ｺﾞｼｯｸM-PRO"/>
      <family val="3"/>
      <charset val="128"/>
    </font>
    <font>
      <b/>
      <sz val="10"/>
      <name val="HG丸ｺﾞｼｯｸM-PRO"/>
      <family val="3"/>
      <charset val="128"/>
    </font>
    <font>
      <u val="double"/>
      <sz val="10"/>
      <name val="HG丸ｺﾞｼｯｸM-PRO"/>
      <family val="3"/>
      <charset val="128"/>
    </font>
    <font>
      <u val="double"/>
      <sz val="10"/>
      <color rgb="FF000000"/>
      <name val="HG丸ｺﾞｼｯｸM-PRO"/>
      <family val="3"/>
      <charset val="128"/>
    </font>
    <font>
      <b/>
      <i/>
      <sz val="20"/>
      <name val="AR P新藝体U"/>
      <family val="3"/>
      <charset val="128"/>
    </font>
    <font>
      <b/>
      <i/>
      <sz val="26"/>
      <name val="AR P新藝体U"/>
      <family val="3"/>
      <charset val="128"/>
    </font>
    <font>
      <sz val="18"/>
      <name val="AR丸ゴシック体M04"/>
      <family val="3"/>
      <charset val="128"/>
    </font>
    <font>
      <sz val="11"/>
      <name val="AR丸ゴシック体M04"/>
      <family val="3"/>
      <charset val="128"/>
    </font>
    <font>
      <sz val="11"/>
      <name val="ＭＳ Ｐゴシック"/>
      <family val="3"/>
      <charset val="128"/>
    </font>
    <font>
      <sz val="16"/>
      <name val="ＭＳ Ｐゴシック"/>
      <family val="3"/>
      <charset val="128"/>
    </font>
    <font>
      <sz val="9"/>
      <name val="ＭＳ Ｐゴシック"/>
      <family val="3"/>
      <charset val="128"/>
    </font>
    <font>
      <sz val="14"/>
      <name val="ＭＳ Ｐゴシック"/>
      <family val="3"/>
      <charset val="128"/>
    </font>
    <font>
      <sz val="8"/>
      <name val="ＭＳ Ｐゴシック"/>
      <family val="3"/>
      <charset val="128"/>
    </font>
    <font>
      <sz val="16"/>
      <name val="AR丸ゴシック体M04"/>
      <family val="3"/>
      <charset val="128"/>
    </font>
    <font>
      <sz val="11"/>
      <name val="AR丸ゴシック体M04"/>
      <family val="3"/>
      <charset val="128"/>
    </font>
    <font>
      <sz val="11"/>
      <color indexed="9"/>
      <name val="AR丸ゴシック体M04"/>
      <family val="3"/>
      <charset val="128"/>
    </font>
    <font>
      <sz val="10"/>
      <name val="AR丸ゴシック体M04"/>
      <family val="3"/>
      <charset val="128"/>
    </font>
    <font>
      <sz val="12"/>
      <name val="AR丸ゴシック体M04"/>
      <family val="3"/>
      <charset val="128"/>
    </font>
    <font>
      <sz val="9"/>
      <name val="AR丸ゴシック体M04"/>
      <family val="3"/>
      <charset val="128"/>
    </font>
    <font>
      <sz val="8"/>
      <name val="AR丸ゴシック体M04"/>
      <family val="3"/>
      <charset val="128"/>
    </font>
    <font>
      <sz val="14"/>
      <name val="AR丸ゴシック体M04"/>
      <family val="3"/>
      <charset val="128"/>
    </font>
    <font>
      <sz val="8"/>
      <color indexed="10"/>
      <name val="AR丸ゴシック体M04"/>
      <family val="3"/>
      <charset val="128"/>
    </font>
    <font>
      <sz val="6"/>
      <name val="AR丸ゴシック体M04"/>
      <family val="3"/>
      <charset val="128"/>
    </font>
    <font>
      <sz val="12"/>
      <name val="ＭＳ Ｐゴシック"/>
      <family val="3"/>
      <charset val="128"/>
    </font>
    <font>
      <sz val="20"/>
      <name val="ＭＳ Ｐゴシック"/>
      <family val="3"/>
      <charset val="128"/>
    </font>
    <font>
      <sz val="10"/>
      <name val="ＭＳ Ｐゴシック"/>
      <family val="3"/>
      <charset val="128"/>
    </font>
    <font>
      <sz val="11"/>
      <color theme="1"/>
      <name val="AR丸ゴシック体M04"/>
      <family val="3"/>
      <charset val="128"/>
    </font>
    <font>
      <sz val="11"/>
      <color theme="0"/>
      <name val="AR P丸ゴシック体M04"/>
      <family val="3"/>
      <charset val="128"/>
    </font>
    <font>
      <strike/>
      <sz val="11"/>
      <color theme="1"/>
      <name val="AR P丸ゴシック体M04"/>
      <family val="3"/>
      <charset val="128"/>
    </font>
    <font>
      <b/>
      <sz val="14"/>
      <name val="ＭＳ Ｐゴシック"/>
      <family val="3"/>
      <charset val="128"/>
    </font>
    <font>
      <b/>
      <sz val="11"/>
      <color theme="1"/>
      <name val="AR P丸ゴシック体M04"/>
      <family val="3"/>
      <charset val="128"/>
    </font>
  </fonts>
  <fills count="4">
    <fill>
      <patternFill patternType="none"/>
    </fill>
    <fill>
      <patternFill patternType="gray125"/>
    </fill>
    <fill>
      <patternFill patternType="solid">
        <fgColor rgb="FFCCFFFF"/>
        <bgColor indexed="64"/>
      </patternFill>
    </fill>
    <fill>
      <patternFill patternType="solid">
        <fgColor rgb="FFFFFF00"/>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dashed">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dashed">
        <color indexed="64"/>
      </right>
      <top style="medium">
        <color indexed="64"/>
      </top>
      <bottom style="medium">
        <color indexed="64"/>
      </bottom>
      <diagonal/>
    </border>
    <border>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thick">
        <color indexed="10"/>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ck">
        <color indexed="10"/>
      </right>
      <top/>
      <bottom/>
      <diagonal/>
    </border>
    <border>
      <left/>
      <right style="thick">
        <color indexed="10"/>
      </right>
      <top/>
      <bottom style="thick">
        <color indexed="10"/>
      </bottom>
      <diagonal/>
    </border>
    <border>
      <left style="thick">
        <color indexed="10"/>
      </left>
      <right/>
      <top/>
      <bottom/>
      <diagonal/>
    </border>
    <border>
      <left style="thick">
        <color indexed="10"/>
      </left>
      <right/>
      <top/>
      <bottom style="thin">
        <color indexed="64"/>
      </bottom>
      <diagonal/>
    </border>
    <border>
      <left style="thick">
        <color indexed="10"/>
      </left>
      <right/>
      <top/>
      <bottom style="thick">
        <color indexed="10"/>
      </bottom>
      <diagonal/>
    </border>
    <border>
      <left/>
      <right style="thick">
        <color indexed="10"/>
      </right>
      <top/>
      <bottom style="thin">
        <color indexed="64"/>
      </bottom>
      <diagonal/>
    </border>
    <border>
      <left/>
      <right/>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dotted">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s>
  <cellStyleXfs count="3">
    <xf numFmtId="0" fontId="0" fillId="0" borderId="0">
      <alignment vertical="center"/>
    </xf>
    <xf numFmtId="0" fontId="2" fillId="0" borderId="0"/>
    <xf numFmtId="0" fontId="1" fillId="0" borderId="0">
      <alignment vertical="center"/>
    </xf>
  </cellStyleXfs>
  <cellXfs count="417">
    <xf numFmtId="0" fontId="0" fillId="0" borderId="0" xfId="0">
      <alignment vertical="center"/>
    </xf>
    <xf numFmtId="0" fontId="0" fillId="0" borderId="1" xfId="0" applyBorder="1" applyAlignment="1">
      <alignment horizontal="center" vertical="center"/>
    </xf>
    <xf numFmtId="0" fontId="0" fillId="0" borderId="0" xfId="1" applyFont="1"/>
    <xf numFmtId="0" fontId="5" fillId="0" borderId="0" xfId="0" applyFont="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6" fillId="0" borderId="0" xfId="0" applyFont="1" applyAlignment="1">
      <alignment horizontal="center" vertical="center"/>
    </xf>
    <xf numFmtId="0" fontId="5" fillId="0" borderId="6" xfId="0" applyFont="1" applyBorder="1">
      <alignment vertical="center"/>
    </xf>
    <xf numFmtId="176" fontId="7" fillId="0" borderId="0" xfId="0" applyNumberFormat="1" applyFont="1">
      <alignment vertical="center"/>
    </xf>
    <xf numFmtId="0" fontId="8" fillId="0" borderId="7" xfId="0" applyFont="1" applyBorder="1" applyAlignment="1">
      <alignment horizontal="center" vertical="center"/>
    </xf>
    <xf numFmtId="3" fontId="8" fillId="0" borderId="8" xfId="0" applyNumberFormat="1" applyFont="1" applyBorder="1">
      <alignment vertical="center"/>
    </xf>
    <xf numFmtId="3" fontId="8" fillId="0" borderId="9" xfId="0" applyNumberFormat="1" applyFont="1" applyBorder="1">
      <alignment vertical="center"/>
    </xf>
    <xf numFmtId="3" fontId="8" fillId="0" borderId="10" xfId="0" applyNumberFormat="1" applyFont="1" applyBorder="1">
      <alignment vertical="center"/>
    </xf>
    <xf numFmtId="3" fontId="8" fillId="0" borderId="11" xfId="0" applyNumberFormat="1" applyFont="1" applyBorder="1">
      <alignment vertical="center"/>
    </xf>
    <xf numFmtId="3" fontId="8" fillId="0" borderId="12" xfId="0" applyNumberFormat="1" applyFont="1" applyBorder="1">
      <alignment vertical="center"/>
    </xf>
    <xf numFmtId="0" fontId="5" fillId="0" borderId="13" xfId="0" applyFont="1" applyBorder="1">
      <alignment vertical="center"/>
    </xf>
    <xf numFmtId="0" fontId="5" fillId="0" borderId="14" xfId="0" applyFont="1" applyBorder="1" applyAlignment="1"/>
    <xf numFmtId="0" fontId="5" fillId="0" borderId="14" xfId="0" applyFont="1" applyBorder="1">
      <alignment vertical="center"/>
    </xf>
    <xf numFmtId="0" fontId="5" fillId="0" borderId="15" xfId="0" applyFont="1" applyBorder="1">
      <alignment vertical="center"/>
    </xf>
    <xf numFmtId="0" fontId="5" fillId="0" borderId="16" xfId="0" applyFont="1" applyBorder="1">
      <alignment vertical="center"/>
    </xf>
    <xf numFmtId="0" fontId="5" fillId="0" borderId="17" xfId="0" applyFont="1" applyBorder="1">
      <alignment vertical="center"/>
    </xf>
    <xf numFmtId="58" fontId="7" fillId="0" borderId="0" xfId="0" applyNumberFormat="1" applyFont="1">
      <alignment vertical="center"/>
    </xf>
    <xf numFmtId="0" fontId="0" fillId="0" borderId="1" xfId="0" applyBorder="1">
      <alignment vertical="center"/>
    </xf>
    <xf numFmtId="0" fontId="0" fillId="0" borderId="1" xfId="1" applyFont="1" applyBorder="1"/>
    <xf numFmtId="0" fontId="0" fillId="0" borderId="1" xfId="0" applyBorder="1" applyAlignment="1"/>
    <xf numFmtId="0" fontId="10" fillId="0" borderId="0" xfId="0" applyFont="1">
      <alignment vertical="center"/>
    </xf>
    <xf numFmtId="0" fontId="12" fillId="0" borderId="0" xfId="0" applyFont="1">
      <alignment vertical="center"/>
    </xf>
    <xf numFmtId="176" fontId="12" fillId="0" borderId="0" xfId="0" applyNumberFormat="1" applyFont="1" applyAlignment="1">
      <alignment horizontal="distributed" vertical="center"/>
    </xf>
    <xf numFmtId="0" fontId="12" fillId="0" borderId="0" xfId="0" applyFont="1" applyAlignment="1">
      <alignment vertical="center" wrapText="1"/>
    </xf>
    <xf numFmtId="0" fontId="12" fillId="0" borderId="0" xfId="0" applyFont="1" applyAlignment="1">
      <alignment vertical="top"/>
    </xf>
    <xf numFmtId="0" fontId="0" fillId="0" borderId="22" xfId="0" applyBorder="1" applyAlignment="1">
      <alignment horizontal="center" vertical="center"/>
    </xf>
    <xf numFmtId="0" fontId="0" fillId="0" borderId="23" xfId="0" applyBorder="1">
      <alignment vertical="center"/>
    </xf>
    <xf numFmtId="0" fontId="9" fillId="0" borderId="0" xfId="0" applyFont="1">
      <alignment vertical="center"/>
    </xf>
    <xf numFmtId="0" fontId="0" fillId="0" borderId="0" xfId="0" applyAlignment="1">
      <alignment horizontal="right" vertical="center"/>
    </xf>
    <xf numFmtId="0" fontId="9" fillId="0" borderId="24" xfId="0" applyFont="1" applyBorder="1" applyAlignment="1">
      <alignment vertical="top"/>
    </xf>
    <xf numFmtId="0" fontId="9" fillId="0" borderId="22" xfId="0" applyFont="1" applyBorder="1" applyAlignment="1">
      <alignment vertical="top"/>
    </xf>
    <xf numFmtId="0" fontId="0" fillId="0" borderId="25" xfId="0" applyBorder="1" applyAlignment="1">
      <alignment horizontal="center"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pplyAlignment="1">
      <alignment horizontal="right" vertical="center"/>
    </xf>
    <xf numFmtId="0" fontId="0" fillId="0" borderId="18" xfId="0" applyBorder="1" applyAlignment="1">
      <alignment horizontal="right" vertical="center"/>
    </xf>
    <xf numFmtId="0" fontId="0" fillId="0" borderId="29" xfId="0" applyBorder="1">
      <alignment vertical="center"/>
    </xf>
    <xf numFmtId="0" fontId="0" fillId="0" borderId="29" xfId="0" applyBorder="1" applyAlignment="1">
      <alignment horizontal="center" vertical="center"/>
    </xf>
    <xf numFmtId="0" fontId="0" fillId="0" borderId="30" xfId="0" applyBorder="1">
      <alignment vertical="center"/>
    </xf>
    <xf numFmtId="0" fontId="0" fillId="0" borderId="30" xfId="0" applyBorder="1" applyAlignment="1">
      <alignment horizontal="center" vertical="center"/>
    </xf>
    <xf numFmtId="0" fontId="15" fillId="0" borderId="0" xfId="0" applyFont="1" applyAlignment="1">
      <alignment horizontal="right" vertical="center"/>
    </xf>
    <xf numFmtId="0" fontId="16" fillId="0" borderId="0" xfId="0" applyFont="1">
      <alignment vertical="center"/>
    </xf>
    <xf numFmtId="20" fontId="0" fillId="0" borderId="14" xfId="0" applyNumberFormat="1" applyBorder="1">
      <alignment vertical="center"/>
    </xf>
    <xf numFmtId="0" fontId="18"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Alignment="1">
      <alignment horizontal="distributed" vertical="center" justifyLastLine="1"/>
    </xf>
    <xf numFmtId="0" fontId="4" fillId="0" borderId="0" xfId="0" applyFont="1" applyAlignment="1">
      <alignment horizontal="distributed" vertical="center"/>
    </xf>
    <xf numFmtId="56" fontId="4" fillId="0" borderId="0" xfId="0" applyNumberFormat="1" applyFont="1" applyAlignment="1">
      <alignment horizontal="distributed" vertical="center"/>
    </xf>
    <xf numFmtId="0" fontId="4" fillId="0" borderId="0" xfId="0" applyFont="1" applyAlignment="1">
      <alignment horizontal="left" vertical="center"/>
    </xf>
    <xf numFmtId="32" fontId="4" fillId="0" borderId="0" xfId="0" applyNumberFormat="1" applyFont="1" applyAlignment="1">
      <alignment horizontal="center" vertical="center"/>
    </xf>
    <xf numFmtId="32" fontId="4" fillId="0" borderId="0" xfId="0" applyNumberFormat="1" applyFont="1">
      <alignment vertical="center"/>
    </xf>
    <xf numFmtId="0" fontId="4" fillId="0" borderId="0" xfId="2" applyFont="1" applyAlignment="1">
      <alignment horizontal="right" vertical="top"/>
    </xf>
    <xf numFmtId="0" fontId="20" fillId="0" borderId="0" xfId="2" applyFont="1" applyAlignment="1">
      <alignment vertical="top"/>
    </xf>
    <xf numFmtId="0" fontId="20" fillId="0" borderId="0" xfId="2" applyFont="1" applyAlignment="1">
      <alignment horizontal="justify" vertical="top"/>
    </xf>
    <xf numFmtId="0" fontId="20" fillId="0" borderId="0" xfId="2" applyFont="1" applyAlignment="1">
      <alignment horizontal="left" vertical="top"/>
    </xf>
    <xf numFmtId="0" fontId="20" fillId="0" borderId="0" xfId="2" applyFont="1" applyAlignment="1">
      <alignment horizontal="left" vertical="top" indent="1"/>
    </xf>
    <xf numFmtId="0" fontId="21" fillId="0" borderId="0" xfId="2" applyFont="1" applyAlignment="1">
      <alignment horizontal="left" vertical="top"/>
    </xf>
    <xf numFmtId="0" fontId="20" fillId="0" borderId="0" xfId="2" applyFont="1" applyAlignment="1">
      <alignment horizontal="left" vertical="top" wrapText="1"/>
    </xf>
    <xf numFmtId="0" fontId="4" fillId="0" borderId="0" xfId="2" applyFont="1" applyAlignment="1">
      <alignment horizontal="right" vertical="center"/>
    </xf>
    <xf numFmtId="0" fontId="20" fillId="0" borderId="0" xfId="2" applyFont="1">
      <alignment vertical="center"/>
    </xf>
    <xf numFmtId="0" fontId="22" fillId="0" borderId="0" xfId="2" applyFont="1">
      <alignment vertical="center"/>
    </xf>
    <xf numFmtId="0" fontId="20" fillId="0" borderId="0" xfId="2" applyFont="1" applyAlignment="1">
      <alignment horizontal="left"/>
    </xf>
    <xf numFmtId="32" fontId="20" fillId="0" borderId="0" xfId="2" applyNumberFormat="1" applyFont="1" applyAlignment="1">
      <alignment vertical="top" shrinkToFit="1"/>
    </xf>
    <xf numFmtId="0" fontId="20" fillId="0" borderId="0" xfId="2" applyFont="1" applyAlignment="1">
      <alignment vertical="top" shrinkToFit="1"/>
    </xf>
    <xf numFmtId="0" fontId="20" fillId="0" borderId="0" xfId="2" applyFont="1" applyAlignment="1">
      <alignment horizontal="left" vertical="top" wrapText="1" indent="3"/>
    </xf>
    <xf numFmtId="0" fontId="20" fillId="0" borderId="0" xfId="2" applyFont="1" applyAlignment="1">
      <alignment vertical="top" wrapText="1"/>
    </xf>
    <xf numFmtId="0" fontId="7" fillId="0" borderId="0" xfId="0" applyFont="1" applyAlignment="1">
      <alignment horizontal="left" vertical="center"/>
    </xf>
    <xf numFmtId="0" fontId="7" fillId="0" borderId="0" xfId="0" applyFont="1" applyAlignment="1">
      <alignment horizontal="right" vertical="center"/>
    </xf>
    <xf numFmtId="0" fontId="7" fillId="0" borderId="0" xfId="0" applyFont="1" applyAlignment="1">
      <alignment horizontal="left" vertical="center" shrinkToFit="1"/>
    </xf>
    <xf numFmtId="0" fontId="7" fillId="0" borderId="0" xfId="0" applyFont="1" applyAlignment="1">
      <alignment vertical="center" wrapText="1"/>
    </xf>
    <xf numFmtId="0" fontId="24" fillId="0" borderId="0" xfId="0" applyFont="1" applyAlignment="1">
      <alignment horizontal="left" vertical="center"/>
    </xf>
    <xf numFmtId="0" fontId="25" fillId="0" borderId="0" xfId="0" applyFont="1" applyAlignment="1">
      <alignment horizontal="left" vertical="center"/>
    </xf>
    <xf numFmtId="0" fontId="30" fillId="0" borderId="0" xfId="0" applyFont="1">
      <alignment vertical="center"/>
    </xf>
    <xf numFmtId="0" fontId="31" fillId="0" borderId="0" xfId="0" applyFont="1">
      <alignment vertical="center"/>
    </xf>
    <xf numFmtId="0" fontId="31" fillId="0" borderId="0" xfId="0" applyFont="1" applyAlignment="1">
      <alignment horizontal="right" vertical="center"/>
    </xf>
    <xf numFmtId="0" fontId="31" fillId="3" borderId="0" xfId="0" applyFont="1" applyFill="1">
      <alignment vertical="center"/>
    </xf>
    <xf numFmtId="56" fontId="31" fillId="0" borderId="0" xfId="0" applyNumberFormat="1" applyFont="1">
      <alignment vertical="center"/>
    </xf>
    <xf numFmtId="177" fontId="31" fillId="0" borderId="0" xfId="0" applyNumberFormat="1" applyFont="1">
      <alignment vertical="center"/>
    </xf>
    <xf numFmtId="0" fontId="31" fillId="0" borderId="1" xfId="0" applyFont="1" applyBorder="1" applyAlignment="1">
      <alignment horizontal="center" vertical="center"/>
    </xf>
    <xf numFmtId="0" fontId="31" fillId="0" borderId="1" xfId="0" applyFont="1" applyBorder="1" applyAlignment="1">
      <alignment horizontal="right" vertical="center"/>
    </xf>
    <xf numFmtId="0" fontId="31" fillId="0" borderId="1" xfId="0" applyFont="1" applyBorder="1" applyAlignment="1">
      <alignment horizontal="distributed" vertical="center" indent="1"/>
    </xf>
    <xf numFmtId="0" fontId="24" fillId="0" borderId="28" xfId="0" applyFont="1" applyBorder="1" applyAlignment="1">
      <alignment horizontal="left" vertical="center"/>
    </xf>
    <xf numFmtId="0" fontId="7" fillId="0" borderId="31" xfId="0" applyFont="1" applyBorder="1" applyAlignment="1">
      <alignment horizontal="left" vertical="center"/>
    </xf>
    <xf numFmtId="0" fontId="24" fillId="0" borderId="31" xfId="0" applyFont="1" applyBorder="1" applyAlignment="1">
      <alignment horizontal="left" vertical="center"/>
    </xf>
    <xf numFmtId="0" fontId="7" fillId="0" borderId="28" xfId="0" applyFont="1" applyBorder="1" applyAlignment="1">
      <alignment horizontal="left" vertical="center"/>
    </xf>
    <xf numFmtId="0" fontId="24" fillId="0" borderId="23" xfId="0" applyFont="1" applyBorder="1" applyAlignment="1">
      <alignment horizontal="left" vertical="center"/>
    </xf>
    <xf numFmtId="0" fontId="7" fillId="0" borderId="33" xfId="0" applyFont="1" applyBorder="1" applyAlignment="1">
      <alignment horizontal="left" vertical="center"/>
    </xf>
    <xf numFmtId="0" fontId="24" fillId="0" borderId="32" xfId="0" applyFont="1" applyBorder="1" applyAlignment="1">
      <alignment horizontal="left" vertical="center"/>
    </xf>
    <xf numFmtId="0" fontId="31" fillId="0" borderId="0" xfId="0" applyFont="1" applyAlignment="1">
      <alignment horizontal="center" vertical="center"/>
    </xf>
    <xf numFmtId="0" fontId="31" fillId="0" borderId="1" xfId="0" applyFont="1" applyBorder="1" applyAlignment="1">
      <alignment horizontal="center" vertical="center" wrapText="1"/>
    </xf>
    <xf numFmtId="0" fontId="31" fillId="0" borderId="1" xfId="0" applyFont="1" applyBorder="1" applyAlignment="1" applyProtection="1">
      <alignment horizontal="center" vertical="center"/>
      <protection locked="0"/>
    </xf>
    <xf numFmtId="0" fontId="31" fillId="2" borderId="1" xfId="0" applyFont="1" applyFill="1" applyBorder="1" applyAlignment="1">
      <alignment horizontal="left" vertical="center"/>
    </xf>
    <xf numFmtId="0" fontId="31" fillId="2" borderId="1" xfId="0" applyFont="1" applyFill="1" applyBorder="1" applyAlignment="1">
      <alignment horizontal="center" vertical="center"/>
    </xf>
    <xf numFmtId="0" fontId="31" fillId="3" borderId="1" xfId="0" applyFont="1" applyFill="1" applyBorder="1" applyAlignment="1" applyProtection="1">
      <alignment horizontal="center" vertical="center"/>
      <protection locked="0"/>
    </xf>
    <xf numFmtId="0" fontId="31" fillId="0" borderId="1" xfId="0" applyFont="1" applyBorder="1" applyAlignment="1">
      <alignment horizontal="left" vertical="center"/>
    </xf>
    <xf numFmtId="0" fontId="31" fillId="0" borderId="0" xfId="0" applyFont="1" applyAlignment="1">
      <alignment horizontal="left" vertical="center"/>
    </xf>
    <xf numFmtId="0" fontId="32" fillId="0" borderId="0" xfId="0" applyFont="1">
      <alignment vertical="center"/>
    </xf>
    <xf numFmtId="0" fontId="33" fillId="0" borderId="0" xfId="0" applyFont="1">
      <alignment vertical="center"/>
    </xf>
    <xf numFmtId="0" fontId="34" fillId="0" borderId="0" xfId="0" applyFont="1" applyAlignment="1">
      <alignment horizontal="right" vertical="center"/>
    </xf>
    <xf numFmtId="0" fontId="32" fillId="0" borderId="0" xfId="0" applyFont="1" applyAlignment="1">
      <alignment horizontal="right" vertical="center"/>
    </xf>
    <xf numFmtId="20" fontId="32" fillId="0" borderId="14" xfId="0" applyNumberFormat="1" applyFont="1" applyBorder="1">
      <alignment vertical="center"/>
    </xf>
    <xf numFmtId="0" fontId="32" fillId="0" borderId="1" xfId="0" applyFont="1" applyBorder="1" applyAlignment="1">
      <alignment horizontal="center" vertical="center"/>
    </xf>
    <xf numFmtId="0" fontId="36" fillId="0" borderId="24" xfId="0" applyFont="1" applyBorder="1" applyAlignment="1">
      <alignment vertical="top"/>
    </xf>
    <xf numFmtId="0" fontId="32" fillId="0" borderId="22" xfId="0" applyFont="1" applyBorder="1" applyAlignment="1">
      <alignment horizontal="center" vertical="center"/>
    </xf>
    <xf numFmtId="0" fontId="36" fillId="0" borderId="22" xfId="0" applyFont="1" applyBorder="1" applyAlignment="1">
      <alignment vertical="top"/>
    </xf>
    <xf numFmtId="0" fontId="32" fillId="0" borderId="29" xfId="0" applyFont="1" applyBorder="1">
      <alignment vertical="center"/>
    </xf>
    <xf numFmtId="0" fontId="32" fillId="0" borderId="29" xfId="0" applyFont="1" applyBorder="1" applyAlignment="1">
      <alignment horizontal="center" vertical="center"/>
    </xf>
    <xf numFmtId="0" fontId="32" fillId="0" borderId="30" xfId="0" applyFont="1" applyBorder="1">
      <alignment vertical="center"/>
    </xf>
    <xf numFmtId="0" fontId="32" fillId="0" borderId="30" xfId="0" applyFont="1" applyBorder="1" applyAlignment="1">
      <alignment horizontal="center" vertical="center"/>
    </xf>
    <xf numFmtId="0" fontId="32" fillId="0" borderId="25" xfId="0" applyFont="1" applyBorder="1">
      <alignment vertical="center"/>
    </xf>
    <xf numFmtId="0" fontId="32" fillId="0" borderId="25" xfId="0" applyFont="1" applyBorder="1" applyAlignment="1">
      <alignment horizontal="center" vertical="center"/>
    </xf>
    <xf numFmtId="0" fontId="32" fillId="0" borderId="28" xfId="0" applyFont="1" applyBorder="1" applyAlignment="1">
      <alignment horizontal="right" vertical="center"/>
    </xf>
    <xf numFmtId="0" fontId="32" fillId="0" borderId="23" xfId="0" applyFont="1" applyBorder="1">
      <alignment vertical="center"/>
    </xf>
    <xf numFmtId="0" fontId="32" fillId="0" borderId="26" xfId="0" applyFont="1" applyBorder="1">
      <alignment vertical="center"/>
    </xf>
    <xf numFmtId="0" fontId="32" fillId="0" borderId="18" xfId="0" applyFont="1" applyBorder="1" applyAlignment="1">
      <alignment horizontal="right" vertical="center"/>
    </xf>
    <xf numFmtId="0" fontId="32" fillId="0" borderId="27" xfId="0" applyFont="1" applyBorder="1">
      <alignment vertical="center"/>
    </xf>
    <xf numFmtId="0" fontId="36" fillId="0" borderId="0" xfId="0" applyFont="1">
      <alignment vertical="center"/>
    </xf>
    <xf numFmtId="0" fontId="38" fillId="0" borderId="0" xfId="0" applyFont="1" applyAlignment="1">
      <alignment vertical="center" shrinkToFit="1"/>
    </xf>
    <xf numFmtId="0" fontId="38" fillId="0" borderId="0" xfId="0" applyFont="1" applyAlignment="1"/>
    <xf numFmtId="0" fontId="39" fillId="0" borderId="0" xfId="0" applyFont="1" applyAlignment="1">
      <alignment vertical="center" shrinkToFit="1"/>
    </xf>
    <xf numFmtId="0" fontId="41" fillId="0" borderId="20" xfId="0" applyFont="1" applyBorder="1" applyAlignment="1">
      <alignment horizontal="distributed" vertical="center" shrinkToFit="1"/>
    </xf>
    <xf numFmtId="0" fontId="38" fillId="0" borderId="0" xfId="0" applyFont="1">
      <alignment vertical="center"/>
    </xf>
    <xf numFmtId="0" fontId="42" fillId="0" borderId="0" xfId="0" applyFont="1" applyAlignment="1">
      <alignment vertical="center" shrinkToFit="1"/>
    </xf>
    <xf numFmtId="0" fontId="43" fillId="0" borderId="0" xfId="0" applyFont="1" applyAlignment="1">
      <alignment vertical="center" shrinkToFit="1"/>
    </xf>
    <xf numFmtId="0" fontId="42" fillId="0" borderId="0" xfId="0" applyFont="1">
      <alignment vertical="center"/>
    </xf>
    <xf numFmtId="0" fontId="40" fillId="0" borderId="0" xfId="0" applyFont="1" applyAlignment="1">
      <alignment horizontal="left" vertical="center" shrinkToFit="1"/>
    </xf>
    <xf numFmtId="0" fontId="38" fillId="0" borderId="0" xfId="0" applyFont="1" applyAlignment="1">
      <alignment horizontal="center" vertical="center" shrinkToFit="1"/>
    </xf>
    <xf numFmtId="0" fontId="45" fillId="0" borderId="0" xfId="0" applyFont="1" applyAlignment="1">
      <alignment vertical="center" shrinkToFit="1"/>
    </xf>
    <xf numFmtId="0" fontId="45" fillId="0" borderId="0" xfId="0" applyFont="1" applyAlignment="1">
      <alignment horizontal="left" vertical="center" shrinkToFit="1"/>
    </xf>
    <xf numFmtId="0" fontId="43" fillId="0" borderId="0" xfId="0" applyFont="1" applyAlignment="1">
      <alignment horizontal="left" vertical="center" shrinkToFit="1"/>
    </xf>
    <xf numFmtId="0" fontId="43" fillId="0" borderId="0" xfId="0" applyFont="1" applyAlignment="1">
      <alignment horizontal="left" vertical="top" textRotation="255" shrinkToFit="1"/>
    </xf>
    <xf numFmtId="56" fontId="43" fillId="0" borderId="0" xfId="0" applyNumberFormat="1" applyFont="1" applyAlignment="1">
      <alignment horizontal="left" vertical="center" shrinkToFit="1"/>
    </xf>
    <xf numFmtId="0" fontId="43" fillId="0" borderId="0" xfId="0" applyFont="1" applyAlignment="1">
      <alignment horizontal="right" vertical="center" shrinkToFit="1"/>
    </xf>
    <xf numFmtId="0" fontId="43" fillId="0" borderId="0" xfId="0" applyFont="1" applyAlignment="1">
      <alignment vertical="top" textRotation="255" shrinkToFit="1"/>
    </xf>
    <xf numFmtId="0" fontId="43" fillId="0" borderId="60" xfId="0" applyFont="1" applyBorder="1" applyAlignment="1">
      <alignment vertical="center" shrinkToFit="1"/>
    </xf>
    <xf numFmtId="0" fontId="43" fillId="0" borderId="60" xfId="0" applyFont="1" applyBorder="1" applyAlignment="1">
      <alignment horizontal="center" vertical="center" shrinkToFit="1"/>
    </xf>
    <xf numFmtId="0" fontId="43" fillId="0" borderId="0" xfId="0" applyFont="1" applyAlignment="1">
      <alignment horizontal="center" vertical="center" shrinkToFit="1"/>
    </xf>
    <xf numFmtId="0" fontId="43" fillId="0" borderId="21" xfId="0" applyFont="1" applyBorder="1" applyAlignment="1">
      <alignment vertical="center" shrinkToFit="1"/>
    </xf>
    <xf numFmtId="0" fontId="43" fillId="0" borderId="0" xfId="0" applyFont="1" applyAlignment="1">
      <alignment shrinkToFit="1"/>
    </xf>
    <xf numFmtId="0" fontId="46" fillId="0" borderId="0" xfId="0" applyFont="1" applyAlignment="1">
      <alignment shrinkToFit="1"/>
    </xf>
    <xf numFmtId="0" fontId="39" fillId="0" borderId="0" xfId="0" applyFont="1" applyAlignment="1">
      <alignment vertical="center" textRotation="255" shrinkToFit="1"/>
    </xf>
    <xf numFmtId="0" fontId="39" fillId="0" borderId="18" xfId="0" applyFont="1" applyBorder="1" applyAlignment="1">
      <alignment vertical="center" textRotation="255" shrinkToFit="1"/>
    </xf>
    <xf numFmtId="0" fontId="39" fillId="0" borderId="19" xfId="0" applyFont="1" applyBorder="1" applyAlignment="1">
      <alignment vertical="center" textRotation="255" shrinkToFit="1"/>
    </xf>
    <xf numFmtId="0" fontId="38" fillId="0" borderId="0" xfId="0" applyFont="1" applyAlignment="1">
      <alignment horizontal="center" vertical="distributed" textRotation="255" shrinkToFit="1"/>
    </xf>
    <xf numFmtId="0" fontId="38" fillId="0" borderId="18" xfId="0" applyFont="1" applyBorder="1" applyAlignment="1">
      <alignment vertical="distributed" textRotation="255" shrinkToFit="1"/>
    </xf>
    <xf numFmtId="0" fontId="38" fillId="0" borderId="19" xfId="0" applyFont="1" applyBorder="1" applyAlignment="1">
      <alignment horizontal="center" vertical="distributed" textRotation="255" shrinkToFit="1"/>
    </xf>
    <xf numFmtId="0" fontId="44" fillId="0" borderId="18" xfId="0" applyFont="1" applyBorder="1" applyAlignment="1">
      <alignment horizontal="center" vertical="distributed" textRotation="255" shrinkToFit="1"/>
    </xf>
    <xf numFmtId="0" fontId="44" fillId="0" borderId="19" xfId="0" applyFont="1" applyBorder="1" applyAlignment="1">
      <alignment horizontal="center" vertical="distributed" textRotation="255" shrinkToFit="1"/>
    </xf>
    <xf numFmtId="0" fontId="44" fillId="0" borderId="0" xfId="0" applyFont="1" applyAlignment="1">
      <alignment horizontal="center" vertical="distributed" textRotation="255" shrinkToFit="1"/>
    </xf>
    <xf numFmtId="0" fontId="43" fillId="0" borderId="0" xfId="0" applyFont="1" applyAlignment="1">
      <alignment horizontal="center" vertical="top" textRotation="255" shrinkToFit="1"/>
    </xf>
    <xf numFmtId="0" fontId="43" fillId="0" borderId="18" xfId="0" applyFont="1" applyBorder="1" applyAlignment="1">
      <alignment vertical="top" textRotation="255" shrinkToFit="1"/>
    </xf>
    <xf numFmtId="0" fontId="43" fillId="0" borderId="19" xfId="0" applyFont="1" applyBorder="1" applyAlignment="1">
      <alignment horizontal="center" vertical="top" textRotation="255" shrinkToFit="1"/>
    </xf>
    <xf numFmtId="0" fontId="43" fillId="0" borderId="0" xfId="0" applyFont="1" applyAlignment="1">
      <alignment horizontal="left" vertical="top" shrinkToFit="1"/>
    </xf>
    <xf numFmtId="0" fontId="0" fillId="0" borderId="0" xfId="0" applyAlignment="1">
      <alignment horizontal="center" vertical="center"/>
    </xf>
    <xf numFmtId="0" fontId="14" fillId="0" borderId="0" xfId="0" applyFont="1">
      <alignment vertical="center"/>
    </xf>
    <xf numFmtId="0" fontId="47" fillId="0" borderId="0" xfId="0" applyFont="1">
      <alignment vertical="center"/>
    </xf>
    <xf numFmtId="0" fontId="16" fillId="0" borderId="0" xfId="0" applyFont="1" applyAlignment="1">
      <alignment horizontal="right" vertical="center"/>
    </xf>
    <xf numFmtId="0" fontId="47" fillId="0" borderId="57" xfId="0" applyFont="1" applyBorder="1">
      <alignment vertical="center"/>
    </xf>
    <xf numFmtId="0" fontId="47" fillId="0" borderId="24" xfId="0" applyFont="1" applyBorder="1">
      <alignment vertical="center"/>
    </xf>
    <xf numFmtId="0" fontId="14" fillId="0" borderId="24" xfId="0" applyFont="1" applyBorder="1">
      <alignment vertical="center"/>
    </xf>
    <xf numFmtId="0" fontId="47" fillId="0" borderId="74" xfId="0" applyFont="1" applyBorder="1">
      <alignment vertical="center"/>
    </xf>
    <xf numFmtId="0" fontId="47" fillId="0" borderId="56" xfId="0" applyFont="1" applyBorder="1">
      <alignment vertical="center"/>
    </xf>
    <xf numFmtId="0" fontId="47" fillId="0" borderId="13" xfId="0" applyFont="1" applyBorder="1" applyAlignment="1">
      <alignment horizontal="center" vertical="center"/>
    </xf>
    <xf numFmtId="0" fontId="50" fillId="3" borderId="0" xfId="0" applyFont="1" applyFill="1">
      <alignment vertical="center"/>
    </xf>
    <xf numFmtId="0" fontId="50" fillId="0" borderId="0" xfId="0" applyFont="1">
      <alignment vertical="center"/>
    </xf>
    <xf numFmtId="0" fontId="51" fillId="0" borderId="0" xfId="0" applyFont="1" applyAlignment="1">
      <alignment horizontal="right" vertical="center"/>
    </xf>
    <xf numFmtId="32" fontId="51" fillId="0" borderId="0" xfId="0" applyNumberFormat="1" applyFont="1" applyAlignment="1">
      <alignment horizontal="center" vertical="center"/>
    </xf>
    <xf numFmtId="0" fontId="51" fillId="0" borderId="0" xfId="0" applyFont="1" applyAlignment="1">
      <alignment horizontal="left" vertical="center"/>
    </xf>
    <xf numFmtId="0" fontId="52" fillId="0" borderId="0" xfId="2" applyFont="1" applyAlignment="1">
      <alignment vertical="top"/>
    </xf>
    <xf numFmtId="32" fontId="20" fillId="0" borderId="0" xfId="2" applyNumberFormat="1" applyFont="1" applyAlignment="1">
      <alignment horizontal="center" vertical="top" shrinkToFit="1"/>
    </xf>
    <xf numFmtId="0" fontId="54" fillId="0" borderId="0" xfId="2" applyFont="1" applyAlignment="1">
      <alignment horizontal="left" vertical="top" indent="1"/>
    </xf>
    <xf numFmtId="0" fontId="7" fillId="0" borderId="0" xfId="0" applyFont="1">
      <alignment vertical="center"/>
    </xf>
    <xf numFmtId="0" fontId="7" fillId="0" borderId="0" xfId="0" applyFont="1" applyAlignment="1">
      <alignment vertical="center" shrinkToFit="1"/>
    </xf>
    <xf numFmtId="0" fontId="7" fillId="0" borderId="0" xfId="0" applyFont="1" applyAlignment="1">
      <alignment horizontal="left" vertical="center" shrinkToFit="1"/>
    </xf>
    <xf numFmtId="0" fontId="7" fillId="0" borderId="20" xfId="0" applyFont="1" applyBorder="1" applyAlignment="1">
      <alignment horizontal="center" vertical="center"/>
    </xf>
    <xf numFmtId="0" fontId="7" fillId="0" borderId="22" xfId="0" applyFont="1" applyBorder="1" applyAlignment="1">
      <alignment horizontal="center" vertical="center"/>
    </xf>
    <xf numFmtId="0" fontId="24" fillId="0" borderId="25" xfId="0" applyFont="1" applyBorder="1" applyAlignment="1">
      <alignment horizontal="center" vertical="center"/>
    </xf>
    <xf numFmtId="0" fontId="24" fillId="0" borderId="61" xfId="0" applyFont="1" applyBorder="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center" vertical="center"/>
    </xf>
    <xf numFmtId="0" fontId="24" fillId="0" borderId="0" xfId="0" applyFont="1" applyAlignment="1">
      <alignment horizontal="left" vertical="center" wrapText="1"/>
    </xf>
    <xf numFmtId="0" fontId="7" fillId="0" borderId="0" xfId="0" applyFont="1" applyAlignment="1">
      <alignment horizontal="right" vertical="center"/>
    </xf>
    <xf numFmtId="0" fontId="31" fillId="0" borderId="20" xfId="0" applyFont="1" applyBorder="1" applyAlignment="1">
      <alignment horizontal="right" vertical="center"/>
    </xf>
    <xf numFmtId="0" fontId="43" fillId="0" borderId="0" xfId="0" applyFont="1" applyAlignment="1">
      <alignment horizontal="center" vertical="center" shrinkToFit="1"/>
    </xf>
    <xf numFmtId="0" fontId="40" fillId="0" borderId="0" xfId="0" applyFont="1" applyAlignment="1">
      <alignment horizontal="left" vertical="top" textRotation="255" shrinkToFit="1"/>
    </xf>
    <xf numFmtId="0" fontId="43" fillId="0" borderId="0" xfId="0" applyFont="1" applyAlignment="1">
      <alignment horizontal="left" vertical="center" shrinkToFit="1"/>
    </xf>
    <xf numFmtId="0" fontId="43" fillId="0" borderId="0" xfId="0" applyFont="1" applyAlignment="1">
      <alignment horizontal="right" vertical="center" shrinkToFit="1"/>
    </xf>
    <xf numFmtId="0" fontId="40" fillId="0" borderId="0" xfId="0" applyFont="1" applyAlignment="1">
      <alignment horizontal="right" vertical="top" textRotation="255" shrinkToFit="1"/>
    </xf>
    <xf numFmtId="0" fontId="40" fillId="0" borderId="0" xfId="0" applyFont="1" applyAlignment="1">
      <alignment horizontal="center" vertical="top" textRotation="255" shrinkToFit="1"/>
    </xf>
    <xf numFmtId="0" fontId="46" fillId="0" borderId="34" xfId="0" applyFont="1" applyBorder="1" applyAlignment="1">
      <alignment horizontal="center" shrinkToFit="1"/>
    </xf>
    <xf numFmtId="0" fontId="46" fillId="0" borderId="39" xfId="0" applyFont="1" applyBorder="1" applyAlignment="1">
      <alignment horizontal="center" shrinkToFit="1"/>
    </xf>
    <xf numFmtId="0" fontId="43" fillId="0" borderId="21" xfId="0" applyFont="1" applyBorder="1" applyAlignment="1">
      <alignment horizontal="center" vertical="center" shrinkToFit="1"/>
    </xf>
    <xf numFmtId="0" fontId="43" fillId="0" borderId="36" xfId="0" applyFont="1" applyBorder="1" applyAlignment="1">
      <alignment horizontal="center" vertical="center" shrinkToFit="1"/>
    </xf>
    <xf numFmtId="0" fontId="43" fillId="0" borderId="37" xfId="0" applyFont="1" applyBorder="1" applyAlignment="1">
      <alignment horizontal="center" vertical="center" shrinkToFit="1"/>
    </xf>
    <xf numFmtId="0" fontId="38" fillId="0" borderId="18" xfId="0" applyFont="1" applyBorder="1" applyAlignment="1">
      <alignment horizontal="center" vertical="distributed" textRotation="255" shrinkToFit="1"/>
    </xf>
    <xf numFmtId="0" fontId="38" fillId="0" borderId="19" xfId="0" applyFont="1" applyBorder="1" applyAlignment="1">
      <alignment horizontal="center" vertical="distributed" textRotation="255" shrinkToFit="1"/>
    </xf>
    <xf numFmtId="0" fontId="43" fillId="0" borderId="34" xfId="0" applyFont="1" applyBorder="1" applyAlignment="1">
      <alignment horizontal="center" vertical="center" shrinkToFit="1"/>
    </xf>
    <xf numFmtId="0" fontId="43" fillId="0" borderId="35" xfId="0" applyFont="1" applyBorder="1" applyAlignment="1">
      <alignment horizontal="center" vertical="center" shrinkToFit="1"/>
    </xf>
    <xf numFmtId="0" fontId="45" fillId="0" borderId="0" xfId="0" applyFont="1" applyAlignment="1">
      <alignment horizontal="center" vertical="center" shrinkToFit="1"/>
    </xf>
    <xf numFmtId="20" fontId="43" fillId="0" borderId="0" xfId="0" applyNumberFormat="1" applyFont="1" applyAlignment="1">
      <alignment horizontal="center" vertical="center" shrinkToFit="1"/>
    </xf>
    <xf numFmtId="0" fontId="43" fillId="0" borderId="32" xfId="0" applyFont="1" applyBorder="1" applyAlignment="1">
      <alignment horizontal="center" vertical="top" textRotation="255" shrinkToFit="1"/>
    </xf>
    <xf numFmtId="0" fontId="43" fillId="0" borderId="33" xfId="0" applyFont="1" applyBorder="1" applyAlignment="1">
      <alignment horizontal="center" vertical="top" textRotation="255" shrinkToFit="1"/>
    </xf>
    <xf numFmtId="0" fontId="39" fillId="0" borderId="28" xfId="0" applyFont="1" applyBorder="1" applyAlignment="1">
      <alignment horizontal="center" vertical="center" textRotation="255" shrinkToFit="1"/>
    </xf>
    <xf numFmtId="0" fontId="39" fillId="0" borderId="31" xfId="0" applyFont="1" applyBorder="1" applyAlignment="1">
      <alignment horizontal="center" vertical="center" textRotation="255" shrinkToFit="1"/>
    </xf>
    <xf numFmtId="0" fontId="43" fillId="0" borderId="38" xfId="0" applyFont="1" applyBorder="1" applyAlignment="1">
      <alignment horizontal="center" vertical="center" shrinkToFit="1"/>
    </xf>
    <xf numFmtId="0" fontId="37" fillId="0" borderId="0" xfId="0" applyFont="1" applyAlignment="1">
      <alignment horizontal="center" vertical="center" shrinkToFit="1"/>
    </xf>
    <xf numFmtId="0" fontId="38" fillId="0" borderId="0" xfId="0" applyFont="1" applyAlignment="1">
      <alignment horizontal="left" vertical="center" shrinkToFit="1"/>
    </xf>
    <xf numFmtId="0" fontId="40" fillId="0" borderId="20" xfId="0" applyFont="1" applyBorder="1" applyAlignment="1">
      <alignment horizontal="distributed" vertical="center" shrinkToFit="1"/>
    </xf>
    <xf numFmtId="0" fontId="42" fillId="0" borderId="20" xfId="0" applyFont="1" applyBorder="1" applyAlignment="1">
      <alignment horizontal="left" vertical="center" shrinkToFit="1"/>
    </xf>
    <xf numFmtId="0" fontId="38" fillId="0" borderId="0" xfId="0" applyFont="1" applyAlignment="1">
      <alignment horizontal="right" vertical="center" shrinkToFit="1"/>
    </xf>
    <xf numFmtId="0" fontId="43" fillId="0" borderId="0" xfId="0" applyFont="1" applyAlignment="1">
      <alignment horizontal="distributed" vertical="center" shrinkToFit="1"/>
    </xf>
    <xf numFmtId="0" fontId="44" fillId="0" borderId="0" xfId="0" applyFont="1" applyAlignment="1">
      <alignment horizontal="right" vertical="center" shrinkToFit="1"/>
    </xf>
    <xf numFmtId="0" fontId="41" fillId="0" borderId="0" xfId="0" applyFont="1" applyAlignment="1">
      <alignment horizontal="distributed" vertical="center" shrinkToFit="1"/>
    </xf>
    <xf numFmtId="0" fontId="40" fillId="0" borderId="0" xfId="0" applyFont="1" applyAlignment="1">
      <alignment horizontal="left" vertical="center" shrinkToFit="1"/>
    </xf>
    <xf numFmtId="0" fontId="38" fillId="0" borderId="0" xfId="0" applyFont="1" applyAlignment="1">
      <alignment horizontal="center" vertical="center" shrinkToFit="1"/>
    </xf>
    <xf numFmtId="0" fontId="46" fillId="0" borderId="0" xfId="0" applyFont="1" applyAlignment="1">
      <alignment horizontal="left" vertical="center"/>
    </xf>
    <xf numFmtId="0" fontId="6" fillId="0" borderId="20" xfId="0" applyFont="1" applyBorder="1" applyAlignment="1">
      <alignment horizontal="center" vertical="center" shrinkToFit="1"/>
    </xf>
    <xf numFmtId="0" fontId="6" fillId="0" borderId="40" xfId="0" applyFont="1" applyBorder="1" applyAlignment="1">
      <alignment horizontal="center" vertical="center"/>
    </xf>
    <xf numFmtId="0" fontId="29" fillId="0" borderId="0" xfId="0" applyFont="1" applyAlignment="1">
      <alignment horizontal="center" vertical="center" shrinkToFit="1"/>
    </xf>
    <xf numFmtId="0" fontId="28" fillId="0" borderId="0" xfId="0" applyFont="1" applyAlignment="1">
      <alignment horizontal="left" vertical="center"/>
    </xf>
    <xf numFmtId="0" fontId="4" fillId="0" borderId="0" xfId="0" applyFont="1" applyAlignment="1">
      <alignment horizontal="left" vertical="center"/>
    </xf>
    <xf numFmtId="0" fontId="31" fillId="0" borderId="0" xfId="0" applyFont="1" applyAlignment="1">
      <alignment horizontal="right" vertical="center"/>
    </xf>
    <xf numFmtId="0" fontId="31" fillId="0" borderId="0" xfId="0" applyFont="1" applyAlignment="1">
      <alignment horizontal="right" vertical="center" indent="1"/>
    </xf>
    <xf numFmtId="0" fontId="20" fillId="0" borderId="0" xfId="2" applyFont="1" applyAlignment="1">
      <alignment horizontal="left" vertical="top" wrapText="1" indent="3"/>
    </xf>
    <xf numFmtId="0" fontId="20" fillId="0" borderId="0" xfId="2" applyFont="1" applyAlignment="1">
      <alignment horizontal="left" vertical="top" indent="3"/>
    </xf>
    <xf numFmtId="0" fontId="23" fillId="0" borderId="0" xfId="2" applyFont="1" applyAlignment="1">
      <alignment horizontal="right" vertical="center" wrapText="1"/>
    </xf>
    <xf numFmtId="0" fontId="19" fillId="0" borderId="0" xfId="2" applyFont="1" applyAlignment="1">
      <alignment horizontal="center" vertical="top"/>
    </xf>
    <xf numFmtId="0" fontId="32" fillId="0" borderId="41" xfId="0" applyFont="1" applyBorder="1" applyAlignment="1">
      <alignment horizontal="distributed" vertical="center" indent="2"/>
    </xf>
    <xf numFmtId="0" fontId="32" fillId="0" borderId="1" xfId="0" applyFont="1" applyBorder="1" applyAlignment="1">
      <alignment horizontal="distributed" vertical="center" indent="2"/>
    </xf>
    <xf numFmtId="0" fontId="32" fillId="0" borderId="42" xfId="0" applyFont="1" applyBorder="1" applyAlignment="1">
      <alignment horizontal="distributed" vertical="center" indent="2"/>
    </xf>
    <xf numFmtId="0" fontId="32" fillId="0" borderId="25" xfId="0" applyFont="1" applyBorder="1" applyAlignment="1">
      <alignment horizontal="distributed" vertical="center" indent="2"/>
    </xf>
    <xf numFmtId="0" fontId="32" fillId="0" borderId="43" xfId="0" applyFont="1" applyBorder="1" applyAlignment="1">
      <alignment horizontal="distributed" vertical="center" indent="2"/>
    </xf>
    <xf numFmtId="0" fontId="32" fillId="0" borderId="44" xfId="0" applyFont="1" applyBorder="1" applyAlignment="1">
      <alignment horizontal="distributed" vertical="center" indent="2"/>
    </xf>
    <xf numFmtId="0" fontId="35" fillId="0" borderId="20" xfId="0" applyFont="1" applyBorder="1" applyAlignment="1">
      <alignment horizontal="left" vertical="center" indent="2"/>
    </xf>
    <xf numFmtId="0" fontId="32" fillId="0" borderId="41" xfId="0" applyFont="1" applyBorder="1" applyAlignment="1">
      <alignment horizontal="distributed" vertical="center" indent="1"/>
    </xf>
    <xf numFmtId="0" fontId="32" fillId="0" borderId="1" xfId="0" applyFont="1" applyBorder="1" applyAlignment="1">
      <alignment horizontal="distributed" vertical="center" indent="1"/>
    </xf>
    <xf numFmtId="0" fontId="32" fillId="0" borderId="43" xfId="0" applyFont="1" applyBorder="1" applyAlignment="1">
      <alignment horizontal="distributed" vertical="center" indent="1"/>
    </xf>
    <xf numFmtId="0" fontId="32" fillId="0" borderId="44" xfId="0" applyFont="1" applyBorder="1" applyAlignment="1">
      <alignment horizontal="distributed" vertical="center" indent="1"/>
    </xf>
    <xf numFmtId="0" fontId="32" fillId="0" borderId="45" xfId="0" applyFont="1" applyBorder="1" applyAlignment="1">
      <alignment horizontal="distributed" vertical="center" indent="2"/>
    </xf>
    <xf numFmtId="0" fontId="32" fillId="0" borderId="46" xfId="0" applyFont="1" applyBorder="1" applyAlignment="1">
      <alignment horizontal="distributed" vertical="center" indent="2"/>
    </xf>
    <xf numFmtId="0" fontId="32" fillId="0" borderId="30" xfId="0" applyFont="1" applyBorder="1" applyAlignment="1">
      <alignment horizontal="center" vertical="center"/>
    </xf>
    <xf numFmtId="0" fontId="32" fillId="0" borderId="29" xfId="0" applyFont="1" applyBorder="1" applyAlignment="1">
      <alignment horizontal="center" vertical="center"/>
    </xf>
    <xf numFmtId="0" fontId="34" fillId="0" borderId="22" xfId="0" applyFont="1" applyBorder="1" applyAlignment="1">
      <alignment horizontal="center" vertical="center" wrapText="1" shrinkToFit="1"/>
    </xf>
    <xf numFmtId="0" fontId="34" fillId="0" borderId="51" xfId="0" applyFont="1" applyBorder="1" applyAlignment="1">
      <alignment horizontal="center" vertical="center" wrapText="1" shrinkToFit="1"/>
    </xf>
    <xf numFmtId="0" fontId="32" fillId="0" borderId="52" xfId="0" applyFont="1" applyBorder="1" applyAlignment="1">
      <alignment horizontal="center" vertical="center"/>
    </xf>
    <xf numFmtId="0" fontId="32" fillId="0" borderId="53" xfId="0" applyFont="1" applyBorder="1" applyAlignment="1">
      <alignment horizontal="center" vertical="center"/>
    </xf>
    <xf numFmtId="0" fontId="32" fillId="0" borderId="1" xfId="0" applyFont="1" applyBorder="1" applyAlignment="1">
      <alignment horizontal="center" vertical="center"/>
    </xf>
    <xf numFmtId="0" fontId="32" fillId="0" borderId="25" xfId="0" applyFont="1" applyBorder="1" applyAlignment="1">
      <alignment horizontal="center" vertical="center"/>
    </xf>
    <xf numFmtId="0" fontId="32" fillId="0" borderId="24" xfId="0" applyFont="1" applyBorder="1" applyAlignment="1">
      <alignment horizontal="center" vertical="center"/>
    </xf>
    <xf numFmtId="0" fontId="32" fillId="0" borderId="22" xfId="0" applyFont="1" applyBorder="1" applyAlignment="1">
      <alignment horizontal="center" vertical="center"/>
    </xf>
    <xf numFmtId="0" fontId="32" fillId="0" borderId="51" xfId="0" applyFont="1" applyBorder="1" applyAlignment="1">
      <alignment horizontal="center" vertical="center"/>
    </xf>
    <xf numFmtId="0" fontId="33" fillId="0" borderId="24" xfId="0" applyFont="1" applyBorder="1" applyAlignment="1">
      <alignment horizontal="center" vertical="center"/>
    </xf>
    <xf numFmtId="0" fontId="33" fillId="0" borderId="22" xfId="0" applyFont="1" applyBorder="1" applyAlignment="1">
      <alignment horizontal="center" vertical="center"/>
    </xf>
    <xf numFmtId="0" fontId="33" fillId="0" borderId="57" xfId="0" applyFont="1" applyBorder="1" applyAlignment="1">
      <alignment horizontal="center" vertical="center"/>
    </xf>
    <xf numFmtId="0" fontId="32" fillId="0" borderId="24" xfId="0" applyFont="1" applyBorder="1" applyAlignment="1">
      <alignment horizontal="distributed" vertical="center"/>
    </xf>
    <xf numFmtId="0" fontId="32" fillId="0" borderId="57" xfId="0" applyFont="1" applyBorder="1" applyAlignment="1">
      <alignment horizontal="distributed" vertical="center"/>
    </xf>
    <xf numFmtId="0" fontId="32" fillId="0" borderId="20" xfId="0" applyFont="1" applyBorder="1" applyAlignment="1">
      <alignment horizontal="center" vertical="center"/>
    </xf>
    <xf numFmtId="0" fontId="32" fillId="0" borderId="0" xfId="0" applyFont="1" applyAlignment="1">
      <alignment horizontal="center" vertical="center"/>
    </xf>
    <xf numFmtId="0" fontId="32" fillId="0" borderId="23" xfId="0" applyFont="1" applyBorder="1" applyAlignment="1">
      <alignment horizontal="center" vertical="center"/>
    </xf>
    <xf numFmtId="0" fontId="32" fillId="0" borderId="58" xfId="0" applyFont="1" applyBorder="1" applyAlignment="1">
      <alignment horizontal="distributed" vertical="center" indent="2"/>
    </xf>
    <xf numFmtId="0" fontId="32" fillId="0" borderId="14" xfId="0" applyFont="1" applyBorder="1" applyAlignment="1">
      <alignment horizontal="distributed" vertical="center" indent="2"/>
    </xf>
    <xf numFmtId="0" fontId="32" fillId="0" borderId="45" xfId="0" applyFont="1" applyBorder="1" applyAlignment="1">
      <alignment horizontal="distributed" vertical="center" indent="1"/>
    </xf>
    <xf numFmtId="0" fontId="32" fillId="0" borderId="46" xfId="0" applyFont="1" applyBorder="1" applyAlignment="1">
      <alignment horizontal="distributed" vertical="center" indent="1"/>
    </xf>
    <xf numFmtId="0" fontId="32" fillId="0" borderId="44" xfId="0" applyFont="1" applyBorder="1" applyAlignment="1">
      <alignment horizontal="center" vertical="center"/>
    </xf>
    <xf numFmtId="0" fontId="32" fillId="0" borderId="47" xfId="0" applyFont="1" applyBorder="1" applyAlignment="1">
      <alignment horizontal="center" vertical="center"/>
    </xf>
    <xf numFmtId="0" fontId="32" fillId="0" borderId="48" xfId="0" applyFont="1" applyBorder="1" applyAlignment="1">
      <alignment horizontal="center" vertical="center"/>
    </xf>
    <xf numFmtId="0" fontId="32" fillId="0" borderId="49" xfId="0" applyFont="1" applyBorder="1" applyAlignment="1">
      <alignment horizontal="center" vertical="center"/>
    </xf>
    <xf numFmtId="0" fontId="32" fillId="0" borderId="50" xfId="0" applyFont="1" applyBorder="1" applyAlignment="1">
      <alignment horizontal="center" vertical="center"/>
    </xf>
    <xf numFmtId="0" fontId="32" fillId="0" borderId="18" xfId="0" applyFont="1" applyBorder="1" applyAlignment="1">
      <alignment horizontal="center" vertical="center"/>
    </xf>
    <xf numFmtId="0" fontId="32" fillId="0" borderId="27" xfId="0" applyFont="1" applyBorder="1" applyAlignment="1">
      <alignment horizontal="center" vertical="center"/>
    </xf>
    <xf numFmtId="0" fontId="32" fillId="0" borderId="57" xfId="0" applyFont="1" applyBorder="1" applyAlignment="1">
      <alignment horizontal="center" vertical="center"/>
    </xf>
    <xf numFmtId="0" fontId="32" fillId="0" borderId="23" xfId="0" applyFont="1" applyBorder="1" applyAlignment="1">
      <alignment horizontal="distributed" vertical="center"/>
    </xf>
    <xf numFmtId="0" fontId="32" fillId="0" borderId="0" xfId="0" applyFont="1" applyAlignment="1">
      <alignment horizontal="distributed" vertical="center"/>
    </xf>
    <xf numFmtId="0" fontId="32" fillId="0" borderId="14" xfId="0" applyFont="1" applyBorder="1" applyAlignment="1">
      <alignment horizontal="left" vertical="center"/>
    </xf>
    <xf numFmtId="0" fontId="32" fillId="0" borderId="59" xfId="0" applyFont="1" applyBorder="1" applyAlignment="1">
      <alignment horizontal="left" vertical="center"/>
    </xf>
    <xf numFmtId="0" fontId="32" fillId="0" borderId="54" xfId="0" applyFont="1" applyBorder="1" applyAlignment="1">
      <alignment horizontal="left" vertical="center" indent="2"/>
    </xf>
    <xf numFmtId="0" fontId="32" fillId="0" borderId="55" xfId="0" applyFont="1" applyBorder="1" applyAlignment="1">
      <alignment horizontal="left" vertical="center" indent="2"/>
    </xf>
    <xf numFmtId="0" fontId="32" fillId="0" borderId="56" xfId="0" applyFont="1" applyBorder="1" applyAlignment="1">
      <alignment horizontal="left" vertical="center" indent="2"/>
    </xf>
    <xf numFmtId="0" fontId="47" fillId="0" borderId="1" xfId="0" applyFont="1" applyBorder="1" applyAlignment="1">
      <alignment horizontal="left" vertical="center" wrapText="1"/>
    </xf>
    <xf numFmtId="0" fontId="47" fillId="0" borderId="1" xfId="0" applyFont="1" applyBorder="1" applyAlignment="1">
      <alignment horizontal="left" vertical="center"/>
    </xf>
    <xf numFmtId="0" fontId="47" fillId="0" borderId="52" xfId="0" applyFont="1" applyBorder="1" applyAlignment="1">
      <alignment horizontal="left" vertical="center"/>
    </xf>
    <xf numFmtId="0" fontId="48" fillId="0" borderId="0" xfId="0" applyFont="1" applyAlignment="1">
      <alignment horizontal="center" vertical="center"/>
    </xf>
    <xf numFmtId="0" fontId="14" fillId="0" borderId="7" xfId="0" applyFont="1" applyBorder="1" applyAlignment="1">
      <alignment horizontal="center" vertical="center" wrapText="1" shrinkToFit="1"/>
    </xf>
    <xf numFmtId="0" fontId="14" fillId="0" borderId="62" xfId="0" applyFont="1" applyBorder="1" applyAlignment="1">
      <alignment horizontal="center" vertical="center" wrapText="1" shrinkToFit="1"/>
    </xf>
    <xf numFmtId="0" fontId="14" fillId="0" borderId="13" xfId="0" applyFont="1" applyBorder="1" applyAlignment="1">
      <alignment horizontal="center" vertical="center" wrapText="1" shrinkToFit="1"/>
    </xf>
    <xf numFmtId="0" fontId="47" fillId="0" borderId="77" xfId="0" applyFont="1" applyBorder="1" applyAlignment="1">
      <alignment horizontal="center" vertical="center"/>
    </xf>
    <xf numFmtId="0" fontId="47" fillId="0" borderId="63" xfId="0" applyFont="1" applyBorder="1" applyAlignment="1">
      <alignment horizontal="center" vertical="center"/>
    </xf>
    <xf numFmtId="0" fontId="47" fillId="0" borderId="64" xfId="0" applyFont="1" applyBorder="1" applyAlignment="1">
      <alignment horizontal="center" vertical="center"/>
    </xf>
    <xf numFmtId="20" fontId="14" fillId="0" borderId="41" xfId="0" applyNumberFormat="1" applyFont="1" applyBorder="1" applyAlignment="1">
      <alignment horizontal="center" vertical="center"/>
    </xf>
    <xf numFmtId="0" fontId="14" fillId="0" borderId="1" xfId="0" applyFont="1" applyBorder="1" applyAlignment="1">
      <alignment horizontal="center" vertical="center"/>
    </xf>
    <xf numFmtId="0" fontId="14" fillId="0" borderId="0" xfId="0" applyFont="1" applyAlignment="1">
      <alignment horizontal="center" vertical="center"/>
    </xf>
    <xf numFmtId="0" fontId="14" fillId="0" borderId="0" xfId="0" applyFont="1" applyAlignment="1">
      <alignment horizontal="left" vertical="center" indent="2"/>
    </xf>
    <xf numFmtId="178" fontId="14" fillId="0" borderId="41" xfId="0" applyNumberFormat="1" applyFont="1" applyBorder="1" applyAlignment="1">
      <alignment horizontal="center" vertical="center"/>
    </xf>
    <xf numFmtId="178" fontId="14" fillId="0" borderId="1" xfId="0" applyNumberFormat="1" applyFont="1" applyBorder="1" applyAlignment="1">
      <alignment horizontal="center" vertical="center"/>
    </xf>
    <xf numFmtId="0" fontId="47" fillId="0" borderId="24" xfId="0" applyFont="1" applyBorder="1" applyAlignment="1">
      <alignment horizontal="left" vertical="center"/>
    </xf>
    <xf numFmtId="0" fontId="47" fillId="0" borderId="22" xfId="0" applyFont="1" applyBorder="1" applyAlignment="1">
      <alignment horizontal="left" vertical="center"/>
    </xf>
    <xf numFmtId="0" fontId="47" fillId="0" borderId="51" xfId="0" applyFont="1" applyBorder="1" applyAlignment="1">
      <alignment horizontal="left" vertical="center"/>
    </xf>
    <xf numFmtId="20" fontId="14" fillId="0" borderId="78" xfId="0" applyNumberFormat="1" applyFont="1" applyBorder="1" applyAlignment="1">
      <alignment horizontal="center" vertical="center"/>
    </xf>
    <xf numFmtId="0" fontId="14" fillId="0" borderId="57" xfId="0" applyFont="1" applyBorder="1" applyAlignment="1">
      <alignment horizontal="center" vertical="center"/>
    </xf>
    <xf numFmtId="20" fontId="14" fillId="0" borderId="45" xfId="0" applyNumberFormat="1" applyFont="1" applyBorder="1" applyAlignment="1">
      <alignment horizontal="center" vertical="center"/>
    </xf>
    <xf numFmtId="0" fontId="14" fillId="0" borderId="46" xfId="0" applyFont="1" applyBorder="1" applyAlignment="1">
      <alignment horizontal="center" vertical="center"/>
    </xf>
    <xf numFmtId="0" fontId="47" fillId="0" borderId="46" xfId="0" applyFont="1" applyBorder="1" applyAlignment="1">
      <alignment horizontal="left" vertical="center" wrapText="1"/>
    </xf>
    <xf numFmtId="0" fontId="47" fillId="0" borderId="46" xfId="0" applyFont="1" applyBorder="1" applyAlignment="1">
      <alignment horizontal="left" vertical="center"/>
    </xf>
    <xf numFmtId="0" fontId="47" fillId="0" borderId="65" xfId="0" applyFont="1" applyBorder="1" applyAlignment="1">
      <alignment horizontal="left" vertical="center"/>
    </xf>
    <xf numFmtId="0" fontId="47" fillId="0" borderId="24" xfId="0" applyFont="1" applyBorder="1" applyAlignment="1">
      <alignment horizontal="center" vertical="center"/>
    </xf>
    <xf numFmtId="0" fontId="47" fillId="0" borderId="57" xfId="0" applyFont="1" applyBorder="1" applyAlignment="1">
      <alignment horizontal="center" vertical="center"/>
    </xf>
    <xf numFmtId="0" fontId="47" fillId="0" borderId="54" xfId="0" applyFont="1" applyBorder="1" applyAlignment="1">
      <alignment horizontal="center" vertical="center"/>
    </xf>
    <xf numFmtId="0" fontId="47" fillId="0" borderId="66" xfId="0" applyFont="1" applyBorder="1" applyAlignment="1">
      <alignment horizontal="center" vertical="center"/>
    </xf>
    <xf numFmtId="0" fontId="14" fillId="0" borderId="67" xfId="0" applyFont="1" applyBorder="1" applyAlignment="1">
      <alignment horizontal="center" vertical="center" wrapText="1" shrinkToFit="1"/>
    </xf>
    <xf numFmtId="0" fontId="14" fillId="0" borderId="61" xfId="0" applyFont="1" applyBorder="1" applyAlignment="1">
      <alignment horizontal="center" vertical="center" wrapText="1" shrinkToFit="1"/>
    </xf>
    <xf numFmtId="0" fontId="14" fillId="0" borderId="68" xfId="0" applyFont="1" applyBorder="1" applyAlignment="1">
      <alignment horizontal="center" vertical="center" wrapText="1" shrinkToFit="1"/>
    </xf>
    <xf numFmtId="0" fontId="14" fillId="0" borderId="45" xfId="0" applyFont="1" applyBorder="1" applyAlignment="1">
      <alignment horizontal="center" vertical="center" wrapText="1" shrinkToFit="1"/>
    </xf>
    <xf numFmtId="0" fontId="14" fillId="0" borderId="46" xfId="0" applyFont="1" applyBorder="1" applyAlignment="1">
      <alignment horizontal="center" vertical="center" wrapText="1" shrinkToFit="1"/>
    </xf>
    <xf numFmtId="0" fontId="14" fillId="0" borderId="65" xfId="0" applyFont="1" applyBorder="1" applyAlignment="1">
      <alignment horizontal="center" vertical="center" wrapText="1" shrinkToFit="1"/>
    </xf>
    <xf numFmtId="0" fontId="47" fillId="0" borderId="69" xfId="0" applyFont="1" applyBorder="1" applyAlignment="1">
      <alignment horizontal="center" vertical="center"/>
    </xf>
    <xf numFmtId="0" fontId="47" fillId="0" borderId="70" xfId="0" applyFont="1" applyBorder="1" applyAlignment="1">
      <alignment horizontal="center" vertical="center"/>
    </xf>
    <xf numFmtId="0" fontId="47" fillId="0" borderId="71" xfId="0" applyFont="1" applyBorder="1" applyAlignment="1">
      <alignment horizontal="center" vertical="center"/>
    </xf>
    <xf numFmtId="0" fontId="47" fillId="0" borderId="72" xfId="0" applyFont="1" applyBorder="1" applyAlignment="1">
      <alignment horizontal="center" vertical="center"/>
    </xf>
    <xf numFmtId="0" fontId="47" fillId="0" borderId="73" xfId="0" applyFont="1" applyBorder="1" applyAlignment="1">
      <alignment horizontal="center" vertical="center"/>
    </xf>
    <xf numFmtId="0" fontId="47" fillId="0" borderId="80" xfId="0" applyFont="1" applyBorder="1" applyAlignment="1">
      <alignment horizontal="left" vertical="center" wrapText="1"/>
    </xf>
    <xf numFmtId="0" fontId="47" fillId="0" borderId="14" xfId="0" applyFont="1" applyBorder="1" applyAlignment="1">
      <alignment horizontal="left" vertical="center" wrapText="1"/>
    </xf>
    <xf numFmtId="0" fontId="47" fillId="0" borderId="59" xfId="0" applyFont="1" applyBorder="1" applyAlignment="1">
      <alignment horizontal="left" vertical="center" wrapText="1"/>
    </xf>
    <xf numFmtId="0" fontId="47" fillId="0" borderId="76" xfId="0" applyFont="1" applyBorder="1" applyAlignment="1">
      <alignment horizontal="left" vertical="center" wrapText="1"/>
    </xf>
    <xf numFmtId="0" fontId="47" fillId="0" borderId="55" xfId="0" applyFont="1" applyBorder="1" applyAlignment="1">
      <alignment horizontal="left" vertical="center" wrapText="1"/>
    </xf>
    <xf numFmtId="0" fontId="47" fillId="0" borderId="56" xfId="0" applyFont="1" applyBorder="1" applyAlignment="1">
      <alignment horizontal="left" vertical="center" wrapText="1"/>
    </xf>
    <xf numFmtId="0" fontId="47" fillId="0" borderId="41" xfId="0" applyFont="1" applyBorder="1" applyAlignment="1">
      <alignment horizontal="center" vertical="center"/>
    </xf>
    <xf numFmtId="0" fontId="47" fillId="0" borderId="45" xfId="0" applyFont="1" applyBorder="1" applyAlignment="1">
      <alignment horizontal="center" vertical="center"/>
    </xf>
    <xf numFmtId="0" fontId="47" fillId="0" borderId="43" xfId="0" applyFont="1" applyBorder="1" applyAlignment="1">
      <alignment horizontal="center" vertical="center"/>
    </xf>
    <xf numFmtId="0" fontId="47" fillId="0" borderId="47" xfId="0" applyFont="1" applyBorder="1" applyAlignment="1">
      <alignment horizontal="center" vertical="center"/>
    </xf>
    <xf numFmtId="0" fontId="47" fillId="0" borderId="52" xfId="0" applyFont="1" applyBorder="1" applyAlignment="1">
      <alignment horizontal="center" vertical="center"/>
    </xf>
    <xf numFmtId="0" fontId="47" fillId="0" borderId="65" xfId="0" applyFont="1" applyBorder="1" applyAlignment="1">
      <alignment horizontal="center" vertical="center"/>
    </xf>
    <xf numFmtId="0" fontId="47" fillId="0" borderId="43" xfId="0" applyFont="1" applyBorder="1" applyAlignment="1">
      <alignment horizontal="center" vertical="center" shrinkToFit="1"/>
    </xf>
    <xf numFmtId="0" fontId="47" fillId="0" borderId="58" xfId="0" applyFont="1" applyBorder="1" applyAlignment="1">
      <alignment horizontal="center" vertical="center" shrinkToFit="1"/>
    </xf>
    <xf numFmtId="0" fontId="0" fillId="0" borderId="24" xfId="0" applyBorder="1" applyAlignment="1">
      <alignment horizontal="distributed" vertical="center"/>
    </xf>
    <xf numFmtId="0" fontId="0" fillId="0" borderId="57" xfId="0" applyBorder="1" applyAlignment="1">
      <alignment horizontal="distributed" vertical="center"/>
    </xf>
    <xf numFmtId="0" fontId="0" fillId="0" borderId="43" xfId="0" applyBorder="1" applyAlignment="1">
      <alignment horizontal="distributed" vertical="center" indent="2"/>
    </xf>
    <xf numFmtId="0" fontId="0" fillId="0" borderId="44" xfId="0" applyBorder="1" applyAlignment="1">
      <alignment horizontal="distributed" vertical="center" indent="2"/>
    </xf>
    <xf numFmtId="0" fontId="14" fillId="0" borderId="20" xfId="0" applyFont="1" applyBorder="1" applyAlignment="1">
      <alignment horizontal="left" vertical="center" indent="2"/>
    </xf>
    <xf numFmtId="0" fontId="0" fillId="0" borderId="41" xfId="0" applyBorder="1" applyAlignment="1">
      <alignment horizontal="distributed" vertical="center" indent="1"/>
    </xf>
    <xf numFmtId="0" fontId="0" fillId="0" borderId="1" xfId="0" applyBorder="1" applyAlignment="1">
      <alignment horizontal="distributed" vertical="center" indent="1"/>
    </xf>
    <xf numFmtId="0" fontId="0" fillId="0" borderId="43" xfId="0" applyBorder="1" applyAlignment="1">
      <alignment horizontal="distributed" vertical="center" indent="1"/>
    </xf>
    <xf numFmtId="0" fontId="0" fillId="0" borderId="44" xfId="0" applyBorder="1" applyAlignment="1">
      <alignment horizontal="distributed" vertical="center" indent="1"/>
    </xf>
    <xf numFmtId="0" fontId="0" fillId="0" borderId="45" xfId="0" applyBorder="1" applyAlignment="1">
      <alignment horizontal="distributed" vertical="center" indent="2"/>
    </xf>
    <xf numFmtId="0" fontId="0" fillId="0" borderId="46" xfId="0" applyBorder="1" applyAlignment="1">
      <alignment horizontal="distributed" vertical="center" indent="2"/>
    </xf>
    <xf numFmtId="0" fontId="0" fillId="0" borderId="30" xfId="0" applyBorder="1" applyAlignment="1">
      <alignment horizontal="center" vertical="center"/>
    </xf>
    <xf numFmtId="0" fontId="0" fillId="0" borderId="29" xfId="0" applyBorder="1" applyAlignment="1">
      <alignment horizontal="center" vertical="center"/>
    </xf>
    <xf numFmtId="0" fontId="15" fillId="0" borderId="22" xfId="0" applyFont="1" applyBorder="1" applyAlignment="1">
      <alignment horizontal="center" vertical="center" wrapText="1" shrinkToFit="1"/>
    </xf>
    <xf numFmtId="0" fontId="15" fillId="0" borderId="51" xfId="0" applyFont="1" applyBorder="1" applyAlignment="1">
      <alignment horizontal="center" vertical="center" wrapText="1" shrinkToFit="1"/>
    </xf>
    <xf numFmtId="0" fontId="0" fillId="0" borderId="41" xfId="0" applyBorder="1" applyAlignment="1">
      <alignment horizontal="distributed" vertical="center" indent="2"/>
    </xf>
    <xf numFmtId="0" fontId="0" fillId="0" borderId="1" xfId="0" applyBorder="1" applyAlignment="1">
      <alignment horizontal="distributed" vertical="center" indent="2"/>
    </xf>
    <xf numFmtId="0" fontId="0" fillId="0" borderId="42" xfId="0" applyBorder="1" applyAlignment="1">
      <alignment horizontal="distributed" vertical="center" indent="2"/>
    </xf>
    <xf numFmtId="0" fontId="0" fillId="0" borderId="25" xfId="0" applyBorder="1" applyAlignment="1">
      <alignment horizontal="distributed" vertical="center" indent="2"/>
    </xf>
    <xf numFmtId="0" fontId="0" fillId="0" borderId="1" xfId="0" applyBorder="1" applyAlignment="1">
      <alignment horizontal="center" vertical="center"/>
    </xf>
    <xf numFmtId="0" fontId="0" fillId="0" borderId="25"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18" xfId="0" applyBorder="1" applyAlignment="1">
      <alignment horizontal="center" vertical="center"/>
    </xf>
    <xf numFmtId="0" fontId="0" fillId="0" borderId="0" xfId="0" applyAlignment="1">
      <alignment horizontal="center" vertical="center"/>
    </xf>
    <xf numFmtId="0" fontId="0" fillId="0" borderId="27" xfId="0" applyBorder="1" applyAlignment="1">
      <alignment horizontal="center" vertical="center"/>
    </xf>
    <xf numFmtId="0" fontId="0" fillId="0" borderId="24" xfId="0" applyBorder="1" applyAlignment="1">
      <alignment horizontal="center" vertical="center"/>
    </xf>
    <xf numFmtId="0" fontId="0" fillId="0" borderId="22" xfId="0" applyBorder="1" applyAlignment="1">
      <alignment horizontal="center" vertical="center"/>
    </xf>
    <xf numFmtId="0" fontId="0" fillId="0" borderId="51" xfId="0" applyBorder="1" applyAlignment="1">
      <alignment horizontal="center" vertical="center"/>
    </xf>
    <xf numFmtId="0" fontId="0" fillId="0" borderId="20" xfId="0" applyBorder="1" applyAlignment="1">
      <alignment horizontal="center" vertical="center"/>
    </xf>
    <xf numFmtId="0" fontId="16" fillId="0" borderId="24" xfId="0" applyFont="1" applyBorder="1" applyAlignment="1">
      <alignment horizontal="center" vertical="center"/>
    </xf>
    <xf numFmtId="0" fontId="16" fillId="0" borderId="22" xfId="0" applyFont="1" applyBorder="1" applyAlignment="1">
      <alignment horizontal="center" vertical="center"/>
    </xf>
    <xf numFmtId="0" fontId="16" fillId="0" borderId="57" xfId="0" applyFont="1" applyBorder="1" applyAlignment="1">
      <alignment horizontal="center" vertical="center"/>
    </xf>
    <xf numFmtId="0" fontId="0" fillId="0" borderId="23"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23" xfId="0" applyBorder="1" applyAlignment="1">
      <alignment horizontal="distributed" vertical="center"/>
    </xf>
    <xf numFmtId="0" fontId="0" fillId="0" borderId="0" xfId="0" applyAlignment="1">
      <alignment horizontal="distributed" vertical="center"/>
    </xf>
    <xf numFmtId="0" fontId="0" fillId="0" borderId="58" xfId="0" applyBorder="1" applyAlignment="1">
      <alignment horizontal="distributed" vertical="center" indent="2"/>
    </xf>
    <xf numFmtId="0" fontId="0" fillId="0" borderId="14" xfId="0" applyBorder="1" applyAlignment="1">
      <alignment horizontal="distributed" vertical="center" indent="2"/>
    </xf>
    <xf numFmtId="0" fontId="0" fillId="0" borderId="54" xfId="0" applyBorder="1" applyAlignment="1">
      <alignment horizontal="left" vertical="center" indent="2"/>
    </xf>
    <xf numFmtId="0" fontId="0" fillId="0" borderId="55" xfId="0" applyBorder="1" applyAlignment="1">
      <alignment horizontal="left" vertical="center" indent="2"/>
    </xf>
    <xf numFmtId="0" fontId="0" fillId="0" borderId="56" xfId="0" applyBorder="1" applyAlignment="1">
      <alignment horizontal="left" vertical="center" indent="2"/>
    </xf>
    <xf numFmtId="0" fontId="0" fillId="0" borderId="45" xfId="0" applyBorder="1" applyAlignment="1">
      <alignment horizontal="distributed" vertical="center" indent="1"/>
    </xf>
    <xf numFmtId="0" fontId="0" fillId="0" borderId="46" xfId="0" applyBorder="1" applyAlignment="1">
      <alignment horizontal="distributed" vertical="center" indent="1"/>
    </xf>
    <xf numFmtId="0" fontId="0" fillId="0" borderId="57" xfId="0" applyBorder="1" applyAlignment="1">
      <alignment horizontal="center" vertical="center"/>
    </xf>
    <xf numFmtId="0" fontId="0" fillId="0" borderId="14" xfId="0" applyBorder="1" applyAlignment="1">
      <alignment horizontal="left" vertical="center"/>
    </xf>
    <xf numFmtId="0" fontId="0" fillId="0" borderId="59" xfId="0" applyBorder="1" applyAlignment="1">
      <alignment horizontal="left" vertical="center"/>
    </xf>
    <xf numFmtId="0" fontId="53" fillId="0" borderId="7" xfId="0" applyFont="1" applyBorder="1" applyAlignment="1">
      <alignment horizontal="center" vertical="center" wrapText="1" shrinkToFit="1"/>
    </xf>
    <xf numFmtId="0" fontId="53" fillId="0" borderId="62" xfId="0" applyFont="1" applyBorder="1" applyAlignment="1">
      <alignment horizontal="center" vertical="center" wrapText="1" shrinkToFit="1"/>
    </xf>
    <xf numFmtId="0" fontId="53" fillId="0" borderId="13" xfId="0" applyFont="1" applyBorder="1" applyAlignment="1">
      <alignment horizontal="center" vertical="center" wrapText="1" shrinkToFit="1"/>
    </xf>
    <xf numFmtId="0" fontId="53" fillId="0" borderId="80" xfId="0" applyFont="1" applyBorder="1" applyAlignment="1">
      <alignment horizontal="center" vertical="center" wrapText="1" shrinkToFit="1"/>
    </xf>
    <xf numFmtId="0" fontId="53" fillId="0" borderId="14" xfId="0" applyFont="1" applyBorder="1" applyAlignment="1">
      <alignment horizontal="center" vertical="center" wrapText="1" shrinkToFit="1"/>
    </xf>
    <xf numFmtId="0" fontId="53" fillId="0" borderId="59" xfId="0" applyFont="1" applyBorder="1" applyAlignment="1">
      <alignment horizontal="center" vertical="center" wrapText="1" shrinkToFit="1"/>
    </xf>
    <xf numFmtId="0" fontId="47" fillId="0" borderId="20" xfId="0" applyFont="1" applyBorder="1" applyAlignment="1">
      <alignment horizontal="left" vertical="center" wrapText="1"/>
    </xf>
    <xf numFmtId="0" fontId="47" fillId="0" borderId="20" xfId="0" applyFont="1" applyBorder="1" applyAlignment="1">
      <alignment horizontal="left" vertical="center"/>
    </xf>
    <xf numFmtId="0" fontId="47" fillId="0" borderId="75" xfId="0" applyFont="1" applyBorder="1" applyAlignment="1">
      <alignment horizontal="left" vertical="center" wrapText="1"/>
    </xf>
    <xf numFmtId="0" fontId="47" fillId="0" borderId="74" xfId="0" applyFont="1" applyBorder="1" applyAlignment="1">
      <alignment horizontal="left" vertical="center"/>
    </xf>
    <xf numFmtId="0" fontId="53" fillId="0" borderId="79" xfId="0" applyFont="1" applyBorder="1" applyAlignment="1">
      <alignment horizontal="center" vertical="center" wrapText="1" shrinkToFit="1"/>
    </xf>
    <xf numFmtId="0" fontId="53" fillId="0" borderId="49" xfId="0" applyFont="1" applyBorder="1" applyAlignment="1">
      <alignment horizontal="center" vertical="center" wrapText="1" shrinkToFit="1"/>
    </xf>
    <xf numFmtId="0" fontId="53" fillId="0" borderId="50" xfId="0" applyFont="1" applyBorder="1" applyAlignment="1">
      <alignment horizontal="center" vertical="center" wrapText="1" shrinkToFit="1"/>
    </xf>
    <xf numFmtId="0" fontId="47" fillId="0" borderId="55" xfId="0" applyFont="1" applyBorder="1" applyAlignment="1">
      <alignment horizontal="left" vertical="center"/>
    </xf>
    <xf numFmtId="0" fontId="47" fillId="0" borderId="56" xfId="0" applyFont="1" applyBorder="1" applyAlignment="1">
      <alignment horizontal="left" vertical="center"/>
    </xf>
    <xf numFmtId="0" fontId="47" fillId="0" borderId="79" xfId="0" applyFont="1" applyBorder="1" applyAlignment="1">
      <alignment horizontal="left" vertical="center" wrapText="1"/>
    </xf>
    <xf numFmtId="0" fontId="47" fillId="0" borderId="49" xfId="0" applyFont="1" applyBorder="1" applyAlignment="1">
      <alignment horizontal="left" vertical="center"/>
    </xf>
    <xf numFmtId="0" fontId="47" fillId="0" borderId="50" xfId="0" applyFont="1" applyBorder="1" applyAlignment="1">
      <alignment horizontal="left" vertical="center"/>
    </xf>
    <xf numFmtId="0" fontId="12" fillId="0" borderId="0" xfId="0" applyFont="1" applyAlignment="1">
      <alignment horizontal="left" vertical="top" wrapText="1"/>
    </xf>
    <xf numFmtId="0" fontId="12" fillId="0" borderId="0" xfId="0" applyFont="1" applyAlignment="1">
      <alignment horizontal="left" vertical="center"/>
    </xf>
    <xf numFmtId="0" fontId="13"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wrapText="1"/>
    </xf>
    <xf numFmtId="176" fontId="12" fillId="0" borderId="0" xfId="0" applyNumberFormat="1" applyFont="1" applyAlignment="1">
      <alignment horizontal="left" vertical="center"/>
    </xf>
  </cellXfs>
  <cellStyles count="3">
    <cellStyle name="標準" xfId="0" builtinId="0"/>
    <cellStyle name="標準 2" xfId="1" xr:uid="{00000000-0005-0000-0000-000001000000}"/>
    <cellStyle name="標準 3" xfId="2" xr:uid="{00000000-0005-0000-0000-000002000000}"/>
  </cellStyles>
  <dxfs count="83">
    <dxf>
      <border>
        <left style="thin">
          <color indexed="64"/>
        </left>
      </border>
    </dxf>
    <dxf>
      <border>
        <bottom style="thin">
          <color indexed="64"/>
        </bottom>
      </border>
    </dxf>
    <dxf>
      <border>
        <left style="thin">
          <color indexed="64"/>
        </left>
        <bottom style="thin">
          <color indexed="64"/>
        </bottom>
      </border>
    </dxf>
    <dxf>
      <border>
        <bottom style="thin">
          <color indexed="64"/>
        </bottom>
      </border>
    </dxf>
    <dxf>
      <border>
        <bottom style="thin">
          <color indexed="64"/>
        </bottom>
      </border>
    </dxf>
    <dxf>
      <border>
        <bottom style="thin">
          <color indexed="64"/>
        </bottom>
      </border>
    </dxf>
    <dxf>
      <border>
        <right style="thin">
          <color indexed="64"/>
        </right>
      </border>
    </dxf>
    <dxf>
      <border>
        <left style="thin">
          <color indexed="64"/>
        </left>
        <bottom style="thin">
          <color indexed="64"/>
        </bottom>
      </border>
    </dxf>
    <dxf>
      <border>
        <bottom style="thin">
          <color indexed="64"/>
        </bottom>
      </border>
    </dxf>
    <dxf>
      <border>
        <left style="thin">
          <color indexed="64"/>
        </left>
      </border>
    </dxf>
    <dxf>
      <border>
        <bottom style="thin">
          <color indexed="64"/>
        </bottom>
      </border>
    </dxf>
    <dxf>
      <border>
        <bottom style="thin">
          <color indexed="64"/>
        </bottom>
      </border>
    </dxf>
    <dxf>
      <border>
        <right style="thin">
          <color indexed="64"/>
        </right>
        <bottom style="thin">
          <color indexed="64"/>
        </bottom>
      </border>
    </dxf>
    <dxf>
      <border>
        <bottom style="thin">
          <color indexed="64"/>
        </bottom>
      </border>
    </dxf>
    <dxf>
      <border>
        <bottom style="thin">
          <color indexed="64"/>
        </bottom>
      </border>
    </dxf>
    <dxf>
      <border>
        <bottom style="thin">
          <color indexed="64"/>
        </bottom>
      </border>
    </dxf>
    <dxf>
      <border>
        <right style="thin">
          <color indexed="64"/>
        </right>
      </border>
    </dxf>
    <dxf>
      <border>
        <left style="thin">
          <color indexed="64"/>
        </left>
        <bottom style="thin">
          <color indexed="64"/>
        </bottom>
      </border>
    </dxf>
    <dxf>
      <border>
        <bottom style="thin">
          <color indexed="64"/>
        </bottom>
      </border>
    </dxf>
    <dxf>
      <border>
        <left style="thin">
          <color indexed="64"/>
        </left>
      </border>
    </dxf>
    <dxf>
      <border>
        <bottom style="thin">
          <color indexed="64"/>
        </bottom>
      </border>
    </dxf>
    <dxf>
      <border>
        <bottom style="thin">
          <color indexed="64"/>
        </bottom>
      </border>
    </dxf>
    <dxf>
      <border>
        <left style="thin">
          <color indexed="64"/>
        </left>
        <bottom style="thin">
          <color indexed="64"/>
        </bottom>
      </border>
    </dxf>
    <dxf>
      <border>
        <bottom style="thin">
          <color indexed="64"/>
        </bottom>
      </border>
    </dxf>
    <dxf>
      <border>
        <right style="thin">
          <color indexed="64"/>
        </right>
      </border>
    </dxf>
    <dxf>
      <border>
        <bottom style="thin">
          <color indexed="64"/>
        </bottom>
      </border>
    </dxf>
    <dxf>
      <border>
        <bottom style="thin">
          <color indexed="64"/>
        </bottom>
      </border>
    </dxf>
    <dxf>
      <border>
        <right style="thin">
          <color indexed="64"/>
        </right>
        <bottom style="thin">
          <color indexed="64"/>
        </bottom>
      </border>
    </dxf>
    <dxf>
      <border>
        <bottom style="thin">
          <color indexed="64"/>
        </bottom>
      </border>
    </dxf>
    <dxf>
      <border>
        <left style="thin">
          <color indexed="64"/>
        </left>
      </border>
    </dxf>
    <dxf>
      <border>
        <bottom style="thin">
          <color indexed="64"/>
        </bottom>
      </border>
    </dxf>
    <dxf>
      <border>
        <bottom style="thin">
          <color indexed="64"/>
        </bottom>
      </border>
    </dxf>
    <dxf>
      <border>
        <bottom style="thin">
          <color indexed="64"/>
        </bottom>
      </border>
    </dxf>
    <dxf>
      <border>
        <right style="thin">
          <color indexed="64"/>
        </right>
        <bottom style="thin">
          <color indexed="64"/>
        </bottom>
      </border>
    </dxf>
    <dxf>
      <border>
        <bottom style="thin">
          <color indexed="64"/>
        </bottom>
      </border>
    </dxf>
    <dxf>
      <border>
        <right style="thin">
          <color indexed="64"/>
        </right>
      </border>
    </dxf>
    <dxf>
      <border>
        <bottom style="thin">
          <color indexed="64"/>
        </bottom>
      </border>
    </dxf>
    <dxf>
      <border>
        <right style="thin">
          <color indexed="64"/>
        </right>
        <bottom style="thin">
          <color indexed="64"/>
        </bottom>
      </border>
    </dxf>
    <dxf>
      <border>
        <bottom style="thin">
          <color indexed="64"/>
        </bottom>
      </border>
    </dxf>
    <dxf>
      <border>
        <left style="thin">
          <color indexed="64"/>
        </left>
      </border>
    </dxf>
    <dxf>
      <border>
        <bottom style="thin">
          <color indexed="64"/>
        </bottom>
      </border>
    </dxf>
    <dxf>
      <border>
        <bottom style="thin">
          <color indexed="64"/>
        </bottom>
      </border>
    </dxf>
    <dxf>
      <border>
        <left style="thin">
          <color indexed="64"/>
        </left>
        <bottom style="thin">
          <color indexed="64"/>
        </bottom>
      </border>
    </dxf>
    <dxf>
      <border>
        <bottom style="thin">
          <color indexed="64"/>
        </bottom>
      </border>
    </dxf>
    <dxf>
      <border>
        <bottom style="thin">
          <color indexed="64"/>
        </bottom>
      </border>
    </dxf>
    <dxf>
      <border>
        <right style="thin">
          <color indexed="64"/>
        </right>
      </border>
    </dxf>
    <dxf>
      <border>
        <left style="thin">
          <color indexed="64"/>
        </left>
        <bottom style="thin">
          <color indexed="64"/>
        </bottom>
      </border>
    </dxf>
    <dxf>
      <border>
        <bottom style="thin">
          <color indexed="64"/>
        </bottom>
      </border>
    </dxf>
    <dxf>
      <border>
        <left style="thin">
          <color indexed="64"/>
        </left>
      </border>
    </dxf>
    <dxf>
      <border>
        <bottom style="thin">
          <color indexed="64"/>
        </bottom>
      </border>
    </dxf>
    <dxf>
      <border>
        <bottom style="thin">
          <color indexed="64"/>
        </bottom>
      </border>
    </dxf>
    <dxf>
      <border>
        <right style="thin">
          <color indexed="64"/>
        </right>
        <bottom style="thin">
          <color indexed="64"/>
        </bottom>
      </border>
    </dxf>
    <dxf>
      <border>
        <bottom style="thin">
          <color indexed="64"/>
        </bottom>
      </border>
    </dxf>
    <dxf>
      <border>
        <bottom style="thin">
          <color indexed="64"/>
        </bottom>
      </border>
    </dxf>
    <dxf>
      <border>
        <right style="thin">
          <color indexed="64"/>
        </right>
      </border>
    </dxf>
    <dxf>
      <border>
        <bottom style="thin">
          <color indexed="64"/>
        </bottom>
      </border>
    </dxf>
    <dxf>
      <border>
        <bottom style="thin">
          <color indexed="64"/>
        </bottom>
      </border>
    </dxf>
    <dxf>
      <border>
        <right style="thin">
          <color indexed="64"/>
        </right>
        <bottom style="thin">
          <color indexed="64"/>
        </bottom>
      </border>
    </dxf>
    <dxf>
      <border>
        <bottom style="thin">
          <color indexed="64"/>
        </bottom>
      </border>
    </dxf>
    <dxf>
      <border>
        <left style="thin">
          <color indexed="64"/>
        </left>
      </border>
    </dxf>
    <dxf>
      <border>
        <bottom style="thin">
          <color indexed="64"/>
        </bottom>
      </border>
    </dxf>
    <dxf>
      <border>
        <bottom style="thin">
          <color indexed="64"/>
        </bottom>
      </border>
    </dxf>
    <dxf>
      <border>
        <left style="thin">
          <color indexed="64"/>
        </left>
        <bottom style="thin">
          <color indexed="64"/>
        </bottom>
      </border>
    </dxf>
    <dxf>
      <border>
        <bottom style="thin">
          <color indexed="64"/>
        </bottom>
      </border>
    </dxf>
    <dxf>
      <border>
        <right style="thin">
          <color indexed="64"/>
        </right>
      </border>
    </dxf>
    <dxf>
      <border>
        <bottom style="thin">
          <color indexed="64"/>
        </bottom>
      </border>
    </dxf>
    <dxf>
      <border>
        <bottom style="thin">
          <color indexed="64"/>
        </bottom>
      </border>
    </dxf>
    <dxf>
      <border>
        <bottom style="thin">
          <color indexed="64"/>
        </bottom>
      </border>
    </dxf>
    <dxf>
      <border>
        <right style="thin">
          <color indexed="64"/>
        </right>
        <bottom style="thin">
          <color indexed="64"/>
        </bottom>
      </border>
    </dxf>
    <dxf>
      <border>
        <left style="thin">
          <color indexed="64"/>
        </left>
      </border>
    </dxf>
    <dxf>
      <border>
        <bottom style="thin">
          <color indexed="64"/>
        </bottom>
      </border>
    </dxf>
    <dxf>
      <border>
        <bottom style="thin">
          <color indexed="64"/>
        </bottom>
      </border>
    </dxf>
    <dxf>
      <font>
        <color theme="0"/>
      </font>
    </dxf>
    <dxf>
      <border>
        <right style="thin">
          <color indexed="64"/>
        </right>
        <bottom style="thin">
          <color indexed="64"/>
        </bottom>
      </border>
    </dxf>
    <dxf>
      <border>
        <bottom style="thin">
          <color indexed="64"/>
        </bottom>
      </border>
    </dxf>
    <dxf>
      <border>
        <bottom style="thin">
          <color indexed="64"/>
        </bottom>
      </border>
    </dxf>
    <dxf>
      <font>
        <color theme="0"/>
      </font>
    </dxf>
    <dxf>
      <border>
        <right style="thin">
          <color indexed="64"/>
        </right>
      </border>
    </dxf>
    <dxf>
      <fill>
        <patternFill patternType="none">
          <bgColor auto="1"/>
        </patternFill>
      </fill>
    </dxf>
    <dxf>
      <fill>
        <patternFill>
          <bgColor theme="3" tint="0.79998168889431442"/>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0</xdr:colOff>
          <xdr:row>1</xdr:row>
          <xdr:rowOff>0</xdr:rowOff>
        </xdr:from>
        <xdr:to>
          <xdr:col>29</xdr:col>
          <xdr:colOff>106892</xdr:colOff>
          <xdr:row>19</xdr:row>
          <xdr:rowOff>34925</xdr:rowOff>
        </xdr:to>
        <xdr:pic>
          <xdr:nvPicPr>
            <xdr:cNvPr id="3" name="図 2">
              <a:extLst>
                <a:ext uri="{FF2B5EF4-FFF2-40B4-BE49-F238E27FC236}">
                  <a16:creationId xmlns:a16="http://schemas.microsoft.com/office/drawing/2014/main" id="{A2EF2DB0-DF03-4D3C-AE7A-1606154E283F}"/>
                </a:ext>
              </a:extLst>
            </xdr:cNvPr>
            <xdr:cNvPicPr>
              <a:picLocks noChangeAspect="1" noChangeArrowheads="1"/>
              <a:extLst>
                <a:ext uri="{84589F7E-364E-4C9E-8A38-B11213B215E9}">
                  <a14:cameraTool cellRange="ﾄｰﾅﾒﾝﾄ!$B$51:$BK$72" spid="_x0000_s12776"/>
                </a:ext>
              </a:extLst>
            </xdr:cNvPicPr>
          </xdr:nvPicPr>
          <xdr:blipFill>
            <a:blip xmlns:r="http://schemas.openxmlformats.org/officeDocument/2006/relationships" r:embed="rId1"/>
            <a:srcRect/>
            <a:stretch>
              <a:fillRect/>
            </a:stretch>
          </xdr:blipFill>
          <xdr:spPr bwMode="auto">
            <a:xfrm>
              <a:off x="10181167" y="179917"/>
              <a:ext cx="6276975" cy="47339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762000</xdr:colOff>
      <xdr:row>3</xdr:row>
      <xdr:rowOff>118593</xdr:rowOff>
    </xdr:from>
    <xdr:to>
      <xdr:col>8</xdr:col>
      <xdr:colOff>123078</xdr:colOff>
      <xdr:row>34</xdr:row>
      <xdr:rowOff>23812</xdr:rowOff>
    </xdr:to>
    <xdr:pic>
      <xdr:nvPicPr>
        <xdr:cNvPr id="5209" name="Picture 3">
          <a:extLst>
            <a:ext uri="{FF2B5EF4-FFF2-40B4-BE49-F238E27FC236}">
              <a16:creationId xmlns:a16="http://schemas.microsoft.com/office/drawing/2014/main" id="{00000000-0008-0000-0500-000059140000}"/>
            </a:ext>
          </a:extLst>
        </xdr:cNvPr>
        <xdr:cNvPicPr>
          <a:picLocks noChangeAspect="1" noChangeArrowheads="1"/>
        </xdr:cNvPicPr>
      </xdr:nvPicPr>
      <xdr:blipFill>
        <a:blip xmlns:r="http://schemas.openxmlformats.org/officeDocument/2006/relationships" r:embed="rId1" cstate="print"/>
        <a:stretch>
          <a:fillRect/>
        </a:stretch>
      </xdr:blipFill>
      <xdr:spPr bwMode="auto">
        <a:xfrm>
          <a:off x="762000" y="1013943"/>
          <a:ext cx="5114178" cy="522016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43</xdr:row>
          <xdr:rowOff>95250</xdr:rowOff>
        </xdr:from>
        <xdr:to>
          <xdr:col>7</xdr:col>
          <xdr:colOff>1044575</xdr:colOff>
          <xdr:row>55</xdr:row>
          <xdr:rowOff>19050</xdr:rowOff>
        </xdr:to>
        <xdr:pic>
          <xdr:nvPicPr>
            <xdr:cNvPr id="10512" name="図 4">
              <a:extLst>
                <a:ext uri="{FF2B5EF4-FFF2-40B4-BE49-F238E27FC236}">
                  <a16:creationId xmlns:a16="http://schemas.microsoft.com/office/drawing/2014/main" id="{00000000-0008-0000-0600-000010290000}"/>
                </a:ext>
              </a:extLst>
            </xdr:cNvPr>
            <xdr:cNvPicPr>
              <a:picLocks noChangeAspect="1" noChangeArrowheads="1"/>
              <a:extLst>
                <a:ext uri="{84589F7E-364E-4C9E-8A38-B11213B215E9}">
                  <a14:cameraTool cellRange="$J$42:$W$53" spid="_x0000_s10902"/>
                </a:ext>
              </a:extLst>
            </xdr:cNvPicPr>
          </xdr:nvPicPr>
          <xdr:blipFill>
            <a:blip xmlns:r="http://schemas.openxmlformats.org/officeDocument/2006/relationships" r:embed="rId1"/>
            <a:srcRect/>
            <a:stretch>
              <a:fillRect/>
            </a:stretch>
          </xdr:blipFill>
          <xdr:spPr bwMode="auto">
            <a:xfrm>
              <a:off x="295275" y="8686800"/>
              <a:ext cx="6924675" cy="20859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ersonal%20Data\My%20Documents\soccer\&#9733;&#22996;&#21729;&#38263;\01&#20013;&#20307;&#36899;\03&#21271;&#20449;&#36234;\2013&#21271;&#20449;&#36234;&#21508;&#31278;&#20966;&#29702;&#12501;&#12449;&#12452;&#12523;n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裏"/>
      <sheetName val="新潟"/>
      <sheetName val="福井"/>
      <sheetName val="富山"/>
      <sheetName val="長野"/>
      <sheetName val="石川"/>
      <sheetName val="くじ引き"/>
      <sheetName val="トーナメント"/>
      <sheetName val="歴代優勝校"/>
      <sheetName val="メンバー表"/>
      <sheetName val="あ1"/>
      <sheetName val="あ2"/>
      <sheetName val="い1"/>
      <sheetName val="い2"/>
      <sheetName val="う1"/>
      <sheetName val="う2"/>
      <sheetName val="う3"/>
      <sheetName val="準決勝A"/>
      <sheetName val="準決勝B"/>
      <sheetName val="決勝"/>
      <sheetName val="データ"/>
    </sheetNames>
    <sheetDataSet>
      <sheetData sheetId="0"/>
      <sheetData sheetId="1"/>
      <sheetData sheetId="2"/>
      <sheetData sheetId="3"/>
      <sheetData sheetId="4"/>
      <sheetData sheetId="5"/>
      <sheetData sheetId="6"/>
      <sheetData sheetId="7">
        <row r="8">
          <cell r="H8" t="str">
            <v>星稜</v>
          </cell>
        </row>
      </sheetData>
      <sheetData sheetId="8"/>
      <sheetData sheetId="9">
        <row r="1">
          <cell r="B1" t="str">
            <v>新潟県代表 県大会第１位</v>
          </cell>
          <cell r="C1">
            <v>0</v>
          </cell>
          <cell r="D1">
            <v>0</v>
          </cell>
          <cell r="E1">
            <v>0</v>
          </cell>
          <cell r="F1">
            <v>0</v>
          </cell>
          <cell r="G1">
            <v>0</v>
          </cell>
          <cell r="H1">
            <v>0</v>
          </cell>
          <cell r="I1">
            <v>0</v>
          </cell>
          <cell r="L1" t="str">
            <v>新潟県代表 県大会第２位</v>
          </cell>
          <cell r="M1">
            <v>0</v>
          </cell>
          <cell r="N1">
            <v>0</v>
          </cell>
          <cell r="O1">
            <v>0</v>
          </cell>
          <cell r="P1">
            <v>0</v>
          </cell>
          <cell r="Q1">
            <v>0</v>
          </cell>
          <cell r="R1">
            <v>0</v>
          </cell>
          <cell r="S1">
            <v>0</v>
          </cell>
          <cell r="U1">
            <v>0</v>
          </cell>
          <cell r="V1">
            <v>0</v>
          </cell>
          <cell r="W1">
            <v>0</v>
          </cell>
          <cell r="X1">
            <v>0</v>
          </cell>
          <cell r="Y1">
            <v>0</v>
          </cell>
          <cell r="Z1">
            <v>0</v>
          </cell>
          <cell r="AA1">
            <v>0</v>
          </cell>
          <cell r="AB1">
            <v>0</v>
          </cell>
          <cell r="AC1">
            <v>0</v>
          </cell>
        </row>
        <row r="2">
          <cell r="B2" t="str">
            <v>新潟市立南浜中学校</v>
          </cell>
          <cell r="C2">
            <v>0</v>
          </cell>
          <cell r="D2">
            <v>0</v>
          </cell>
          <cell r="E2">
            <v>0</v>
          </cell>
          <cell r="F2">
            <v>0</v>
          </cell>
          <cell r="G2">
            <v>0</v>
          </cell>
          <cell r="H2">
            <v>0</v>
          </cell>
          <cell r="I2">
            <v>0</v>
          </cell>
          <cell r="L2" t="str">
            <v>新潟市立上山中学校</v>
          </cell>
          <cell r="M2">
            <v>0</v>
          </cell>
          <cell r="N2">
            <v>0</v>
          </cell>
          <cell r="O2">
            <v>0</v>
          </cell>
          <cell r="P2">
            <v>0</v>
          </cell>
          <cell r="Q2">
            <v>0</v>
          </cell>
          <cell r="R2">
            <v>0</v>
          </cell>
          <cell r="S2">
            <v>0</v>
          </cell>
          <cell r="U2">
            <v>0</v>
          </cell>
          <cell r="V2">
            <v>0</v>
          </cell>
          <cell r="W2">
            <v>0</v>
          </cell>
          <cell r="X2">
            <v>0</v>
          </cell>
          <cell r="Y2">
            <v>0</v>
          </cell>
          <cell r="Z2">
            <v>0</v>
          </cell>
          <cell r="AA2">
            <v>0</v>
          </cell>
          <cell r="AB2">
            <v>0</v>
          </cell>
          <cell r="AC2">
            <v>0</v>
          </cell>
        </row>
        <row r="3">
          <cell r="B3" t="str">
            <v>学校所在地</v>
          </cell>
          <cell r="C3">
            <v>0</v>
          </cell>
          <cell r="D3" t="str">
            <v>新潟県新潟市北区島見町３９６５</v>
          </cell>
          <cell r="E3">
            <v>0</v>
          </cell>
          <cell r="F3">
            <v>0</v>
          </cell>
          <cell r="G3">
            <v>0</v>
          </cell>
          <cell r="H3">
            <v>0</v>
          </cell>
          <cell r="I3">
            <v>0</v>
          </cell>
          <cell r="L3" t="str">
            <v>学校所在地</v>
          </cell>
          <cell r="M3">
            <v>0</v>
          </cell>
          <cell r="N3" t="str">
            <v>新潟県新潟市中央区女池上山5丁目1-13</v>
          </cell>
          <cell r="O3">
            <v>0</v>
          </cell>
          <cell r="P3">
            <v>0</v>
          </cell>
          <cell r="Q3">
            <v>0</v>
          </cell>
          <cell r="R3">
            <v>0</v>
          </cell>
          <cell r="S3">
            <v>0</v>
          </cell>
          <cell r="U3">
            <v>0</v>
          </cell>
          <cell r="V3">
            <v>0</v>
          </cell>
          <cell r="W3">
            <v>0</v>
          </cell>
          <cell r="X3">
            <v>0</v>
          </cell>
          <cell r="Y3">
            <v>0</v>
          </cell>
          <cell r="Z3">
            <v>0</v>
          </cell>
          <cell r="AA3">
            <v>0</v>
          </cell>
          <cell r="AB3">
            <v>0</v>
          </cell>
          <cell r="AC3">
            <v>0</v>
          </cell>
        </row>
        <row r="4">
          <cell r="B4" t="str">
            <v>監督</v>
          </cell>
          <cell r="C4">
            <v>0</v>
          </cell>
          <cell r="D4" t="str">
            <v>倉嶋 昭久</v>
          </cell>
          <cell r="E4">
            <v>0</v>
          </cell>
          <cell r="F4">
            <v>0</v>
          </cell>
          <cell r="G4">
            <v>0</v>
          </cell>
          <cell r="H4">
            <v>0</v>
          </cell>
          <cell r="I4">
            <v>0</v>
          </cell>
          <cell r="L4" t="str">
            <v>監督</v>
          </cell>
          <cell r="M4">
            <v>0</v>
          </cell>
          <cell r="N4" t="str">
            <v>田村 友教</v>
          </cell>
          <cell r="O4">
            <v>0</v>
          </cell>
          <cell r="P4">
            <v>0</v>
          </cell>
          <cell r="Q4">
            <v>0</v>
          </cell>
          <cell r="R4">
            <v>0</v>
          </cell>
          <cell r="S4">
            <v>0</v>
          </cell>
          <cell r="U4">
            <v>0</v>
          </cell>
          <cell r="V4">
            <v>0</v>
          </cell>
          <cell r="W4">
            <v>0</v>
          </cell>
          <cell r="X4">
            <v>0</v>
          </cell>
          <cell r="Y4">
            <v>0</v>
          </cell>
          <cell r="Z4">
            <v>0</v>
          </cell>
          <cell r="AA4">
            <v>0</v>
          </cell>
          <cell r="AB4">
            <v>0</v>
          </cell>
          <cell r="AC4">
            <v>0</v>
          </cell>
        </row>
        <row r="5">
          <cell r="B5" t="str">
            <v>コーチ</v>
          </cell>
          <cell r="C5">
            <v>0</v>
          </cell>
          <cell r="D5" t="str">
            <v>有田 拓也</v>
          </cell>
          <cell r="E5">
            <v>0</v>
          </cell>
          <cell r="F5">
            <v>0</v>
          </cell>
          <cell r="G5">
            <v>0</v>
          </cell>
          <cell r="H5" t="str">
            <v>(承認)</v>
          </cell>
          <cell r="I5">
            <v>0</v>
          </cell>
          <cell r="L5" t="str">
            <v>コーチ</v>
          </cell>
          <cell r="M5">
            <v>0</v>
          </cell>
          <cell r="N5" t="str">
            <v>伏見 広勝</v>
          </cell>
          <cell r="O5">
            <v>0</v>
          </cell>
          <cell r="P5">
            <v>0</v>
          </cell>
          <cell r="Q5">
            <v>0</v>
          </cell>
          <cell r="R5" t="str">
            <v>(承認)</v>
          </cell>
          <cell r="S5">
            <v>0</v>
          </cell>
          <cell r="U5">
            <v>0</v>
          </cell>
          <cell r="V5">
            <v>0</v>
          </cell>
          <cell r="W5">
            <v>0</v>
          </cell>
          <cell r="X5">
            <v>0</v>
          </cell>
          <cell r="Y5">
            <v>0</v>
          </cell>
          <cell r="Z5">
            <v>0</v>
          </cell>
          <cell r="AA5">
            <v>0</v>
          </cell>
          <cell r="AB5">
            <v>0</v>
          </cell>
          <cell r="AC5">
            <v>0</v>
          </cell>
        </row>
        <row r="6">
          <cell r="B6" t="str">
            <v>マネージャー</v>
          </cell>
          <cell r="C6">
            <v>0</v>
          </cell>
          <cell r="D6" t="str">
            <v>田邉 寿明</v>
          </cell>
          <cell r="E6">
            <v>0</v>
          </cell>
          <cell r="F6">
            <v>0</v>
          </cell>
          <cell r="G6">
            <v>0</v>
          </cell>
          <cell r="H6" t="str">
            <v>(生徒)</v>
          </cell>
          <cell r="I6">
            <v>0</v>
          </cell>
          <cell r="L6" t="str">
            <v>マネージャー</v>
          </cell>
          <cell r="M6">
            <v>0</v>
          </cell>
          <cell r="N6" t="str">
            <v>金塚 大輝</v>
          </cell>
          <cell r="O6">
            <v>0</v>
          </cell>
          <cell r="P6">
            <v>0</v>
          </cell>
          <cell r="Q6">
            <v>0</v>
          </cell>
          <cell r="R6" t="str">
            <v>(生徒)</v>
          </cell>
          <cell r="S6">
            <v>0</v>
          </cell>
          <cell r="U6">
            <v>0</v>
          </cell>
          <cell r="V6">
            <v>0</v>
          </cell>
          <cell r="W6">
            <v>0</v>
          </cell>
          <cell r="X6">
            <v>0</v>
          </cell>
          <cell r="Y6">
            <v>0</v>
          </cell>
          <cell r="Z6">
            <v>0</v>
          </cell>
          <cell r="AA6">
            <v>0</v>
          </cell>
          <cell r="AB6">
            <v>0</v>
          </cell>
          <cell r="AC6">
            <v>0</v>
          </cell>
        </row>
        <row r="7">
          <cell r="D7">
            <v>0</v>
          </cell>
          <cell r="E7">
            <v>0</v>
          </cell>
          <cell r="F7">
            <v>0</v>
          </cell>
          <cell r="G7">
            <v>0</v>
          </cell>
          <cell r="H7">
            <v>0</v>
          </cell>
          <cell r="I7">
            <v>0</v>
          </cell>
          <cell r="N7">
            <v>0</v>
          </cell>
          <cell r="O7">
            <v>0</v>
          </cell>
          <cell r="P7">
            <v>0</v>
          </cell>
          <cell r="Q7">
            <v>0</v>
          </cell>
          <cell r="R7">
            <v>0</v>
          </cell>
          <cell r="S7">
            <v>0</v>
          </cell>
          <cell r="U7">
            <v>0</v>
          </cell>
          <cell r="V7">
            <v>0</v>
          </cell>
          <cell r="W7">
            <v>0</v>
          </cell>
          <cell r="X7">
            <v>0</v>
          </cell>
          <cell r="Y7">
            <v>0</v>
          </cell>
          <cell r="Z7">
            <v>0</v>
          </cell>
          <cell r="AA7">
            <v>0</v>
          </cell>
          <cell r="AB7">
            <v>0</v>
          </cell>
          <cell r="AC7">
            <v>0</v>
          </cell>
        </row>
        <row r="8">
          <cell r="A8" t="str">
            <v>先発</v>
          </cell>
          <cell r="B8" t="str">
            <v>番号</v>
          </cell>
          <cell r="C8" t="str">
            <v>位置</v>
          </cell>
          <cell r="D8" t="str">
            <v>氏名</v>
          </cell>
          <cell r="E8">
            <v>0</v>
          </cell>
          <cell r="F8" t="str">
            <v>ふりがな</v>
          </cell>
          <cell r="G8">
            <v>0</v>
          </cell>
          <cell r="H8">
            <v>0</v>
          </cell>
          <cell r="I8" t="str">
            <v>学年</v>
          </cell>
          <cell r="K8" t="str">
            <v>先発</v>
          </cell>
          <cell r="L8" t="str">
            <v>番号</v>
          </cell>
          <cell r="M8" t="str">
            <v>位置</v>
          </cell>
          <cell r="N8" t="str">
            <v>氏名</v>
          </cell>
          <cell r="O8">
            <v>0</v>
          </cell>
          <cell r="P8" t="str">
            <v>ふりがな</v>
          </cell>
          <cell r="Q8">
            <v>0</v>
          </cell>
          <cell r="R8">
            <v>0</v>
          </cell>
          <cell r="S8" t="str">
            <v>学年</v>
          </cell>
          <cell r="U8">
            <v>0</v>
          </cell>
          <cell r="V8">
            <v>0</v>
          </cell>
          <cell r="W8">
            <v>0</v>
          </cell>
          <cell r="X8">
            <v>0</v>
          </cell>
          <cell r="Y8">
            <v>0</v>
          </cell>
          <cell r="Z8">
            <v>0</v>
          </cell>
          <cell r="AA8">
            <v>0</v>
          </cell>
          <cell r="AB8">
            <v>0</v>
          </cell>
          <cell r="AC8">
            <v>0</v>
          </cell>
        </row>
        <row r="9">
          <cell r="A9">
            <v>0</v>
          </cell>
          <cell r="B9">
            <v>1</v>
          </cell>
          <cell r="C9" t="str">
            <v>ＧＫ</v>
          </cell>
          <cell r="D9" t="str">
            <v>吉岡 陽平</v>
          </cell>
          <cell r="E9">
            <v>0</v>
          </cell>
          <cell r="F9" t="str">
            <v>よしおか ようへい</v>
          </cell>
          <cell r="G9">
            <v>0</v>
          </cell>
          <cell r="H9">
            <v>0</v>
          </cell>
          <cell r="I9">
            <v>3</v>
          </cell>
          <cell r="K9">
            <v>0</v>
          </cell>
          <cell r="L9">
            <v>1</v>
          </cell>
          <cell r="M9" t="str">
            <v>ＧＫ</v>
          </cell>
          <cell r="N9" t="str">
            <v>松本 宗一郎</v>
          </cell>
          <cell r="O9">
            <v>0</v>
          </cell>
          <cell r="P9" t="str">
            <v>まつもと そういちろう</v>
          </cell>
          <cell r="Q9">
            <v>0</v>
          </cell>
          <cell r="R9">
            <v>0</v>
          </cell>
          <cell r="S9">
            <v>3</v>
          </cell>
          <cell r="U9">
            <v>0</v>
          </cell>
          <cell r="V9">
            <v>0</v>
          </cell>
          <cell r="W9">
            <v>0</v>
          </cell>
          <cell r="X9">
            <v>0</v>
          </cell>
          <cell r="Y9">
            <v>0</v>
          </cell>
          <cell r="Z9">
            <v>0</v>
          </cell>
          <cell r="AA9">
            <v>0</v>
          </cell>
          <cell r="AB9">
            <v>0</v>
          </cell>
          <cell r="AC9">
            <v>0</v>
          </cell>
        </row>
        <row r="10">
          <cell r="A10">
            <v>0</v>
          </cell>
          <cell r="B10">
            <v>2</v>
          </cell>
          <cell r="C10" t="str">
            <v>ＤＦ</v>
          </cell>
          <cell r="D10" t="str">
            <v>此村 隼人</v>
          </cell>
          <cell r="E10">
            <v>0</v>
          </cell>
          <cell r="F10" t="str">
            <v>このむら はやと</v>
          </cell>
          <cell r="G10">
            <v>0</v>
          </cell>
          <cell r="H10">
            <v>0</v>
          </cell>
          <cell r="I10">
            <v>3</v>
          </cell>
          <cell r="K10">
            <v>0</v>
          </cell>
          <cell r="L10">
            <v>2</v>
          </cell>
          <cell r="M10" t="str">
            <v>ＤＦ</v>
          </cell>
          <cell r="N10" t="str">
            <v>櫛谷 千尋</v>
          </cell>
          <cell r="O10">
            <v>0</v>
          </cell>
          <cell r="P10" t="str">
            <v>くしや ちひろ</v>
          </cell>
          <cell r="Q10">
            <v>0</v>
          </cell>
          <cell r="R10">
            <v>0</v>
          </cell>
          <cell r="S10">
            <v>3</v>
          </cell>
          <cell r="U10">
            <v>0</v>
          </cell>
          <cell r="V10">
            <v>0</v>
          </cell>
          <cell r="W10">
            <v>0</v>
          </cell>
          <cell r="X10">
            <v>0</v>
          </cell>
          <cell r="Y10">
            <v>0</v>
          </cell>
          <cell r="Z10">
            <v>0</v>
          </cell>
          <cell r="AA10">
            <v>0</v>
          </cell>
          <cell r="AB10">
            <v>0</v>
          </cell>
          <cell r="AC10">
            <v>0</v>
          </cell>
        </row>
        <row r="11">
          <cell r="A11">
            <v>0</v>
          </cell>
          <cell r="B11">
            <v>3</v>
          </cell>
          <cell r="C11" t="str">
            <v>ＤＦ</v>
          </cell>
          <cell r="D11" t="str">
            <v>中村 達哉</v>
          </cell>
          <cell r="E11">
            <v>0</v>
          </cell>
          <cell r="F11" t="str">
            <v>なかむら たつや</v>
          </cell>
          <cell r="G11">
            <v>0</v>
          </cell>
          <cell r="H11">
            <v>0</v>
          </cell>
          <cell r="I11">
            <v>2</v>
          </cell>
          <cell r="K11">
            <v>0</v>
          </cell>
          <cell r="L11">
            <v>3</v>
          </cell>
          <cell r="M11" t="str">
            <v>ＤＦ</v>
          </cell>
          <cell r="N11" t="str">
            <v>井之川 就祐</v>
          </cell>
          <cell r="O11">
            <v>0</v>
          </cell>
          <cell r="P11" t="str">
            <v>いのかわ しゅうすけ</v>
          </cell>
          <cell r="Q11">
            <v>0</v>
          </cell>
          <cell r="R11">
            <v>0</v>
          </cell>
          <cell r="S11">
            <v>3</v>
          </cell>
          <cell r="U11">
            <v>0</v>
          </cell>
          <cell r="V11">
            <v>0</v>
          </cell>
          <cell r="W11">
            <v>0</v>
          </cell>
          <cell r="X11">
            <v>0</v>
          </cell>
          <cell r="Y11">
            <v>0</v>
          </cell>
          <cell r="Z11">
            <v>0</v>
          </cell>
          <cell r="AA11">
            <v>0</v>
          </cell>
          <cell r="AB11">
            <v>0</v>
          </cell>
          <cell r="AC11">
            <v>0</v>
          </cell>
        </row>
        <row r="12">
          <cell r="A12">
            <v>0</v>
          </cell>
          <cell r="B12">
            <v>4</v>
          </cell>
          <cell r="C12" t="str">
            <v>ＤＦ</v>
          </cell>
          <cell r="D12" t="str">
            <v>川島 皇輝</v>
          </cell>
          <cell r="E12">
            <v>0</v>
          </cell>
          <cell r="F12" t="str">
            <v>かわしま たかき</v>
          </cell>
          <cell r="G12">
            <v>0</v>
          </cell>
          <cell r="H12">
            <v>0</v>
          </cell>
          <cell r="I12">
            <v>3</v>
          </cell>
          <cell r="K12">
            <v>0</v>
          </cell>
          <cell r="L12">
            <v>4</v>
          </cell>
          <cell r="M12" t="str">
            <v>ＤＦ</v>
          </cell>
          <cell r="N12" t="str">
            <v>山田 泰斗</v>
          </cell>
          <cell r="O12">
            <v>0</v>
          </cell>
          <cell r="P12" t="str">
            <v>やまだ たいと</v>
          </cell>
          <cell r="Q12">
            <v>0</v>
          </cell>
          <cell r="R12">
            <v>0</v>
          </cell>
          <cell r="S12">
            <v>3</v>
          </cell>
          <cell r="U12">
            <v>0</v>
          </cell>
          <cell r="V12">
            <v>0</v>
          </cell>
          <cell r="W12">
            <v>0</v>
          </cell>
          <cell r="X12">
            <v>0</v>
          </cell>
          <cell r="Y12">
            <v>0</v>
          </cell>
          <cell r="Z12">
            <v>0</v>
          </cell>
          <cell r="AA12">
            <v>0</v>
          </cell>
          <cell r="AB12">
            <v>0</v>
          </cell>
          <cell r="AC12">
            <v>0</v>
          </cell>
        </row>
        <row r="13">
          <cell r="A13">
            <v>0</v>
          </cell>
          <cell r="B13">
            <v>5</v>
          </cell>
          <cell r="C13" t="str">
            <v>ＤＦ</v>
          </cell>
          <cell r="D13" t="str">
            <v>山吉 陵平</v>
          </cell>
          <cell r="E13">
            <v>0</v>
          </cell>
          <cell r="F13" t="str">
            <v>やまよし りょうへい</v>
          </cell>
          <cell r="G13">
            <v>0</v>
          </cell>
          <cell r="H13">
            <v>0</v>
          </cell>
          <cell r="I13">
            <v>3</v>
          </cell>
          <cell r="K13">
            <v>0</v>
          </cell>
          <cell r="L13">
            <v>5</v>
          </cell>
          <cell r="M13" t="str">
            <v>ＭＦ</v>
          </cell>
          <cell r="N13" t="str">
            <v>小泉 龍生</v>
          </cell>
          <cell r="O13">
            <v>0</v>
          </cell>
          <cell r="P13" t="str">
            <v>こいずみ りゅうせい</v>
          </cell>
          <cell r="Q13">
            <v>0</v>
          </cell>
          <cell r="R13">
            <v>0</v>
          </cell>
          <cell r="S13">
            <v>3</v>
          </cell>
          <cell r="U13">
            <v>0</v>
          </cell>
          <cell r="V13">
            <v>0</v>
          </cell>
          <cell r="W13">
            <v>0</v>
          </cell>
          <cell r="X13">
            <v>0</v>
          </cell>
          <cell r="Y13">
            <v>0</v>
          </cell>
          <cell r="Z13">
            <v>0</v>
          </cell>
          <cell r="AA13">
            <v>0</v>
          </cell>
          <cell r="AB13">
            <v>0</v>
          </cell>
          <cell r="AC13">
            <v>0</v>
          </cell>
        </row>
        <row r="14">
          <cell r="A14">
            <v>0</v>
          </cell>
          <cell r="B14">
            <v>6</v>
          </cell>
          <cell r="C14" t="str">
            <v>ＭＦ</v>
          </cell>
          <cell r="D14" t="str">
            <v>田原 敏幸</v>
          </cell>
          <cell r="E14">
            <v>0</v>
          </cell>
          <cell r="F14" t="str">
            <v>たはら としゆき</v>
          </cell>
          <cell r="G14">
            <v>0</v>
          </cell>
          <cell r="H14">
            <v>0</v>
          </cell>
          <cell r="I14">
            <v>2</v>
          </cell>
          <cell r="K14">
            <v>0</v>
          </cell>
          <cell r="L14">
            <v>6</v>
          </cell>
          <cell r="M14" t="str">
            <v>ＭＦ</v>
          </cell>
          <cell r="N14" t="str">
            <v>吉原 末泰</v>
          </cell>
          <cell r="O14">
            <v>0</v>
          </cell>
          <cell r="P14" t="str">
            <v>よしはら まひろ</v>
          </cell>
          <cell r="Q14">
            <v>0</v>
          </cell>
          <cell r="R14">
            <v>0</v>
          </cell>
          <cell r="S14">
            <v>2</v>
          </cell>
          <cell r="U14">
            <v>0</v>
          </cell>
          <cell r="V14">
            <v>0</v>
          </cell>
          <cell r="W14">
            <v>0</v>
          </cell>
          <cell r="X14">
            <v>0</v>
          </cell>
          <cell r="Y14">
            <v>0</v>
          </cell>
          <cell r="Z14">
            <v>0</v>
          </cell>
          <cell r="AA14">
            <v>0</v>
          </cell>
          <cell r="AB14">
            <v>0</v>
          </cell>
          <cell r="AC14">
            <v>0</v>
          </cell>
        </row>
        <row r="15">
          <cell r="A15">
            <v>0</v>
          </cell>
          <cell r="B15">
            <v>7</v>
          </cell>
          <cell r="C15" t="str">
            <v>ＭＦ</v>
          </cell>
          <cell r="D15" t="str">
            <v>山口 海斗</v>
          </cell>
          <cell r="E15">
            <v>0</v>
          </cell>
          <cell r="F15" t="str">
            <v>やまぐち かいと</v>
          </cell>
          <cell r="G15">
            <v>0</v>
          </cell>
          <cell r="H15">
            <v>0</v>
          </cell>
          <cell r="I15">
            <v>3</v>
          </cell>
          <cell r="K15">
            <v>0</v>
          </cell>
          <cell r="L15">
            <v>7</v>
          </cell>
          <cell r="M15" t="str">
            <v>ＭＦ</v>
          </cell>
          <cell r="N15" t="str">
            <v>小山 佑真</v>
          </cell>
          <cell r="O15">
            <v>0</v>
          </cell>
          <cell r="P15" t="str">
            <v>こやま ゆうま</v>
          </cell>
          <cell r="Q15">
            <v>0</v>
          </cell>
          <cell r="R15">
            <v>0</v>
          </cell>
          <cell r="S15">
            <v>3</v>
          </cell>
          <cell r="U15">
            <v>0</v>
          </cell>
          <cell r="V15">
            <v>0</v>
          </cell>
          <cell r="W15">
            <v>0</v>
          </cell>
          <cell r="X15">
            <v>0</v>
          </cell>
          <cell r="Y15">
            <v>0</v>
          </cell>
          <cell r="Z15">
            <v>0</v>
          </cell>
          <cell r="AA15">
            <v>0</v>
          </cell>
          <cell r="AB15">
            <v>0</v>
          </cell>
          <cell r="AC15">
            <v>0</v>
          </cell>
        </row>
        <row r="16">
          <cell r="A16">
            <v>0</v>
          </cell>
          <cell r="B16">
            <v>8</v>
          </cell>
          <cell r="C16" t="str">
            <v>ＭＦ</v>
          </cell>
          <cell r="D16" t="str">
            <v>神田 陸斗</v>
          </cell>
          <cell r="E16">
            <v>0</v>
          </cell>
          <cell r="F16" t="str">
            <v>かんだ りくと</v>
          </cell>
          <cell r="G16">
            <v>0</v>
          </cell>
          <cell r="H16">
            <v>0</v>
          </cell>
          <cell r="I16">
            <v>1</v>
          </cell>
          <cell r="K16">
            <v>0</v>
          </cell>
          <cell r="L16">
            <v>8</v>
          </cell>
          <cell r="M16" t="str">
            <v>ＭＦ</v>
          </cell>
          <cell r="N16" t="str">
            <v>吉田 元樹</v>
          </cell>
          <cell r="O16">
            <v>0</v>
          </cell>
          <cell r="P16" t="str">
            <v>よしだ もとき</v>
          </cell>
          <cell r="Q16">
            <v>0</v>
          </cell>
          <cell r="R16">
            <v>0</v>
          </cell>
          <cell r="S16">
            <v>2</v>
          </cell>
          <cell r="U16">
            <v>0</v>
          </cell>
          <cell r="V16">
            <v>0</v>
          </cell>
          <cell r="W16">
            <v>0</v>
          </cell>
          <cell r="X16">
            <v>0</v>
          </cell>
          <cell r="Y16">
            <v>0</v>
          </cell>
          <cell r="Z16">
            <v>0</v>
          </cell>
          <cell r="AA16">
            <v>0</v>
          </cell>
          <cell r="AB16">
            <v>0</v>
          </cell>
          <cell r="AC16">
            <v>0</v>
          </cell>
        </row>
        <row r="17">
          <cell r="A17">
            <v>0</v>
          </cell>
          <cell r="B17">
            <v>9</v>
          </cell>
          <cell r="C17" t="str">
            <v>ＦＷ</v>
          </cell>
          <cell r="D17" t="str">
            <v>川島 遼士</v>
          </cell>
          <cell r="E17">
            <v>0</v>
          </cell>
          <cell r="F17" t="str">
            <v>かわしま りょうじ</v>
          </cell>
          <cell r="G17">
            <v>0</v>
          </cell>
          <cell r="H17">
            <v>0</v>
          </cell>
          <cell r="I17">
            <v>3</v>
          </cell>
          <cell r="K17">
            <v>0</v>
          </cell>
          <cell r="L17">
            <v>9</v>
          </cell>
          <cell r="M17" t="str">
            <v>ＦＷ</v>
          </cell>
          <cell r="N17" t="str">
            <v>入山 慶斗</v>
          </cell>
          <cell r="O17">
            <v>0</v>
          </cell>
          <cell r="P17" t="str">
            <v>いりやま けいと</v>
          </cell>
          <cell r="Q17">
            <v>0</v>
          </cell>
          <cell r="R17">
            <v>0</v>
          </cell>
          <cell r="S17">
            <v>2</v>
          </cell>
          <cell r="U17">
            <v>0</v>
          </cell>
          <cell r="V17">
            <v>0</v>
          </cell>
          <cell r="W17">
            <v>0</v>
          </cell>
          <cell r="X17">
            <v>0</v>
          </cell>
          <cell r="Y17">
            <v>0</v>
          </cell>
          <cell r="Z17">
            <v>0</v>
          </cell>
          <cell r="AA17">
            <v>0</v>
          </cell>
          <cell r="AB17">
            <v>0</v>
          </cell>
          <cell r="AC17">
            <v>0</v>
          </cell>
        </row>
        <row r="18">
          <cell r="A18">
            <v>0</v>
          </cell>
          <cell r="B18">
            <v>10</v>
          </cell>
          <cell r="C18" t="str">
            <v>ＦＷ</v>
          </cell>
          <cell r="D18" t="str">
            <v>土佐 廉</v>
          </cell>
          <cell r="E18">
            <v>0</v>
          </cell>
          <cell r="F18" t="str">
            <v>とさ れん</v>
          </cell>
          <cell r="G18">
            <v>0</v>
          </cell>
          <cell r="H18">
            <v>0</v>
          </cell>
          <cell r="I18">
            <v>3</v>
          </cell>
          <cell r="K18">
            <v>0</v>
          </cell>
          <cell r="L18">
            <v>10</v>
          </cell>
          <cell r="M18" t="str">
            <v>ＦＷ</v>
          </cell>
          <cell r="N18" t="str">
            <v>池之上 悠希</v>
          </cell>
          <cell r="O18">
            <v>0</v>
          </cell>
          <cell r="P18" t="str">
            <v>いけのうえ ゆうき</v>
          </cell>
          <cell r="Q18">
            <v>0</v>
          </cell>
          <cell r="R18">
            <v>0</v>
          </cell>
          <cell r="S18">
            <v>3</v>
          </cell>
          <cell r="U18">
            <v>0</v>
          </cell>
          <cell r="V18">
            <v>0</v>
          </cell>
          <cell r="W18">
            <v>0</v>
          </cell>
          <cell r="X18">
            <v>0</v>
          </cell>
          <cell r="Y18">
            <v>0</v>
          </cell>
          <cell r="Z18">
            <v>0</v>
          </cell>
          <cell r="AA18">
            <v>0</v>
          </cell>
          <cell r="AB18">
            <v>0</v>
          </cell>
          <cell r="AC18">
            <v>0</v>
          </cell>
        </row>
        <row r="19">
          <cell r="A19">
            <v>0</v>
          </cell>
          <cell r="B19">
            <v>11</v>
          </cell>
          <cell r="C19" t="str">
            <v>ＭＦ</v>
          </cell>
          <cell r="D19" t="str">
            <v>石黒 佑貴</v>
          </cell>
          <cell r="E19">
            <v>0</v>
          </cell>
          <cell r="F19" t="str">
            <v>いしぐろ ゆうき</v>
          </cell>
          <cell r="G19">
            <v>0</v>
          </cell>
          <cell r="H19">
            <v>0</v>
          </cell>
          <cell r="I19">
            <v>2</v>
          </cell>
          <cell r="K19">
            <v>0</v>
          </cell>
          <cell r="L19">
            <v>11</v>
          </cell>
          <cell r="M19" t="str">
            <v>ＦＷ</v>
          </cell>
          <cell r="N19" t="str">
            <v>風間 稜太</v>
          </cell>
          <cell r="O19">
            <v>0</v>
          </cell>
          <cell r="P19" t="str">
            <v>かざま りょうた</v>
          </cell>
          <cell r="Q19">
            <v>0</v>
          </cell>
          <cell r="R19">
            <v>0</v>
          </cell>
          <cell r="S19">
            <v>3</v>
          </cell>
          <cell r="U19">
            <v>0</v>
          </cell>
          <cell r="V19">
            <v>0</v>
          </cell>
          <cell r="W19">
            <v>0</v>
          </cell>
          <cell r="X19">
            <v>0</v>
          </cell>
          <cell r="Y19">
            <v>0</v>
          </cell>
          <cell r="Z19">
            <v>0</v>
          </cell>
          <cell r="AA19">
            <v>0</v>
          </cell>
          <cell r="AB19">
            <v>0</v>
          </cell>
          <cell r="AC19">
            <v>0</v>
          </cell>
        </row>
        <row r="20">
          <cell r="A20">
            <v>0</v>
          </cell>
          <cell r="B20">
            <v>12</v>
          </cell>
          <cell r="C20" t="str">
            <v>ＭＦ</v>
          </cell>
          <cell r="D20" t="str">
            <v>服部 晧平</v>
          </cell>
          <cell r="E20">
            <v>0</v>
          </cell>
          <cell r="F20" t="str">
            <v>はっとり こうへい</v>
          </cell>
          <cell r="G20">
            <v>0</v>
          </cell>
          <cell r="H20">
            <v>0</v>
          </cell>
          <cell r="I20">
            <v>3</v>
          </cell>
          <cell r="K20">
            <v>0</v>
          </cell>
          <cell r="L20">
            <v>12</v>
          </cell>
          <cell r="M20" t="str">
            <v>ＤＦ</v>
          </cell>
          <cell r="N20" t="str">
            <v>伊藤 大智</v>
          </cell>
          <cell r="O20">
            <v>0</v>
          </cell>
          <cell r="P20" t="str">
            <v>いとう だいち</v>
          </cell>
          <cell r="Q20">
            <v>0</v>
          </cell>
          <cell r="R20">
            <v>0</v>
          </cell>
          <cell r="S20">
            <v>3</v>
          </cell>
          <cell r="U20">
            <v>0</v>
          </cell>
          <cell r="V20">
            <v>0</v>
          </cell>
          <cell r="W20">
            <v>0</v>
          </cell>
          <cell r="X20">
            <v>0</v>
          </cell>
          <cell r="Y20">
            <v>0</v>
          </cell>
          <cell r="Z20">
            <v>0</v>
          </cell>
          <cell r="AA20">
            <v>0</v>
          </cell>
          <cell r="AB20">
            <v>0</v>
          </cell>
          <cell r="AC20">
            <v>0</v>
          </cell>
        </row>
        <row r="21">
          <cell r="A21">
            <v>0</v>
          </cell>
          <cell r="B21">
            <v>13</v>
          </cell>
          <cell r="C21" t="str">
            <v>ＭＦ</v>
          </cell>
          <cell r="D21" t="str">
            <v>有田 天</v>
          </cell>
          <cell r="E21">
            <v>0</v>
          </cell>
          <cell r="F21" t="str">
            <v>ありた たか</v>
          </cell>
          <cell r="G21">
            <v>0</v>
          </cell>
          <cell r="H21">
            <v>0</v>
          </cell>
          <cell r="I21">
            <v>3</v>
          </cell>
          <cell r="K21">
            <v>0</v>
          </cell>
          <cell r="L21">
            <v>13</v>
          </cell>
          <cell r="M21" t="str">
            <v>ＭＦ</v>
          </cell>
          <cell r="N21" t="str">
            <v>秋原 優樹</v>
          </cell>
          <cell r="O21">
            <v>0</v>
          </cell>
          <cell r="P21" t="str">
            <v>あきはら ゆうき</v>
          </cell>
          <cell r="Q21">
            <v>0</v>
          </cell>
          <cell r="R21">
            <v>0</v>
          </cell>
          <cell r="S21">
            <v>3</v>
          </cell>
          <cell r="U21">
            <v>0</v>
          </cell>
          <cell r="V21">
            <v>0</v>
          </cell>
          <cell r="W21">
            <v>0</v>
          </cell>
          <cell r="X21">
            <v>0</v>
          </cell>
          <cell r="Y21">
            <v>0</v>
          </cell>
          <cell r="Z21">
            <v>0</v>
          </cell>
          <cell r="AA21">
            <v>0</v>
          </cell>
          <cell r="AB21">
            <v>0</v>
          </cell>
          <cell r="AC21">
            <v>0</v>
          </cell>
        </row>
        <row r="22">
          <cell r="A22">
            <v>0</v>
          </cell>
          <cell r="B22">
            <v>14</v>
          </cell>
          <cell r="C22" t="str">
            <v>ＤＦ</v>
          </cell>
          <cell r="D22" t="str">
            <v>齋藤 登</v>
          </cell>
          <cell r="E22">
            <v>0</v>
          </cell>
          <cell r="F22" t="str">
            <v>さいとう のぼる</v>
          </cell>
          <cell r="G22">
            <v>0</v>
          </cell>
          <cell r="H22">
            <v>0</v>
          </cell>
          <cell r="I22">
            <v>3</v>
          </cell>
          <cell r="K22">
            <v>0</v>
          </cell>
          <cell r="L22">
            <v>14</v>
          </cell>
          <cell r="M22" t="str">
            <v>DF</v>
          </cell>
          <cell r="N22" t="str">
            <v>久我 裕</v>
          </cell>
          <cell r="O22">
            <v>0</v>
          </cell>
          <cell r="P22" t="str">
            <v>くが ゆう</v>
          </cell>
          <cell r="Q22">
            <v>0</v>
          </cell>
          <cell r="R22">
            <v>0</v>
          </cell>
          <cell r="S22">
            <v>2</v>
          </cell>
          <cell r="U22">
            <v>0</v>
          </cell>
          <cell r="V22">
            <v>0</v>
          </cell>
          <cell r="W22">
            <v>0</v>
          </cell>
          <cell r="X22">
            <v>0</v>
          </cell>
          <cell r="Y22">
            <v>0</v>
          </cell>
          <cell r="Z22">
            <v>0</v>
          </cell>
          <cell r="AA22">
            <v>0</v>
          </cell>
          <cell r="AB22">
            <v>0</v>
          </cell>
          <cell r="AC22">
            <v>0</v>
          </cell>
        </row>
        <row r="23">
          <cell r="A23">
            <v>0</v>
          </cell>
          <cell r="B23">
            <v>15</v>
          </cell>
          <cell r="C23" t="str">
            <v>ＧＫ</v>
          </cell>
          <cell r="D23" t="str">
            <v>神田 怜央</v>
          </cell>
          <cell r="E23">
            <v>0</v>
          </cell>
          <cell r="F23" t="str">
            <v>かんだ れお</v>
          </cell>
          <cell r="G23">
            <v>0</v>
          </cell>
          <cell r="H23">
            <v>0</v>
          </cell>
          <cell r="I23">
            <v>2</v>
          </cell>
          <cell r="K23">
            <v>0</v>
          </cell>
          <cell r="L23">
            <v>15</v>
          </cell>
          <cell r="M23" t="str">
            <v>ＧＫ</v>
          </cell>
          <cell r="N23" t="str">
            <v>阿部 敏季</v>
          </cell>
          <cell r="O23">
            <v>0</v>
          </cell>
          <cell r="P23" t="str">
            <v>あべ としき</v>
          </cell>
          <cell r="Q23">
            <v>0</v>
          </cell>
          <cell r="R23">
            <v>0</v>
          </cell>
          <cell r="S23">
            <v>2</v>
          </cell>
          <cell r="U23">
            <v>0</v>
          </cell>
          <cell r="V23">
            <v>0</v>
          </cell>
          <cell r="W23">
            <v>0</v>
          </cell>
          <cell r="X23">
            <v>0</v>
          </cell>
          <cell r="Y23">
            <v>0</v>
          </cell>
          <cell r="Z23">
            <v>0</v>
          </cell>
          <cell r="AA23">
            <v>0</v>
          </cell>
          <cell r="AB23">
            <v>0</v>
          </cell>
          <cell r="AC23">
            <v>0</v>
          </cell>
        </row>
        <row r="24">
          <cell r="A24">
            <v>0</v>
          </cell>
          <cell r="B24">
            <v>16</v>
          </cell>
          <cell r="C24" t="str">
            <v>ＭＦ</v>
          </cell>
          <cell r="D24" t="str">
            <v>神田 彩樹</v>
          </cell>
          <cell r="E24">
            <v>0</v>
          </cell>
          <cell r="F24" t="str">
            <v>かんだ さいき</v>
          </cell>
          <cell r="G24">
            <v>0</v>
          </cell>
          <cell r="H24">
            <v>0</v>
          </cell>
          <cell r="I24">
            <v>3</v>
          </cell>
          <cell r="K24">
            <v>0</v>
          </cell>
          <cell r="L24">
            <v>16</v>
          </cell>
          <cell r="M24" t="str">
            <v>ＭＦ</v>
          </cell>
          <cell r="N24" t="str">
            <v>遠藤 翼</v>
          </cell>
          <cell r="O24">
            <v>0</v>
          </cell>
          <cell r="P24" t="str">
            <v>えんどう つばさ</v>
          </cell>
          <cell r="Q24">
            <v>0</v>
          </cell>
          <cell r="R24">
            <v>0</v>
          </cell>
          <cell r="S24">
            <v>3</v>
          </cell>
          <cell r="U24">
            <v>0</v>
          </cell>
          <cell r="V24">
            <v>0</v>
          </cell>
          <cell r="W24">
            <v>0</v>
          </cell>
          <cell r="X24">
            <v>0</v>
          </cell>
          <cell r="Y24">
            <v>0</v>
          </cell>
          <cell r="Z24">
            <v>0</v>
          </cell>
          <cell r="AA24">
            <v>0</v>
          </cell>
          <cell r="AB24">
            <v>0</v>
          </cell>
          <cell r="AC24">
            <v>0</v>
          </cell>
        </row>
        <row r="25">
          <cell r="A25">
            <v>0</v>
          </cell>
          <cell r="B25">
            <v>17</v>
          </cell>
          <cell r="C25" t="str">
            <v>ＦＷ</v>
          </cell>
          <cell r="D25" t="str">
            <v>石黒 慎太朗</v>
          </cell>
          <cell r="E25">
            <v>0</v>
          </cell>
          <cell r="F25" t="str">
            <v>いしぐろ しんたろう</v>
          </cell>
          <cell r="G25">
            <v>0</v>
          </cell>
          <cell r="H25">
            <v>0</v>
          </cell>
          <cell r="I25">
            <v>3</v>
          </cell>
          <cell r="K25">
            <v>0</v>
          </cell>
          <cell r="L25">
            <v>17</v>
          </cell>
          <cell r="M25" t="str">
            <v>ＭＦ</v>
          </cell>
          <cell r="N25" t="str">
            <v>廣瀬 真心</v>
          </cell>
          <cell r="O25">
            <v>0</v>
          </cell>
          <cell r="P25" t="str">
            <v>ひろせ まこと</v>
          </cell>
          <cell r="Q25">
            <v>0</v>
          </cell>
          <cell r="R25">
            <v>0</v>
          </cell>
          <cell r="S25">
            <v>3</v>
          </cell>
          <cell r="U25">
            <v>0</v>
          </cell>
          <cell r="V25">
            <v>0</v>
          </cell>
          <cell r="W25">
            <v>0</v>
          </cell>
          <cell r="X25">
            <v>0</v>
          </cell>
          <cell r="Y25">
            <v>0</v>
          </cell>
          <cell r="Z25">
            <v>0</v>
          </cell>
          <cell r="AA25">
            <v>0</v>
          </cell>
          <cell r="AB25">
            <v>0</v>
          </cell>
          <cell r="AC25">
            <v>0</v>
          </cell>
        </row>
        <row r="26">
          <cell r="A26">
            <v>0</v>
          </cell>
          <cell r="B26">
            <v>18</v>
          </cell>
          <cell r="C26" t="str">
            <v>ＤＦ</v>
          </cell>
          <cell r="D26" t="str">
            <v>五十嵐 侑瑞樹</v>
          </cell>
          <cell r="E26">
            <v>0</v>
          </cell>
          <cell r="F26" t="str">
            <v>いからし ゆずき</v>
          </cell>
          <cell r="G26">
            <v>0</v>
          </cell>
          <cell r="H26">
            <v>0</v>
          </cell>
          <cell r="I26">
            <v>2</v>
          </cell>
          <cell r="K26">
            <v>0</v>
          </cell>
          <cell r="L26">
            <v>18</v>
          </cell>
          <cell r="M26" t="str">
            <v>ＦＷ</v>
          </cell>
          <cell r="N26" t="str">
            <v>長谷川 勇太</v>
          </cell>
          <cell r="O26">
            <v>0</v>
          </cell>
          <cell r="P26" t="str">
            <v>はせがわ ゆうた</v>
          </cell>
          <cell r="Q26">
            <v>0</v>
          </cell>
          <cell r="R26">
            <v>0</v>
          </cell>
          <cell r="S26">
            <v>3</v>
          </cell>
          <cell r="U26">
            <v>0</v>
          </cell>
          <cell r="V26">
            <v>0</v>
          </cell>
          <cell r="W26">
            <v>0</v>
          </cell>
          <cell r="X26">
            <v>0</v>
          </cell>
          <cell r="Y26">
            <v>0</v>
          </cell>
          <cell r="Z26">
            <v>0</v>
          </cell>
          <cell r="AA26">
            <v>0</v>
          </cell>
          <cell r="AB26">
            <v>0</v>
          </cell>
          <cell r="AC26">
            <v>0</v>
          </cell>
        </row>
        <row r="27">
          <cell r="U27">
            <v>0</v>
          </cell>
          <cell r="V27">
            <v>0</v>
          </cell>
          <cell r="W27">
            <v>0</v>
          </cell>
          <cell r="X27">
            <v>0</v>
          </cell>
          <cell r="Y27">
            <v>0</v>
          </cell>
          <cell r="Z27">
            <v>0</v>
          </cell>
          <cell r="AA27">
            <v>0</v>
          </cell>
          <cell r="AB27">
            <v>0</v>
          </cell>
          <cell r="AC27">
            <v>0</v>
          </cell>
        </row>
        <row r="28">
          <cell r="B28" t="str">
            <v>ユニフォーム</v>
          </cell>
          <cell r="C28">
            <v>0</v>
          </cell>
          <cell r="D28" t="str">
            <v>FP 正</v>
          </cell>
          <cell r="E28" t="str">
            <v>FP 副</v>
          </cell>
          <cell r="F28">
            <v>0</v>
          </cell>
          <cell r="G28" t="str">
            <v>GK 正</v>
          </cell>
          <cell r="H28" t="str">
            <v>GK 副</v>
          </cell>
          <cell r="I28">
            <v>0</v>
          </cell>
          <cell r="L28" t="str">
            <v>ユニフォーム</v>
          </cell>
          <cell r="M28">
            <v>0</v>
          </cell>
          <cell r="N28" t="str">
            <v>FP 正</v>
          </cell>
          <cell r="O28" t="str">
            <v>FP 副</v>
          </cell>
          <cell r="P28">
            <v>0</v>
          </cell>
          <cell r="Q28" t="str">
            <v>GK 正</v>
          </cell>
          <cell r="R28" t="str">
            <v>GK 副</v>
          </cell>
          <cell r="S28">
            <v>0</v>
          </cell>
          <cell r="U28">
            <v>0</v>
          </cell>
          <cell r="V28">
            <v>0</v>
          </cell>
          <cell r="W28">
            <v>0</v>
          </cell>
          <cell r="X28">
            <v>0</v>
          </cell>
          <cell r="Y28">
            <v>0</v>
          </cell>
          <cell r="Z28">
            <v>0</v>
          </cell>
          <cell r="AA28">
            <v>0</v>
          </cell>
          <cell r="AB28">
            <v>0</v>
          </cell>
          <cell r="AC28">
            <v>0</v>
          </cell>
        </row>
        <row r="29">
          <cell r="B29" t="str">
            <v>シャツ</v>
          </cell>
          <cell r="C29">
            <v>0</v>
          </cell>
          <cell r="D29" t="str">
            <v>赤</v>
          </cell>
          <cell r="E29" t="str">
            <v>白×灰</v>
          </cell>
          <cell r="F29">
            <v>0</v>
          </cell>
          <cell r="G29" t="str">
            <v>黄</v>
          </cell>
          <cell r="H29" t="str">
            <v>緑</v>
          </cell>
          <cell r="I29">
            <v>0</v>
          </cell>
          <cell r="L29" t="str">
            <v>シャツ</v>
          </cell>
          <cell r="M29">
            <v>0</v>
          </cell>
          <cell r="N29" t="str">
            <v>青</v>
          </cell>
          <cell r="O29" t="str">
            <v>白</v>
          </cell>
          <cell r="P29">
            <v>0</v>
          </cell>
          <cell r="Q29" t="str">
            <v>灰</v>
          </cell>
          <cell r="R29" t="str">
            <v>緑</v>
          </cell>
          <cell r="S29">
            <v>0</v>
          </cell>
          <cell r="U29">
            <v>0</v>
          </cell>
          <cell r="V29">
            <v>0</v>
          </cell>
          <cell r="W29">
            <v>0</v>
          </cell>
          <cell r="X29">
            <v>0</v>
          </cell>
          <cell r="Y29">
            <v>0</v>
          </cell>
          <cell r="Z29">
            <v>0</v>
          </cell>
          <cell r="AA29">
            <v>0</v>
          </cell>
          <cell r="AB29">
            <v>0</v>
          </cell>
          <cell r="AC29">
            <v>0</v>
          </cell>
        </row>
        <row r="30">
          <cell r="B30" t="str">
            <v>パンツ</v>
          </cell>
          <cell r="C30">
            <v>0</v>
          </cell>
          <cell r="D30" t="str">
            <v>白</v>
          </cell>
          <cell r="E30" t="str">
            <v>赤</v>
          </cell>
          <cell r="F30">
            <v>0</v>
          </cell>
          <cell r="G30" t="str">
            <v>黄</v>
          </cell>
          <cell r="H30" t="str">
            <v>黒</v>
          </cell>
          <cell r="I30">
            <v>0</v>
          </cell>
          <cell r="L30" t="str">
            <v>パンツ</v>
          </cell>
          <cell r="M30">
            <v>0</v>
          </cell>
          <cell r="N30" t="str">
            <v>青</v>
          </cell>
          <cell r="O30" t="str">
            <v>白</v>
          </cell>
          <cell r="P30">
            <v>0</v>
          </cell>
          <cell r="Q30" t="str">
            <v>黒</v>
          </cell>
          <cell r="R30" t="str">
            <v>緑</v>
          </cell>
          <cell r="S30">
            <v>0</v>
          </cell>
          <cell r="U30">
            <v>0</v>
          </cell>
          <cell r="V30">
            <v>0</v>
          </cell>
          <cell r="W30">
            <v>0</v>
          </cell>
          <cell r="X30">
            <v>0</v>
          </cell>
          <cell r="Y30">
            <v>0</v>
          </cell>
          <cell r="Z30">
            <v>0</v>
          </cell>
          <cell r="AA30">
            <v>0</v>
          </cell>
          <cell r="AB30">
            <v>0</v>
          </cell>
          <cell r="AC30">
            <v>0</v>
          </cell>
        </row>
        <row r="31">
          <cell r="B31" t="str">
            <v>ストッキング</v>
          </cell>
          <cell r="C31">
            <v>0</v>
          </cell>
          <cell r="D31" t="str">
            <v>赤</v>
          </cell>
          <cell r="E31" t="str">
            <v>白</v>
          </cell>
          <cell r="F31">
            <v>0</v>
          </cell>
          <cell r="G31" t="str">
            <v>黄</v>
          </cell>
          <cell r="H31" t="str">
            <v>緑</v>
          </cell>
          <cell r="I31">
            <v>0</v>
          </cell>
          <cell r="L31" t="str">
            <v>ストッキング</v>
          </cell>
          <cell r="M31">
            <v>0</v>
          </cell>
          <cell r="N31" t="str">
            <v>赤</v>
          </cell>
          <cell r="O31" t="str">
            <v>青</v>
          </cell>
          <cell r="P31">
            <v>0</v>
          </cell>
          <cell r="Q31" t="str">
            <v>灰</v>
          </cell>
          <cell r="R31" t="str">
            <v>緑</v>
          </cell>
          <cell r="S31">
            <v>0</v>
          </cell>
          <cell r="U31">
            <v>0</v>
          </cell>
          <cell r="V31">
            <v>0</v>
          </cell>
          <cell r="W31">
            <v>0</v>
          </cell>
          <cell r="X31">
            <v>0</v>
          </cell>
          <cell r="Y31">
            <v>0</v>
          </cell>
          <cell r="Z31">
            <v>0</v>
          </cell>
          <cell r="AA31">
            <v>0</v>
          </cell>
          <cell r="AB31">
            <v>0</v>
          </cell>
          <cell r="AC31">
            <v>0</v>
          </cell>
        </row>
        <row r="32">
          <cell r="B32" t="str">
            <v>福井県代表 県大会第１位</v>
          </cell>
          <cell r="C32">
            <v>0</v>
          </cell>
          <cell r="D32">
            <v>0</v>
          </cell>
          <cell r="E32">
            <v>0</v>
          </cell>
          <cell r="F32">
            <v>0</v>
          </cell>
          <cell r="G32">
            <v>0</v>
          </cell>
          <cell r="H32">
            <v>0</v>
          </cell>
          <cell r="I32">
            <v>0</v>
          </cell>
          <cell r="L32" t="str">
            <v>福井県代表 県大会第２位</v>
          </cell>
          <cell r="M32">
            <v>0</v>
          </cell>
          <cell r="N32">
            <v>0</v>
          </cell>
          <cell r="O32">
            <v>0</v>
          </cell>
          <cell r="P32">
            <v>0</v>
          </cell>
          <cell r="Q32">
            <v>0</v>
          </cell>
          <cell r="R32">
            <v>0</v>
          </cell>
          <cell r="S32">
            <v>0</v>
          </cell>
          <cell r="U32">
            <v>0</v>
          </cell>
          <cell r="V32">
            <v>0</v>
          </cell>
          <cell r="W32">
            <v>0</v>
          </cell>
          <cell r="X32">
            <v>0</v>
          </cell>
          <cell r="Y32">
            <v>0</v>
          </cell>
          <cell r="Z32">
            <v>0</v>
          </cell>
          <cell r="AA32">
            <v>0</v>
          </cell>
          <cell r="AB32">
            <v>0</v>
          </cell>
          <cell r="AC32">
            <v>0</v>
          </cell>
        </row>
        <row r="33">
          <cell r="B33" t="str">
            <v>福井工業大学附属福井中学校</v>
          </cell>
          <cell r="C33">
            <v>0</v>
          </cell>
          <cell r="D33">
            <v>0</v>
          </cell>
          <cell r="E33">
            <v>0</v>
          </cell>
          <cell r="F33">
            <v>0</v>
          </cell>
          <cell r="G33">
            <v>0</v>
          </cell>
          <cell r="H33">
            <v>0</v>
          </cell>
          <cell r="I33">
            <v>0</v>
          </cell>
          <cell r="L33" t="str">
            <v>福井市清水中学校</v>
          </cell>
          <cell r="M33">
            <v>0</v>
          </cell>
          <cell r="N33">
            <v>0</v>
          </cell>
          <cell r="O33">
            <v>0</v>
          </cell>
          <cell r="P33">
            <v>0</v>
          </cell>
          <cell r="Q33">
            <v>0</v>
          </cell>
          <cell r="R33">
            <v>0</v>
          </cell>
          <cell r="S33">
            <v>0</v>
          </cell>
          <cell r="U33">
            <v>0</v>
          </cell>
          <cell r="V33">
            <v>0</v>
          </cell>
          <cell r="W33">
            <v>0</v>
          </cell>
          <cell r="X33">
            <v>0</v>
          </cell>
          <cell r="Y33">
            <v>0</v>
          </cell>
          <cell r="Z33">
            <v>0</v>
          </cell>
          <cell r="AA33">
            <v>0</v>
          </cell>
          <cell r="AB33">
            <v>0</v>
          </cell>
          <cell r="AC33">
            <v>0</v>
          </cell>
        </row>
        <row r="34">
          <cell r="B34" t="str">
            <v>学校所在地</v>
          </cell>
          <cell r="C34">
            <v>0</v>
          </cell>
          <cell r="D34" t="str">
            <v>福井県福井市学園３－６－１</v>
          </cell>
          <cell r="E34">
            <v>0</v>
          </cell>
          <cell r="F34">
            <v>0</v>
          </cell>
          <cell r="G34">
            <v>0</v>
          </cell>
          <cell r="H34">
            <v>0</v>
          </cell>
          <cell r="I34">
            <v>0</v>
          </cell>
          <cell r="L34" t="str">
            <v>学校所在地</v>
          </cell>
          <cell r="M34">
            <v>0</v>
          </cell>
          <cell r="N34" t="str">
            <v>福井県福井市島寺町２－５５</v>
          </cell>
          <cell r="O34">
            <v>0</v>
          </cell>
          <cell r="P34">
            <v>0</v>
          </cell>
          <cell r="Q34">
            <v>0</v>
          </cell>
          <cell r="R34">
            <v>0</v>
          </cell>
          <cell r="S34">
            <v>0</v>
          </cell>
          <cell r="U34">
            <v>0</v>
          </cell>
          <cell r="V34">
            <v>0</v>
          </cell>
          <cell r="W34">
            <v>0</v>
          </cell>
          <cell r="X34">
            <v>0</v>
          </cell>
          <cell r="Y34">
            <v>0</v>
          </cell>
          <cell r="Z34">
            <v>0</v>
          </cell>
          <cell r="AA34">
            <v>0</v>
          </cell>
          <cell r="AB34">
            <v>0</v>
          </cell>
          <cell r="AC34">
            <v>0</v>
          </cell>
        </row>
        <row r="35">
          <cell r="B35" t="str">
            <v>監督</v>
          </cell>
          <cell r="C35">
            <v>0</v>
          </cell>
          <cell r="D35" t="str">
            <v>高本 勉</v>
          </cell>
          <cell r="E35">
            <v>0</v>
          </cell>
          <cell r="F35">
            <v>0</v>
          </cell>
          <cell r="G35">
            <v>0</v>
          </cell>
          <cell r="H35">
            <v>0</v>
          </cell>
          <cell r="I35">
            <v>0</v>
          </cell>
          <cell r="L35" t="str">
            <v>監督</v>
          </cell>
          <cell r="M35">
            <v>0</v>
          </cell>
          <cell r="N35" t="str">
            <v>橋爪 一隆</v>
          </cell>
          <cell r="O35">
            <v>0</v>
          </cell>
          <cell r="P35">
            <v>0</v>
          </cell>
          <cell r="Q35">
            <v>0</v>
          </cell>
          <cell r="R35">
            <v>0</v>
          </cell>
          <cell r="S35">
            <v>0</v>
          </cell>
          <cell r="U35">
            <v>0</v>
          </cell>
          <cell r="V35">
            <v>0</v>
          </cell>
          <cell r="W35">
            <v>0</v>
          </cell>
          <cell r="X35">
            <v>0</v>
          </cell>
          <cell r="Y35">
            <v>0</v>
          </cell>
          <cell r="Z35">
            <v>0</v>
          </cell>
          <cell r="AA35">
            <v>0</v>
          </cell>
          <cell r="AB35">
            <v>0</v>
          </cell>
          <cell r="AC35">
            <v>0</v>
          </cell>
        </row>
        <row r="36">
          <cell r="B36" t="str">
            <v>コーチ</v>
          </cell>
          <cell r="C36">
            <v>0</v>
          </cell>
          <cell r="D36" t="str">
            <v>前田 健太郎</v>
          </cell>
          <cell r="E36">
            <v>0</v>
          </cell>
          <cell r="F36">
            <v>0</v>
          </cell>
          <cell r="G36">
            <v>0</v>
          </cell>
          <cell r="H36" t="str">
            <v>(教員)</v>
          </cell>
          <cell r="I36">
            <v>0</v>
          </cell>
          <cell r="L36" t="str">
            <v>コーチ</v>
          </cell>
          <cell r="M36">
            <v>0</v>
          </cell>
          <cell r="N36" t="str">
            <v>中山 悟志</v>
          </cell>
          <cell r="O36">
            <v>0</v>
          </cell>
          <cell r="P36">
            <v>0</v>
          </cell>
          <cell r="Q36">
            <v>0</v>
          </cell>
          <cell r="R36" t="str">
            <v>(教員)</v>
          </cell>
          <cell r="S36">
            <v>0</v>
          </cell>
          <cell r="U36">
            <v>0</v>
          </cell>
          <cell r="V36">
            <v>0</v>
          </cell>
          <cell r="W36">
            <v>0</v>
          </cell>
          <cell r="X36">
            <v>0</v>
          </cell>
          <cell r="Y36">
            <v>0</v>
          </cell>
          <cell r="Z36">
            <v>0</v>
          </cell>
          <cell r="AA36">
            <v>0</v>
          </cell>
          <cell r="AB36">
            <v>0</v>
          </cell>
          <cell r="AC36">
            <v>0</v>
          </cell>
        </row>
        <row r="37">
          <cell r="B37" t="str">
            <v>マネージャー</v>
          </cell>
          <cell r="C37">
            <v>0</v>
          </cell>
          <cell r="D37" t="str">
            <v>龍田 信武</v>
          </cell>
          <cell r="E37">
            <v>0</v>
          </cell>
          <cell r="F37">
            <v>0</v>
          </cell>
          <cell r="G37">
            <v>0</v>
          </cell>
          <cell r="H37" t="str">
            <v>(生徒)</v>
          </cell>
          <cell r="I37">
            <v>0</v>
          </cell>
          <cell r="L37" t="str">
            <v>マネージャー</v>
          </cell>
          <cell r="M37">
            <v>0</v>
          </cell>
          <cell r="N37" t="str">
            <v>永井 拓実</v>
          </cell>
          <cell r="O37">
            <v>0</v>
          </cell>
          <cell r="P37">
            <v>0</v>
          </cell>
          <cell r="Q37">
            <v>0</v>
          </cell>
          <cell r="R37" t="str">
            <v>(生徒)</v>
          </cell>
          <cell r="S37">
            <v>0</v>
          </cell>
          <cell r="U37">
            <v>0</v>
          </cell>
          <cell r="V37">
            <v>0</v>
          </cell>
          <cell r="W37">
            <v>0</v>
          </cell>
          <cell r="X37">
            <v>0</v>
          </cell>
          <cell r="Y37">
            <v>0</v>
          </cell>
          <cell r="Z37">
            <v>0</v>
          </cell>
          <cell r="AA37">
            <v>0</v>
          </cell>
          <cell r="AB37">
            <v>0</v>
          </cell>
          <cell r="AC37">
            <v>0</v>
          </cell>
        </row>
        <row r="38">
          <cell r="D38">
            <v>0</v>
          </cell>
          <cell r="E38">
            <v>0</v>
          </cell>
          <cell r="F38">
            <v>0</v>
          </cell>
          <cell r="G38">
            <v>0</v>
          </cell>
          <cell r="H38">
            <v>0</v>
          </cell>
          <cell r="I38">
            <v>0</v>
          </cell>
          <cell r="N38">
            <v>0</v>
          </cell>
          <cell r="O38">
            <v>0</v>
          </cell>
          <cell r="P38">
            <v>0</v>
          </cell>
          <cell r="Q38">
            <v>0</v>
          </cell>
          <cell r="R38">
            <v>0</v>
          </cell>
          <cell r="S38">
            <v>0</v>
          </cell>
          <cell r="U38">
            <v>0</v>
          </cell>
          <cell r="V38">
            <v>0</v>
          </cell>
          <cell r="W38">
            <v>0</v>
          </cell>
          <cell r="X38">
            <v>0</v>
          </cell>
          <cell r="Y38">
            <v>0</v>
          </cell>
          <cell r="Z38">
            <v>0</v>
          </cell>
          <cell r="AA38">
            <v>0</v>
          </cell>
          <cell r="AB38">
            <v>0</v>
          </cell>
          <cell r="AC38">
            <v>0</v>
          </cell>
        </row>
        <row r="39">
          <cell r="A39" t="str">
            <v>先発</v>
          </cell>
          <cell r="B39" t="str">
            <v>番号</v>
          </cell>
          <cell r="C39" t="str">
            <v>位置</v>
          </cell>
          <cell r="D39" t="str">
            <v>氏名</v>
          </cell>
          <cell r="E39">
            <v>0</v>
          </cell>
          <cell r="F39" t="str">
            <v>ふりがな</v>
          </cell>
          <cell r="G39">
            <v>0</v>
          </cell>
          <cell r="H39">
            <v>0</v>
          </cell>
          <cell r="I39" t="str">
            <v>学年</v>
          </cell>
          <cell r="K39" t="str">
            <v>先発</v>
          </cell>
          <cell r="L39" t="str">
            <v>番号</v>
          </cell>
          <cell r="M39" t="str">
            <v>位置</v>
          </cell>
          <cell r="N39" t="str">
            <v>氏名</v>
          </cell>
          <cell r="O39">
            <v>0</v>
          </cell>
          <cell r="P39" t="str">
            <v>ふりがな</v>
          </cell>
          <cell r="Q39">
            <v>0</v>
          </cell>
          <cell r="R39">
            <v>0</v>
          </cell>
          <cell r="S39" t="str">
            <v>学年</v>
          </cell>
          <cell r="U39">
            <v>0</v>
          </cell>
          <cell r="V39">
            <v>0</v>
          </cell>
          <cell r="W39">
            <v>0</v>
          </cell>
          <cell r="X39">
            <v>0</v>
          </cell>
          <cell r="Y39">
            <v>0</v>
          </cell>
          <cell r="Z39">
            <v>0</v>
          </cell>
          <cell r="AA39">
            <v>0</v>
          </cell>
          <cell r="AB39">
            <v>0</v>
          </cell>
          <cell r="AC39">
            <v>0</v>
          </cell>
        </row>
        <row r="40">
          <cell r="A40">
            <v>0</v>
          </cell>
          <cell r="B40">
            <v>1</v>
          </cell>
          <cell r="C40" t="str">
            <v>GK</v>
          </cell>
          <cell r="D40" t="str">
            <v>高木 勇仁朗</v>
          </cell>
          <cell r="E40">
            <v>0</v>
          </cell>
          <cell r="F40" t="str">
            <v>たかぎ ゆうじろう</v>
          </cell>
          <cell r="G40">
            <v>0</v>
          </cell>
          <cell r="H40">
            <v>0</v>
          </cell>
          <cell r="I40">
            <v>3</v>
          </cell>
          <cell r="K40">
            <v>0</v>
          </cell>
          <cell r="L40">
            <v>1</v>
          </cell>
          <cell r="M40" t="str">
            <v>GK</v>
          </cell>
          <cell r="N40" t="str">
            <v>竹内 廉</v>
          </cell>
          <cell r="O40">
            <v>0</v>
          </cell>
          <cell r="P40" t="str">
            <v>たけうち れん</v>
          </cell>
          <cell r="Q40">
            <v>0</v>
          </cell>
          <cell r="R40">
            <v>0</v>
          </cell>
          <cell r="S40">
            <v>3</v>
          </cell>
          <cell r="U40">
            <v>0</v>
          </cell>
          <cell r="V40">
            <v>0</v>
          </cell>
          <cell r="W40">
            <v>0</v>
          </cell>
          <cell r="X40">
            <v>0</v>
          </cell>
          <cell r="Y40">
            <v>0</v>
          </cell>
          <cell r="Z40">
            <v>0</v>
          </cell>
          <cell r="AA40">
            <v>0</v>
          </cell>
          <cell r="AB40">
            <v>0</v>
          </cell>
          <cell r="AC40">
            <v>0</v>
          </cell>
        </row>
        <row r="41">
          <cell r="A41">
            <v>0</v>
          </cell>
          <cell r="B41">
            <v>2</v>
          </cell>
          <cell r="C41" t="str">
            <v>DF</v>
          </cell>
          <cell r="D41" t="str">
            <v>小寺 翔太</v>
          </cell>
          <cell r="E41">
            <v>0</v>
          </cell>
          <cell r="F41" t="str">
            <v>こでら しょうた</v>
          </cell>
          <cell r="G41">
            <v>0</v>
          </cell>
          <cell r="H41">
            <v>0</v>
          </cell>
          <cell r="I41">
            <v>3</v>
          </cell>
          <cell r="K41">
            <v>0</v>
          </cell>
          <cell r="L41">
            <v>2</v>
          </cell>
          <cell r="M41" t="str">
            <v>DF</v>
          </cell>
          <cell r="N41" t="str">
            <v>田中 樹</v>
          </cell>
          <cell r="O41">
            <v>0</v>
          </cell>
          <cell r="P41" t="str">
            <v>たなか たつき</v>
          </cell>
          <cell r="Q41">
            <v>0</v>
          </cell>
          <cell r="R41">
            <v>0</v>
          </cell>
          <cell r="S41">
            <v>3</v>
          </cell>
          <cell r="U41">
            <v>0</v>
          </cell>
          <cell r="V41">
            <v>0</v>
          </cell>
          <cell r="W41">
            <v>0</v>
          </cell>
          <cell r="X41">
            <v>0</v>
          </cell>
          <cell r="Y41">
            <v>0</v>
          </cell>
          <cell r="Z41">
            <v>0</v>
          </cell>
          <cell r="AA41">
            <v>0</v>
          </cell>
          <cell r="AB41">
            <v>0</v>
          </cell>
          <cell r="AC41">
            <v>0</v>
          </cell>
        </row>
        <row r="42">
          <cell r="A42">
            <v>0</v>
          </cell>
          <cell r="B42">
            <v>4</v>
          </cell>
          <cell r="C42" t="str">
            <v>DF</v>
          </cell>
          <cell r="D42" t="str">
            <v>野坂 成希</v>
          </cell>
          <cell r="E42">
            <v>0</v>
          </cell>
          <cell r="F42" t="str">
            <v>のさか なるき</v>
          </cell>
          <cell r="G42">
            <v>0</v>
          </cell>
          <cell r="H42">
            <v>0</v>
          </cell>
          <cell r="I42">
            <v>2</v>
          </cell>
          <cell r="K42">
            <v>0</v>
          </cell>
          <cell r="L42">
            <v>3</v>
          </cell>
          <cell r="M42" t="str">
            <v>DF</v>
          </cell>
          <cell r="N42" t="str">
            <v>藤田 俊希</v>
          </cell>
          <cell r="O42">
            <v>0</v>
          </cell>
          <cell r="P42" t="str">
            <v>ふじた としき</v>
          </cell>
          <cell r="Q42">
            <v>0</v>
          </cell>
          <cell r="R42">
            <v>0</v>
          </cell>
          <cell r="S42">
            <v>3</v>
          </cell>
          <cell r="U42">
            <v>0</v>
          </cell>
          <cell r="V42">
            <v>0</v>
          </cell>
          <cell r="W42">
            <v>0</v>
          </cell>
          <cell r="X42">
            <v>0</v>
          </cell>
          <cell r="Y42">
            <v>0</v>
          </cell>
          <cell r="Z42">
            <v>0</v>
          </cell>
          <cell r="AA42">
            <v>0</v>
          </cell>
          <cell r="AB42">
            <v>0</v>
          </cell>
          <cell r="AC42">
            <v>0</v>
          </cell>
        </row>
        <row r="43">
          <cell r="A43">
            <v>0</v>
          </cell>
          <cell r="B43">
            <v>5</v>
          </cell>
          <cell r="C43" t="str">
            <v>MF</v>
          </cell>
          <cell r="D43" t="str">
            <v>毛利 拓磨</v>
          </cell>
          <cell r="E43">
            <v>0</v>
          </cell>
          <cell r="F43" t="str">
            <v>もうり たくま</v>
          </cell>
          <cell r="G43">
            <v>0</v>
          </cell>
          <cell r="H43">
            <v>0</v>
          </cell>
          <cell r="I43">
            <v>2</v>
          </cell>
          <cell r="K43">
            <v>0</v>
          </cell>
          <cell r="L43">
            <v>4</v>
          </cell>
          <cell r="M43" t="str">
            <v>DF</v>
          </cell>
          <cell r="N43" t="str">
            <v>上田 圭悟</v>
          </cell>
          <cell r="O43">
            <v>0</v>
          </cell>
          <cell r="P43" t="str">
            <v>うえだ けいご</v>
          </cell>
          <cell r="Q43">
            <v>0</v>
          </cell>
          <cell r="R43">
            <v>0</v>
          </cell>
          <cell r="S43">
            <v>3</v>
          </cell>
          <cell r="U43">
            <v>0</v>
          </cell>
          <cell r="V43">
            <v>0</v>
          </cell>
          <cell r="W43">
            <v>0</v>
          </cell>
          <cell r="X43">
            <v>0</v>
          </cell>
          <cell r="Y43">
            <v>0</v>
          </cell>
          <cell r="Z43">
            <v>0</v>
          </cell>
          <cell r="AA43">
            <v>0</v>
          </cell>
          <cell r="AB43">
            <v>0</v>
          </cell>
          <cell r="AC43">
            <v>0</v>
          </cell>
        </row>
        <row r="44">
          <cell r="A44">
            <v>0</v>
          </cell>
          <cell r="B44">
            <v>6</v>
          </cell>
          <cell r="C44" t="str">
            <v>DF</v>
          </cell>
          <cell r="D44" t="str">
            <v>山川 航輝</v>
          </cell>
          <cell r="E44">
            <v>0</v>
          </cell>
          <cell r="F44" t="str">
            <v>やまかわ こうき</v>
          </cell>
          <cell r="G44">
            <v>0</v>
          </cell>
          <cell r="H44">
            <v>0</v>
          </cell>
          <cell r="I44">
            <v>3</v>
          </cell>
          <cell r="K44">
            <v>0</v>
          </cell>
          <cell r="L44">
            <v>5</v>
          </cell>
          <cell r="M44" t="str">
            <v>DF</v>
          </cell>
          <cell r="N44" t="str">
            <v>岩堀 力弥</v>
          </cell>
          <cell r="O44">
            <v>0</v>
          </cell>
          <cell r="P44" t="str">
            <v>いわほり りきや</v>
          </cell>
          <cell r="Q44">
            <v>0</v>
          </cell>
          <cell r="R44">
            <v>0</v>
          </cell>
          <cell r="S44">
            <v>3</v>
          </cell>
          <cell r="U44">
            <v>0</v>
          </cell>
          <cell r="V44">
            <v>0</v>
          </cell>
          <cell r="W44">
            <v>0</v>
          </cell>
          <cell r="X44">
            <v>0</v>
          </cell>
          <cell r="Y44">
            <v>0</v>
          </cell>
          <cell r="Z44">
            <v>0</v>
          </cell>
          <cell r="AA44">
            <v>0</v>
          </cell>
          <cell r="AB44">
            <v>0</v>
          </cell>
          <cell r="AC44">
            <v>0</v>
          </cell>
        </row>
        <row r="45">
          <cell r="A45">
            <v>0</v>
          </cell>
          <cell r="B45">
            <v>7</v>
          </cell>
          <cell r="C45" t="str">
            <v>FW</v>
          </cell>
          <cell r="D45" t="str">
            <v>木村 晋志</v>
          </cell>
          <cell r="E45">
            <v>0</v>
          </cell>
          <cell r="F45" t="str">
            <v>きむら しんじ</v>
          </cell>
          <cell r="G45">
            <v>0</v>
          </cell>
          <cell r="H45">
            <v>0</v>
          </cell>
          <cell r="I45">
            <v>3</v>
          </cell>
          <cell r="K45">
            <v>0</v>
          </cell>
          <cell r="L45">
            <v>6</v>
          </cell>
          <cell r="M45" t="str">
            <v>MF</v>
          </cell>
          <cell r="N45" t="str">
            <v>渡邉 光稀</v>
          </cell>
          <cell r="O45">
            <v>0</v>
          </cell>
          <cell r="P45" t="str">
            <v>わたなべ こうき</v>
          </cell>
          <cell r="Q45">
            <v>0</v>
          </cell>
          <cell r="R45">
            <v>0</v>
          </cell>
          <cell r="S45">
            <v>2</v>
          </cell>
          <cell r="U45">
            <v>0</v>
          </cell>
          <cell r="V45">
            <v>0</v>
          </cell>
          <cell r="W45">
            <v>0</v>
          </cell>
          <cell r="X45">
            <v>0</v>
          </cell>
          <cell r="Y45">
            <v>0</v>
          </cell>
          <cell r="Z45">
            <v>0</v>
          </cell>
          <cell r="AA45">
            <v>0</v>
          </cell>
          <cell r="AB45">
            <v>0</v>
          </cell>
          <cell r="AC45">
            <v>0</v>
          </cell>
        </row>
        <row r="46">
          <cell r="A46">
            <v>0</v>
          </cell>
          <cell r="B46">
            <v>8</v>
          </cell>
          <cell r="C46" t="str">
            <v>MF</v>
          </cell>
          <cell r="D46" t="str">
            <v>三浦 和生</v>
          </cell>
          <cell r="E46">
            <v>0</v>
          </cell>
          <cell r="F46" t="str">
            <v>みうら かずき</v>
          </cell>
          <cell r="G46">
            <v>0</v>
          </cell>
          <cell r="H46">
            <v>0</v>
          </cell>
          <cell r="I46">
            <v>2</v>
          </cell>
          <cell r="K46">
            <v>0</v>
          </cell>
          <cell r="L46">
            <v>7</v>
          </cell>
          <cell r="M46" t="str">
            <v>MF</v>
          </cell>
          <cell r="N46" t="str">
            <v>三上 大輔</v>
          </cell>
          <cell r="O46">
            <v>0</v>
          </cell>
          <cell r="P46" t="str">
            <v>みかみ だいすけ</v>
          </cell>
          <cell r="Q46">
            <v>0</v>
          </cell>
          <cell r="R46">
            <v>0</v>
          </cell>
          <cell r="S46">
            <v>3</v>
          </cell>
          <cell r="U46">
            <v>0</v>
          </cell>
          <cell r="V46">
            <v>0</v>
          </cell>
          <cell r="W46">
            <v>0</v>
          </cell>
          <cell r="X46">
            <v>0</v>
          </cell>
          <cell r="Y46">
            <v>0</v>
          </cell>
          <cell r="Z46">
            <v>0</v>
          </cell>
          <cell r="AA46">
            <v>0</v>
          </cell>
          <cell r="AB46">
            <v>0</v>
          </cell>
          <cell r="AC46">
            <v>0</v>
          </cell>
        </row>
        <row r="47">
          <cell r="A47">
            <v>0</v>
          </cell>
          <cell r="B47">
            <v>9</v>
          </cell>
          <cell r="C47" t="str">
            <v>FW</v>
          </cell>
          <cell r="D47" t="str">
            <v>堀江 悠太</v>
          </cell>
          <cell r="E47">
            <v>0</v>
          </cell>
          <cell r="F47" t="str">
            <v>ほりえ ゆうた</v>
          </cell>
          <cell r="G47">
            <v>0</v>
          </cell>
          <cell r="H47">
            <v>0</v>
          </cell>
          <cell r="I47">
            <v>2</v>
          </cell>
          <cell r="K47">
            <v>0</v>
          </cell>
          <cell r="L47">
            <v>8</v>
          </cell>
          <cell r="M47" t="str">
            <v>MF</v>
          </cell>
          <cell r="N47" t="str">
            <v>中林 大夢</v>
          </cell>
          <cell r="O47">
            <v>0</v>
          </cell>
          <cell r="P47" t="str">
            <v>なかばやし ひろむ</v>
          </cell>
          <cell r="Q47">
            <v>0</v>
          </cell>
          <cell r="R47">
            <v>0</v>
          </cell>
          <cell r="S47">
            <v>3</v>
          </cell>
          <cell r="U47">
            <v>0</v>
          </cell>
          <cell r="V47">
            <v>0</v>
          </cell>
          <cell r="W47">
            <v>0</v>
          </cell>
          <cell r="X47">
            <v>0</v>
          </cell>
          <cell r="Y47">
            <v>0</v>
          </cell>
          <cell r="Z47">
            <v>0</v>
          </cell>
          <cell r="AA47">
            <v>0</v>
          </cell>
          <cell r="AB47">
            <v>0</v>
          </cell>
          <cell r="AC47">
            <v>0</v>
          </cell>
        </row>
        <row r="48">
          <cell r="A48">
            <v>0</v>
          </cell>
          <cell r="B48">
            <v>10</v>
          </cell>
          <cell r="C48" t="str">
            <v>MF</v>
          </cell>
          <cell r="D48" t="str">
            <v>髙橋 遼平</v>
          </cell>
          <cell r="E48">
            <v>0</v>
          </cell>
          <cell r="F48" t="str">
            <v>たかはし りょうへい</v>
          </cell>
          <cell r="G48">
            <v>0</v>
          </cell>
          <cell r="H48">
            <v>0</v>
          </cell>
          <cell r="I48">
            <v>3</v>
          </cell>
          <cell r="K48">
            <v>0</v>
          </cell>
          <cell r="L48">
            <v>9</v>
          </cell>
          <cell r="M48" t="str">
            <v>FW</v>
          </cell>
          <cell r="N48" t="str">
            <v>松澤 佑哉</v>
          </cell>
          <cell r="O48">
            <v>0</v>
          </cell>
          <cell r="P48" t="str">
            <v>まつざわ ゆうや</v>
          </cell>
          <cell r="Q48">
            <v>0</v>
          </cell>
          <cell r="R48">
            <v>0</v>
          </cell>
          <cell r="S48">
            <v>3</v>
          </cell>
          <cell r="U48">
            <v>0</v>
          </cell>
          <cell r="V48">
            <v>0</v>
          </cell>
          <cell r="W48">
            <v>0</v>
          </cell>
          <cell r="X48">
            <v>0</v>
          </cell>
          <cell r="Y48">
            <v>0</v>
          </cell>
          <cell r="Z48">
            <v>0</v>
          </cell>
          <cell r="AA48">
            <v>0</v>
          </cell>
          <cell r="AB48">
            <v>0</v>
          </cell>
          <cell r="AC48">
            <v>0</v>
          </cell>
        </row>
        <row r="49">
          <cell r="A49">
            <v>0</v>
          </cell>
          <cell r="B49">
            <v>11</v>
          </cell>
          <cell r="C49" t="str">
            <v>FW</v>
          </cell>
          <cell r="D49" t="str">
            <v>角谷 宗一郎</v>
          </cell>
          <cell r="E49">
            <v>0</v>
          </cell>
          <cell r="F49" t="str">
            <v>かくたに そういちろう</v>
          </cell>
          <cell r="G49">
            <v>0</v>
          </cell>
          <cell r="H49">
            <v>0</v>
          </cell>
          <cell r="I49">
            <v>3</v>
          </cell>
          <cell r="K49">
            <v>0</v>
          </cell>
          <cell r="L49">
            <v>10</v>
          </cell>
          <cell r="M49" t="str">
            <v>MF</v>
          </cell>
          <cell r="N49" t="str">
            <v>河村 健斗</v>
          </cell>
          <cell r="O49">
            <v>0</v>
          </cell>
          <cell r="P49" t="str">
            <v>かわむら けんと</v>
          </cell>
          <cell r="Q49">
            <v>0</v>
          </cell>
          <cell r="R49">
            <v>0</v>
          </cell>
          <cell r="S49">
            <v>3</v>
          </cell>
          <cell r="U49">
            <v>0</v>
          </cell>
          <cell r="V49">
            <v>0</v>
          </cell>
          <cell r="W49">
            <v>0</v>
          </cell>
          <cell r="X49">
            <v>0</v>
          </cell>
          <cell r="Y49">
            <v>0</v>
          </cell>
          <cell r="Z49">
            <v>0</v>
          </cell>
          <cell r="AA49">
            <v>0</v>
          </cell>
          <cell r="AB49">
            <v>0</v>
          </cell>
          <cell r="AC49">
            <v>0</v>
          </cell>
        </row>
        <row r="50">
          <cell r="A50">
            <v>0</v>
          </cell>
          <cell r="B50">
            <v>14</v>
          </cell>
          <cell r="C50" t="str">
            <v>DF</v>
          </cell>
          <cell r="D50" t="str">
            <v>高本 康平</v>
          </cell>
          <cell r="E50">
            <v>0</v>
          </cell>
          <cell r="F50" t="str">
            <v>たかもと こうへい</v>
          </cell>
          <cell r="G50">
            <v>0</v>
          </cell>
          <cell r="H50">
            <v>0</v>
          </cell>
          <cell r="I50">
            <v>2</v>
          </cell>
          <cell r="K50">
            <v>0</v>
          </cell>
          <cell r="L50">
            <v>11</v>
          </cell>
          <cell r="M50" t="str">
            <v>FW</v>
          </cell>
          <cell r="N50" t="str">
            <v>渡邊 律己</v>
          </cell>
          <cell r="O50">
            <v>0</v>
          </cell>
          <cell r="P50" t="str">
            <v>わたなべ りつき</v>
          </cell>
          <cell r="Q50">
            <v>0</v>
          </cell>
          <cell r="R50">
            <v>0</v>
          </cell>
          <cell r="S50">
            <v>3</v>
          </cell>
          <cell r="U50">
            <v>0</v>
          </cell>
          <cell r="V50">
            <v>0</v>
          </cell>
          <cell r="W50">
            <v>0</v>
          </cell>
          <cell r="X50">
            <v>0</v>
          </cell>
          <cell r="Y50">
            <v>0</v>
          </cell>
          <cell r="Z50">
            <v>0</v>
          </cell>
          <cell r="AA50">
            <v>0</v>
          </cell>
          <cell r="AB50">
            <v>0</v>
          </cell>
          <cell r="AC50">
            <v>0</v>
          </cell>
        </row>
        <row r="51">
          <cell r="A51">
            <v>0</v>
          </cell>
          <cell r="B51">
            <v>15</v>
          </cell>
          <cell r="C51" t="str">
            <v>DF</v>
          </cell>
          <cell r="D51" t="str">
            <v>渡邊 将伍</v>
          </cell>
          <cell r="E51">
            <v>0</v>
          </cell>
          <cell r="F51" t="str">
            <v>わたなべ しょうご</v>
          </cell>
          <cell r="G51">
            <v>0</v>
          </cell>
          <cell r="H51">
            <v>0</v>
          </cell>
          <cell r="I51">
            <v>3</v>
          </cell>
          <cell r="K51">
            <v>0</v>
          </cell>
          <cell r="L51">
            <v>12</v>
          </cell>
          <cell r="M51" t="str">
            <v>DF</v>
          </cell>
          <cell r="N51" t="str">
            <v>山下 彰</v>
          </cell>
          <cell r="O51">
            <v>0</v>
          </cell>
          <cell r="P51" t="str">
            <v>やました あきら</v>
          </cell>
          <cell r="Q51">
            <v>0</v>
          </cell>
          <cell r="R51">
            <v>0</v>
          </cell>
          <cell r="S51">
            <v>3</v>
          </cell>
          <cell r="U51">
            <v>0</v>
          </cell>
          <cell r="V51">
            <v>0</v>
          </cell>
          <cell r="W51">
            <v>0</v>
          </cell>
          <cell r="X51">
            <v>0</v>
          </cell>
          <cell r="Y51">
            <v>0</v>
          </cell>
          <cell r="Z51">
            <v>0</v>
          </cell>
          <cell r="AA51">
            <v>0</v>
          </cell>
          <cell r="AB51">
            <v>0</v>
          </cell>
          <cell r="AC51">
            <v>0</v>
          </cell>
        </row>
        <row r="52">
          <cell r="A52">
            <v>0</v>
          </cell>
          <cell r="B52">
            <v>16</v>
          </cell>
          <cell r="C52" t="str">
            <v>DF</v>
          </cell>
          <cell r="D52" t="str">
            <v>渋谷 優太</v>
          </cell>
          <cell r="E52">
            <v>0</v>
          </cell>
          <cell r="F52" t="str">
            <v>しぶや ゆうた</v>
          </cell>
          <cell r="G52">
            <v>0</v>
          </cell>
          <cell r="H52">
            <v>0</v>
          </cell>
          <cell r="I52">
            <v>2</v>
          </cell>
          <cell r="K52">
            <v>0</v>
          </cell>
          <cell r="L52">
            <v>13</v>
          </cell>
          <cell r="M52" t="str">
            <v>MF</v>
          </cell>
          <cell r="N52" t="str">
            <v>有賀 恭介</v>
          </cell>
          <cell r="O52">
            <v>0</v>
          </cell>
          <cell r="P52" t="str">
            <v>ありが きょうすけ</v>
          </cell>
          <cell r="Q52">
            <v>0</v>
          </cell>
          <cell r="R52">
            <v>0</v>
          </cell>
          <cell r="S52">
            <v>3</v>
          </cell>
          <cell r="U52">
            <v>0</v>
          </cell>
          <cell r="V52">
            <v>0</v>
          </cell>
          <cell r="W52">
            <v>0</v>
          </cell>
          <cell r="X52">
            <v>0</v>
          </cell>
          <cell r="Y52">
            <v>0</v>
          </cell>
          <cell r="Z52">
            <v>0</v>
          </cell>
          <cell r="AA52">
            <v>0</v>
          </cell>
          <cell r="AB52">
            <v>0</v>
          </cell>
          <cell r="AC52">
            <v>0</v>
          </cell>
        </row>
        <row r="53">
          <cell r="A53">
            <v>0</v>
          </cell>
          <cell r="B53">
            <v>17</v>
          </cell>
          <cell r="C53" t="str">
            <v>MF</v>
          </cell>
          <cell r="D53" t="str">
            <v>伊藤惠一郎</v>
          </cell>
          <cell r="E53">
            <v>0</v>
          </cell>
          <cell r="F53" t="str">
            <v>いとう けいいちろう</v>
          </cell>
          <cell r="G53">
            <v>0</v>
          </cell>
          <cell r="H53">
            <v>0</v>
          </cell>
          <cell r="I53">
            <v>2</v>
          </cell>
          <cell r="K53">
            <v>0</v>
          </cell>
          <cell r="L53">
            <v>14</v>
          </cell>
          <cell r="M53" t="str">
            <v>FW</v>
          </cell>
          <cell r="N53" t="str">
            <v>肴倉 輝和</v>
          </cell>
          <cell r="O53">
            <v>0</v>
          </cell>
          <cell r="P53" t="str">
            <v>さかなくら てるかず</v>
          </cell>
          <cell r="Q53">
            <v>0</v>
          </cell>
          <cell r="R53">
            <v>0</v>
          </cell>
          <cell r="S53">
            <v>3</v>
          </cell>
          <cell r="U53">
            <v>0</v>
          </cell>
          <cell r="V53">
            <v>0</v>
          </cell>
          <cell r="W53">
            <v>0</v>
          </cell>
          <cell r="X53">
            <v>0</v>
          </cell>
          <cell r="Y53">
            <v>0</v>
          </cell>
          <cell r="Z53">
            <v>0</v>
          </cell>
          <cell r="AA53">
            <v>0</v>
          </cell>
          <cell r="AB53">
            <v>0</v>
          </cell>
          <cell r="AC53">
            <v>0</v>
          </cell>
        </row>
        <row r="54">
          <cell r="A54">
            <v>0</v>
          </cell>
          <cell r="B54">
            <v>22</v>
          </cell>
          <cell r="C54" t="str">
            <v>MF</v>
          </cell>
          <cell r="D54" t="str">
            <v>孫谷 陸斗</v>
          </cell>
          <cell r="E54">
            <v>0</v>
          </cell>
          <cell r="F54" t="str">
            <v>まごたに りくと</v>
          </cell>
          <cell r="G54">
            <v>0</v>
          </cell>
          <cell r="H54">
            <v>0</v>
          </cell>
          <cell r="I54">
            <v>2</v>
          </cell>
          <cell r="K54">
            <v>0</v>
          </cell>
          <cell r="L54">
            <v>15</v>
          </cell>
          <cell r="M54" t="str">
            <v>DF</v>
          </cell>
          <cell r="N54" t="str">
            <v>坂本 樹</v>
          </cell>
          <cell r="O54">
            <v>0</v>
          </cell>
          <cell r="P54" t="str">
            <v>さかもと たつき</v>
          </cell>
          <cell r="Q54">
            <v>0</v>
          </cell>
          <cell r="R54">
            <v>0</v>
          </cell>
          <cell r="S54">
            <v>3</v>
          </cell>
          <cell r="U54">
            <v>0</v>
          </cell>
          <cell r="V54">
            <v>0</v>
          </cell>
          <cell r="W54">
            <v>0</v>
          </cell>
          <cell r="X54">
            <v>0</v>
          </cell>
          <cell r="Y54">
            <v>0</v>
          </cell>
          <cell r="Z54">
            <v>0</v>
          </cell>
          <cell r="AA54">
            <v>0</v>
          </cell>
          <cell r="AB54">
            <v>0</v>
          </cell>
          <cell r="AC54">
            <v>0</v>
          </cell>
        </row>
        <row r="55">
          <cell r="A55">
            <v>0</v>
          </cell>
          <cell r="B55">
            <v>25</v>
          </cell>
          <cell r="C55" t="str">
            <v>FW</v>
          </cell>
          <cell r="D55" t="str">
            <v>熊谷 俊希</v>
          </cell>
          <cell r="E55">
            <v>0</v>
          </cell>
          <cell r="F55" t="str">
            <v>くまがい としき</v>
          </cell>
          <cell r="G55">
            <v>0</v>
          </cell>
          <cell r="H55">
            <v>0</v>
          </cell>
          <cell r="I55">
            <v>2</v>
          </cell>
          <cell r="K55">
            <v>0</v>
          </cell>
          <cell r="L55">
            <v>16</v>
          </cell>
          <cell r="M55" t="str">
            <v>DF</v>
          </cell>
          <cell r="N55" t="str">
            <v>岩堀 智也</v>
          </cell>
          <cell r="O55">
            <v>0</v>
          </cell>
          <cell r="P55" t="str">
            <v>いわほり ともや</v>
          </cell>
          <cell r="Q55">
            <v>0</v>
          </cell>
          <cell r="R55">
            <v>0</v>
          </cell>
          <cell r="S55">
            <v>3</v>
          </cell>
          <cell r="U55">
            <v>0</v>
          </cell>
          <cell r="V55">
            <v>0</v>
          </cell>
          <cell r="W55">
            <v>0</v>
          </cell>
          <cell r="X55">
            <v>0</v>
          </cell>
          <cell r="Y55">
            <v>0</v>
          </cell>
          <cell r="Z55">
            <v>0</v>
          </cell>
          <cell r="AA55">
            <v>0</v>
          </cell>
          <cell r="AB55">
            <v>0</v>
          </cell>
          <cell r="AC55">
            <v>0</v>
          </cell>
        </row>
        <row r="56">
          <cell r="A56">
            <v>0</v>
          </cell>
          <cell r="B56">
            <v>0</v>
          </cell>
          <cell r="C56">
            <v>0</v>
          </cell>
          <cell r="D56">
            <v>0</v>
          </cell>
          <cell r="E56">
            <v>0</v>
          </cell>
          <cell r="F56">
            <v>0</v>
          </cell>
          <cell r="G56">
            <v>0</v>
          </cell>
          <cell r="H56">
            <v>0</v>
          </cell>
          <cell r="I56">
            <v>0</v>
          </cell>
          <cell r="K56">
            <v>0</v>
          </cell>
          <cell r="L56">
            <v>17</v>
          </cell>
          <cell r="M56" t="str">
            <v>MF</v>
          </cell>
          <cell r="N56" t="str">
            <v>矢谷 彰汰</v>
          </cell>
          <cell r="O56">
            <v>0</v>
          </cell>
          <cell r="P56" t="str">
            <v>やや しょうた</v>
          </cell>
          <cell r="Q56">
            <v>0</v>
          </cell>
          <cell r="R56">
            <v>0</v>
          </cell>
          <cell r="S56">
            <v>3</v>
          </cell>
          <cell r="U56">
            <v>0</v>
          </cell>
          <cell r="V56">
            <v>0</v>
          </cell>
          <cell r="W56">
            <v>0</v>
          </cell>
          <cell r="X56">
            <v>0</v>
          </cell>
          <cell r="Y56">
            <v>0</v>
          </cell>
          <cell r="Z56">
            <v>0</v>
          </cell>
          <cell r="AA56">
            <v>0</v>
          </cell>
          <cell r="AB56">
            <v>0</v>
          </cell>
          <cell r="AC56">
            <v>0</v>
          </cell>
        </row>
        <row r="57">
          <cell r="A57">
            <v>0</v>
          </cell>
          <cell r="B57">
            <v>0</v>
          </cell>
          <cell r="C57">
            <v>0</v>
          </cell>
          <cell r="D57">
            <v>0</v>
          </cell>
          <cell r="E57">
            <v>0</v>
          </cell>
          <cell r="F57">
            <v>0</v>
          </cell>
          <cell r="G57">
            <v>0</v>
          </cell>
          <cell r="H57">
            <v>0</v>
          </cell>
          <cell r="I57">
            <v>0</v>
          </cell>
          <cell r="K57">
            <v>0</v>
          </cell>
          <cell r="L57">
            <v>18</v>
          </cell>
          <cell r="M57" t="str">
            <v>GK</v>
          </cell>
          <cell r="N57" t="str">
            <v>藤本 魁斗</v>
          </cell>
          <cell r="O57">
            <v>0</v>
          </cell>
          <cell r="P57" t="str">
            <v>ふじもと かいと</v>
          </cell>
          <cell r="Q57">
            <v>0</v>
          </cell>
          <cell r="R57">
            <v>0</v>
          </cell>
          <cell r="S57">
            <v>2</v>
          </cell>
          <cell r="U57">
            <v>0</v>
          </cell>
          <cell r="V57">
            <v>0</v>
          </cell>
          <cell r="W57">
            <v>0</v>
          </cell>
          <cell r="X57">
            <v>0</v>
          </cell>
          <cell r="Y57">
            <v>0</v>
          </cell>
          <cell r="Z57">
            <v>0</v>
          </cell>
          <cell r="AA57">
            <v>0</v>
          </cell>
          <cell r="AB57">
            <v>0</v>
          </cell>
          <cell r="AC57">
            <v>0</v>
          </cell>
        </row>
        <row r="58">
          <cell r="U58">
            <v>0</v>
          </cell>
          <cell r="V58">
            <v>0</v>
          </cell>
          <cell r="W58">
            <v>0</v>
          </cell>
          <cell r="X58">
            <v>0</v>
          </cell>
          <cell r="Y58">
            <v>0</v>
          </cell>
          <cell r="Z58">
            <v>0</v>
          </cell>
          <cell r="AA58">
            <v>0</v>
          </cell>
          <cell r="AB58">
            <v>0</v>
          </cell>
          <cell r="AC58">
            <v>0</v>
          </cell>
        </row>
        <row r="59">
          <cell r="B59" t="str">
            <v>ユニフォーム</v>
          </cell>
          <cell r="C59">
            <v>0</v>
          </cell>
          <cell r="D59" t="str">
            <v>FP 正</v>
          </cell>
          <cell r="E59" t="str">
            <v>FP 副</v>
          </cell>
          <cell r="F59">
            <v>0</v>
          </cell>
          <cell r="G59" t="str">
            <v>GK 正</v>
          </cell>
          <cell r="H59" t="str">
            <v>GK 副</v>
          </cell>
          <cell r="I59">
            <v>0</v>
          </cell>
          <cell r="L59" t="str">
            <v>ユニフォーム</v>
          </cell>
          <cell r="M59">
            <v>0</v>
          </cell>
          <cell r="N59" t="str">
            <v>FP 正</v>
          </cell>
          <cell r="O59" t="str">
            <v>FP 副</v>
          </cell>
          <cell r="P59">
            <v>0</v>
          </cell>
          <cell r="Q59" t="str">
            <v>GK 正</v>
          </cell>
          <cell r="R59" t="str">
            <v>GK 副</v>
          </cell>
          <cell r="S59">
            <v>0</v>
          </cell>
          <cell r="U59">
            <v>0</v>
          </cell>
          <cell r="V59">
            <v>0</v>
          </cell>
          <cell r="W59">
            <v>0</v>
          </cell>
          <cell r="X59">
            <v>0</v>
          </cell>
          <cell r="Y59">
            <v>0</v>
          </cell>
          <cell r="Z59">
            <v>0</v>
          </cell>
          <cell r="AA59">
            <v>0</v>
          </cell>
          <cell r="AB59">
            <v>0</v>
          </cell>
          <cell r="AC59">
            <v>0</v>
          </cell>
        </row>
        <row r="60">
          <cell r="B60" t="str">
            <v>シャツ</v>
          </cell>
          <cell r="C60">
            <v>0</v>
          </cell>
          <cell r="D60" t="str">
            <v>青</v>
          </cell>
          <cell r="E60" t="str">
            <v>白</v>
          </cell>
          <cell r="F60">
            <v>0</v>
          </cell>
          <cell r="G60" t="str">
            <v>グレー</v>
          </cell>
          <cell r="H60" t="str">
            <v>黄</v>
          </cell>
          <cell r="I60">
            <v>0</v>
          </cell>
          <cell r="L60" t="str">
            <v>シャツ</v>
          </cell>
          <cell r="M60">
            <v>0</v>
          </cell>
          <cell r="N60" t="str">
            <v>青</v>
          </cell>
          <cell r="O60" t="str">
            <v>白</v>
          </cell>
          <cell r="P60">
            <v>0</v>
          </cell>
          <cell r="Q60" t="str">
            <v>灰</v>
          </cell>
          <cell r="R60" t="str">
            <v>赤</v>
          </cell>
          <cell r="S60">
            <v>0</v>
          </cell>
          <cell r="U60">
            <v>0</v>
          </cell>
          <cell r="V60">
            <v>0</v>
          </cell>
          <cell r="W60">
            <v>0</v>
          </cell>
          <cell r="X60">
            <v>0</v>
          </cell>
          <cell r="Y60">
            <v>0</v>
          </cell>
          <cell r="Z60">
            <v>0</v>
          </cell>
          <cell r="AA60">
            <v>0</v>
          </cell>
          <cell r="AB60">
            <v>0</v>
          </cell>
          <cell r="AC60">
            <v>0</v>
          </cell>
        </row>
        <row r="61">
          <cell r="B61" t="str">
            <v>パンツ</v>
          </cell>
          <cell r="C61">
            <v>0</v>
          </cell>
          <cell r="D61" t="str">
            <v>青</v>
          </cell>
          <cell r="E61" t="str">
            <v>白</v>
          </cell>
          <cell r="F61">
            <v>0</v>
          </cell>
          <cell r="G61" t="str">
            <v>グレー</v>
          </cell>
          <cell r="H61" t="str">
            <v>黄</v>
          </cell>
          <cell r="I61">
            <v>0</v>
          </cell>
          <cell r="L61" t="str">
            <v>パンツ</v>
          </cell>
          <cell r="M61">
            <v>0</v>
          </cell>
          <cell r="N61" t="str">
            <v>青</v>
          </cell>
          <cell r="O61" t="str">
            <v>白</v>
          </cell>
          <cell r="P61">
            <v>0</v>
          </cell>
          <cell r="Q61" t="str">
            <v>灰</v>
          </cell>
          <cell r="R61" t="str">
            <v>黒</v>
          </cell>
          <cell r="S61">
            <v>0</v>
          </cell>
          <cell r="U61">
            <v>0</v>
          </cell>
          <cell r="V61">
            <v>0</v>
          </cell>
          <cell r="W61">
            <v>0</v>
          </cell>
          <cell r="X61">
            <v>0</v>
          </cell>
          <cell r="Y61">
            <v>0</v>
          </cell>
          <cell r="Z61">
            <v>0</v>
          </cell>
          <cell r="AA61">
            <v>0</v>
          </cell>
          <cell r="AB61">
            <v>0</v>
          </cell>
          <cell r="AC61">
            <v>0</v>
          </cell>
        </row>
        <row r="62">
          <cell r="B62" t="str">
            <v>ストッキング</v>
          </cell>
          <cell r="C62">
            <v>0</v>
          </cell>
          <cell r="D62" t="str">
            <v>青</v>
          </cell>
          <cell r="E62" t="str">
            <v>白</v>
          </cell>
          <cell r="F62">
            <v>0</v>
          </cell>
          <cell r="G62" t="str">
            <v>グレー</v>
          </cell>
          <cell r="H62" t="str">
            <v>黄</v>
          </cell>
          <cell r="I62">
            <v>0</v>
          </cell>
          <cell r="L62" t="str">
            <v>ストッキング</v>
          </cell>
          <cell r="M62">
            <v>0</v>
          </cell>
          <cell r="N62" t="str">
            <v>青</v>
          </cell>
          <cell r="O62" t="str">
            <v>白</v>
          </cell>
          <cell r="P62">
            <v>0</v>
          </cell>
          <cell r="Q62" t="str">
            <v>灰</v>
          </cell>
          <cell r="R62" t="str">
            <v>赤</v>
          </cell>
          <cell r="S62">
            <v>0</v>
          </cell>
          <cell r="U62">
            <v>0</v>
          </cell>
          <cell r="V62">
            <v>0</v>
          </cell>
          <cell r="W62">
            <v>0</v>
          </cell>
          <cell r="X62">
            <v>0</v>
          </cell>
          <cell r="Y62">
            <v>0</v>
          </cell>
          <cell r="Z62">
            <v>0</v>
          </cell>
          <cell r="AA62">
            <v>0</v>
          </cell>
          <cell r="AB62">
            <v>0</v>
          </cell>
          <cell r="AC62">
            <v>0</v>
          </cell>
        </row>
        <row r="63">
          <cell r="B63" t="str">
            <v>富山県代表 県大会第１位</v>
          </cell>
          <cell r="C63">
            <v>0</v>
          </cell>
          <cell r="D63">
            <v>0</v>
          </cell>
          <cell r="E63">
            <v>0</v>
          </cell>
          <cell r="F63">
            <v>0</v>
          </cell>
          <cell r="G63">
            <v>0</v>
          </cell>
          <cell r="H63">
            <v>0</v>
          </cell>
          <cell r="I63">
            <v>0</v>
          </cell>
          <cell r="L63" t="str">
            <v>富山県代表 県大会第２位</v>
          </cell>
          <cell r="M63">
            <v>0</v>
          </cell>
          <cell r="N63">
            <v>0</v>
          </cell>
          <cell r="O63">
            <v>0</v>
          </cell>
          <cell r="P63">
            <v>0</v>
          </cell>
          <cell r="Q63">
            <v>0</v>
          </cell>
          <cell r="R63">
            <v>0</v>
          </cell>
          <cell r="S63">
            <v>0</v>
          </cell>
          <cell r="U63">
            <v>0</v>
          </cell>
          <cell r="V63">
            <v>0</v>
          </cell>
          <cell r="W63">
            <v>0</v>
          </cell>
          <cell r="X63">
            <v>0</v>
          </cell>
          <cell r="Y63">
            <v>0</v>
          </cell>
          <cell r="Z63">
            <v>0</v>
          </cell>
          <cell r="AA63">
            <v>0</v>
          </cell>
          <cell r="AB63">
            <v>0</v>
          </cell>
          <cell r="AC63">
            <v>0</v>
          </cell>
        </row>
        <row r="64">
          <cell r="B64" t="str">
            <v>富山市立速星中学校</v>
          </cell>
          <cell r="C64">
            <v>0</v>
          </cell>
          <cell r="D64">
            <v>0</v>
          </cell>
          <cell r="E64">
            <v>0</v>
          </cell>
          <cell r="F64">
            <v>0</v>
          </cell>
          <cell r="G64">
            <v>0</v>
          </cell>
          <cell r="H64">
            <v>0</v>
          </cell>
          <cell r="I64">
            <v>0</v>
          </cell>
          <cell r="L64" t="str">
            <v>富山大学人間発達科学部附属中学校</v>
          </cell>
          <cell r="M64">
            <v>0</v>
          </cell>
          <cell r="N64">
            <v>0</v>
          </cell>
          <cell r="O64">
            <v>0</v>
          </cell>
          <cell r="P64">
            <v>0</v>
          </cell>
          <cell r="Q64">
            <v>0</v>
          </cell>
          <cell r="R64">
            <v>0</v>
          </cell>
          <cell r="S64">
            <v>0</v>
          </cell>
          <cell r="U64">
            <v>0</v>
          </cell>
          <cell r="V64">
            <v>0</v>
          </cell>
          <cell r="W64">
            <v>0</v>
          </cell>
          <cell r="X64">
            <v>0</v>
          </cell>
          <cell r="Y64">
            <v>0</v>
          </cell>
          <cell r="Z64">
            <v>0</v>
          </cell>
          <cell r="AA64">
            <v>0</v>
          </cell>
          <cell r="AB64">
            <v>0</v>
          </cell>
          <cell r="AC64">
            <v>0</v>
          </cell>
        </row>
        <row r="65">
          <cell r="B65" t="str">
            <v>学校所在地</v>
          </cell>
          <cell r="C65">
            <v>0</v>
          </cell>
          <cell r="D65" t="str">
            <v>富山県富山市婦中町板倉３４５－１</v>
          </cell>
          <cell r="E65">
            <v>0</v>
          </cell>
          <cell r="F65">
            <v>0</v>
          </cell>
          <cell r="G65">
            <v>0</v>
          </cell>
          <cell r="H65">
            <v>0</v>
          </cell>
          <cell r="I65">
            <v>0</v>
          </cell>
          <cell r="L65" t="str">
            <v>学校所在地</v>
          </cell>
          <cell r="M65">
            <v>0</v>
          </cell>
          <cell r="N65" t="str">
            <v>富山県富山市五艘１３００</v>
          </cell>
          <cell r="O65">
            <v>0</v>
          </cell>
          <cell r="P65">
            <v>0</v>
          </cell>
          <cell r="Q65">
            <v>0</v>
          </cell>
          <cell r="R65">
            <v>0</v>
          </cell>
          <cell r="S65">
            <v>0</v>
          </cell>
          <cell r="U65">
            <v>0</v>
          </cell>
          <cell r="V65">
            <v>0</v>
          </cell>
          <cell r="W65">
            <v>0</v>
          </cell>
          <cell r="X65">
            <v>0</v>
          </cell>
          <cell r="Y65">
            <v>0</v>
          </cell>
          <cell r="Z65">
            <v>0</v>
          </cell>
          <cell r="AA65">
            <v>0</v>
          </cell>
          <cell r="AB65">
            <v>0</v>
          </cell>
          <cell r="AC65">
            <v>0</v>
          </cell>
        </row>
        <row r="66">
          <cell r="B66" t="str">
            <v>監督</v>
          </cell>
          <cell r="C66">
            <v>0</v>
          </cell>
          <cell r="D66" t="str">
            <v>森川 誠</v>
          </cell>
          <cell r="E66">
            <v>0</v>
          </cell>
          <cell r="F66">
            <v>0</v>
          </cell>
          <cell r="G66">
            <v>0</v>
          </cell>
          <cell r="H66">
            <v>0</v>
          </cell>
          <cell r="I66">
            <v>0</v>
          </cell>
          <cell r="L66" t="str">
            <v>監督</v>
          </cell>
          <cell r="M66">
            <v>0</v>
          </cell>
          <cell r="N66" t="str">
            <v>横田 有司</v>
          </cell>
          <cell r="O66">
            <v>0</v>
          </cell>
          <cell r="P66">
            <v>0</v>
          </cell>
          <cell r="Q66">
            <v>0</v>
          </cell>
          <cell r="R66">
            <v>0</v>
          </cell>
          <cell r="S66">
            <v>0</v>
          </cell>
          <cell r="U66">
            <v>0</v>
          </cell>
          <cell r="V66">
            <v>0</v>
          </cell>
          <cell r="W66">
            <v>0</v>
          </cell>
          <cell r="X66">
            <v>0</v>
          </cell>
          <cell r="Y66">
            <v>0</v>
          </cell>
          <cell r="Z66">
            <v>0</v>
          </cell>
          <cell r="AA66">
            <v>0</v>
          </cell>
          <cell r="AB66">
            <v>0</v>
          </cell>
          <cell r="AC66">
            <v>0</v>
          </cell>
        </row>
        <row r="67">
          <cell r="B67" t="str">
            <v>コーチ</v>
          </cell>
          <cell r="C67">
            <v>0</v>
          </cell>
          <cell r="D67" t="str">
            <v>植野 昌弘</v>
          </cell>
          <cell r="E67">
            <v>0</v>
          </cell>
          <cell r="F67">
            <v>0</v>
          </cell>
          <cell r="G67">
            <v>0</v>
          </cell>
          <cell r="H67" t="str">
            <v>(教員)</v>
          </cell>
          <cell r="I67">
            <v>0</v>
          </cell>
          <cell r="L67" t="str">
            <v>コーチ</v>
          </cell>
          <cell r="M67">
            <v>0</v>
          </cell>
          <cell r="N67" t="str">
            <v>前坂 宣明</v>
          </cell>
          <cell r="O67">
            <v>0</v>
          </cell>
          <cell r="P67">
            <v>0</v>
          </cell>
          <cell r="Q67">
            <v>0</v>
          </cell>
          <cell r="R67" t="str">
            <v>(承認)</v>
          </cell>
          <cell r="S67">
            <v>0</v>
          </cell>
          <cell r="U67">
            <v>0</v>
          </cell>
          <cell r="V67">
            <v>0</v>
          </cell>
          <cell r="W67">
            <v>0</v>
          </cell>
          <cell r="X67">
            <v>0</v>
          </cell>
          <cell r="Y67">
            <v>0</v>
          </cell>
          <cell r="Z67">
            <v>0</v>
          </cell>
          <cell r="AA67">
            <v>0</v>
          </cell>
          <cell r="AB67">
            <v>0</v>
          </cell>
          <cell r="AC67">
            <v>0</v>
          </cell>
        </row>
        <row r="68">
          <cell r="B68" t="str">
            <v>マネージャー</v>
          </cell>
          <cell r="C68">
            <v>0</v>
          </cell>
          <cell r="D68">
            <v>0</v>
          </cell>
          <cell r="E68">
            <v>0</v>
          </cell>
          <cell r="F68">
            <v>0</v>
          </cell>
          <cell r="G68">
            <v>0</v>
          </cell>
          <cell r="H68">
            <v>0</v>
          </cell>
          <cell r="I68">
            <v>0</v>
          </cell>
          <cell r="L68" t="str">
            <v>マネージャー</v>
          </cell>
          <cell r="M68">
            <v>0</v>
          </cell>
          <cell r="N68" t="str">
            <v>堀 篤史</v>
          </cell>
          <cell r="O68">
            <v>0</v>
          </cell>
          <cell r="P68">
            <v>0</v>
          </cell>
          <cell r="Q68">
            <v>0</v>
          </cell>
          <cell r="R68" t="str">
            <v>(教員)</v>
          </cell>
          <cell r="S68">
            <v>0</v>
          </cell>
          <cell r="U68">
            <v>0</v>
          </cell>
          <cell r="V68">
            <v>0</v>
          </cell>
          <cell r="W68">
            <v>0</v>
          </cell>
          <cell r="X68">
            <v>0</v>
          </cell>
          <cell r="Y68">
            <v>0</v>
          </cell>
          <cell r="Z68">
            <v>0</v>
          </cell>
          <cell r="AA68">
            <v>0</v>
          </cell>
          <cell r="AB68">
            <v>0</v>
          </cell>
          <cell r="AC68">
            <v>0</v>
          </cell>
        </row>
        <row r="69">
          <cell r="D69">
            <v>0</v>
          </cell>
          <cell r="E69">
            <v>0</v>
          </cell>
          <cell r="F69">
            <v>0</v>
          </cell>
          <cell r="G69">
            <v>0</v>
          </cell>
          <cell r="H69">
            <v>0</v>
          </cell>
          <cell r="I69">
            <v>0</v>
          </cell>
          <cell r="N69">
            <v>0</v>
          </cell>
          <cell r="O69">
            <v>0</v>
          </cell>
          <cell r="P69">
            <v>0</v>
          </cell>
          <cell r="Q69">
            <v>0</v>
          </cell>
          <cell r="R69">
            <v>0</v>
          </cell>
          <cell r="S69">
            <v>0</v>
          </cell>
          <cell r="U69">
            <v>0</v>
          </cell>
          <cell r="V69">
            <v>0</v>
          </cell>
          <cell r="W69">
            <v>0</v>
          </cell>
          <cell r="X69">
            <v>0</v>
          </cell>
          <cell r="Y69">
            <v>0</v>
          </cell>
          <cell r="Z69">
            <v>0</v>
          </cell>
          <cell r="AA69">
            <v>0</v>
          </cell>
          <cell r="AB69">
            <v>0</v>
          </cell>
          <cell r="AC69">
            <v>0</v>
          </cell>
        </row>
        <row r="70">
          <cell r="A70" t="str">
            <v>先発</v>
          </cell>
          <cell r="B70" t="str">
            <v>番号</v>
          </cell>
          <cell r="C70" t="str">
            <v>位置</v>
          </cell>
          <cell r="D70" t="str">
            <v>氏名</v>
          </cell>
          <cell r="E70">
            <v>0</v>
          </cell>
          <cell r="F70" t="str">
            <v>ふりがな</v>
          </cell>
          <cell r="G70">
            <v>0</v>
          </cell>
          <cell r="H70">
            <v>0</v>
          </cell>
          <cell r="I70" t="str">
            <v>学年</v>
          </cell>
          <cell r="K70" t="str">
            <v>先発</v>
          </cell>
          <cell r="L70" t="str">
            <v>番号</v>
          </cell>
          <cell r="M70" t="str">
            <v>位置</v>
          </cell>
          <cell r="N70" t="str">
            <v>氏名</v>
          </cell>
          <cell r="O70">
            <v>0</v>
          </cell>
          <cell r="P70" t="str">
            <v>ふりがな</v>
          </cell>
          <cell r="Q70">
            <v>0</v>
          </cell>
          <cell r="R70">
            <v>0</v>
          </cell>
          <cell r="S70" t="str">
            <v>学年</v>
          </cell>
          <cell r="U70">
            <v>0</v>
          </cell>
          <cell r="V70">
            <v>0</v>
          </cell>
          <cell r="W70">
            <v>0</v>
          </cell>
          <cell r="X70">
            <v>0</v>
          </cell>
          <cell r="Y70">
            <v>0</v>
          </cell>
          <cell r="Z70">
            <v>0</v>
          </cell>
          <cell r="AA70">
            <v>0</v>
          </cell>
          <cell r="AB70">
            <v>0</v>
          </cell>
          <cell r="AC70">
            <v>0</v>
          </cell>
        </row>
        <row r="71">
          <cell r="A71">
            <v>0</v>
          </cell>
          <cell r="B71">
            <v>1</v>
          </cell>
          <cell r="C71" t="str">
            <v>GK</v>
          </cell>
          <cell r="D71" t="str">
            <v>成伯 良雅</v>
          </cell>
          <cell r="E71">
            <v>0</v>
          </cell>
          <cell r="F71" t="str">
            <v>なりき りょうが</v>
          </cell>
          <cell r="G71">
            <v>0</v>
          </cell>
          <cell r="H71">
            <v>0</v>
          </cell>
          <cell r="I71">
            <v>3</v>
          </cell>
          <cell r="K71">
            <v>0</v>
          </cell>
          <cell r="L71">
            <v>1</v>
          </cell>
          <cell r="M71" t="str">
            <v>GK</v>
          </cell>
          <cell r="N71" t="str">
            <v>新田 開</v>
          </cell>
          <cell r="O71">
            <v>0</v>
          </cell>
          <cell r="P71" t="str">
            <v>にった かい</v>
          </cell>
          <cell r="Q71">
            <v>0</v>
          </cell>
          <cell r="R71">
            <v>0</v>
          </cell>
          <cell r="S71">
            <v>3</v>
          </cell>
          <cell r="U71">
            <v>0</v>
          </cell>
          <cell r="V71">
            <v>0</v>
          </cell>
          <cell r="W71">
            <v>0</v>
          </cell>
          <cell r="X71">
            <v>0</v>
          </cell>
          <cell r="Y71">
            <v>0</v>
          </cell>
          <cell r="Z71">
            <v>0</v>
          </cell>
          <cell r="AA71">
            <v>0</v>
          </cell>
          <cell r="AB71">
            <v>0</v>
          </cell>
          <cell r="AC71">
            <v>0</v>
          </cell>
        </row>
        <row r="72">
          <cell r="A72">
            <v>0</v>
          </cell>
          <cell r="B72">
            <v>2</v>
          </cell>
          <cell r="C72" t="str">
            <v>DF</v>
          </cell>
          <cell r="D72" t="str">
            <v>飯森 涼太</v>
          </cell>
          <cell r="E72">
            <v>0</v>
          </cell>
          <cell r="F72" t="str">
            <v>いいもり りょうた</v>
          </cell>
          <cell r="G72">
            <v>0</v>
          </cell>
          <cell r="H72">
            <v>0</v>
          </cell>
          <cell r="I72">
            <v>3</v>
          </cell>
          <cell r="K72">
            <v>0</v>
          </cell>
          <cell r="L72">
            <v>2</v>
          </cell>
          <cell r="M72" t="str">
            <v>DF</v>
          </cell>
          <cell r="N72" t="str">
            <v>松井 麟太郎</v>
          </cell>
          <cell r="O72">
            <v>0</v>
          </cell>
          <cell r="P72" t="str">
            <v>まつい りんたろう</v>
          </cell>
          <cell r="Q72">
            <v>0</v>
          </cell>
          <cell r="R72">
            <v>0</v>
          </cell>
          <cell r="S72">
            <v>3</v>
          </cell>
          <cell r="U72">
            <v>0</v>
          </cell>
          <cell r="V72">
            <v>0</v>
          </cell>
          <cell r="W72">
            <v>0</v>
          </cell>
          <cell r="X72">
            <v>0</v>
          </cell>
          <cell r="Y72">
            <v>0</v>
          </cell>
          <cell r="Z72">
            <v>0</v>
          </cell>
          <cell r="AA72">
            <v>0</v>
          </cell>
          <cell r="AB72">
            <v>0</v>
          </cell>
          <cell r="AC72">
            <v>0</v>
          </cell>
        </row>
        <row r="73">
          <cell r="A73">
            <v>0</v>
          </cell>
          <cell r="B73">
            <v>3</v>
          </cell>
          <cell r="C73" t="str">
            <v>DF</v>
          </cell>
          <cell r="D73" t="str">
            <v>辻村 翼</v>
          </cell>
          <cell r="E73">
            <v>0</v>
          </cell>
          <cell r="F73" t="str">
            <v>つじむら つばさ</v>
          </cell>
          <cell r="G73">
            <v>0</v>
          </cell>
          <cell r="H73">
            <v>0</v>
          </cell>
          <cell r="I73">
            <v>3</v>
          </cell>
          <cell r="K73">
            <v>0</v>
          </cell>
          <cell r="L73">
            <v>3</v>
          </cell>
          <cell r="M73" t="str">
            <v>DF</v>
          </cell>
          <cell r="N73" t="str">
            <v>宮坂 幸希</v>
          </cell>
          <cell r="O73">
            <v>0</v>
          </cell>
          <cell r="P73" t="str">
            <v>みやさか こうき</v>
          </cell>
          <cell r="Q73">
            <v>0</v>
          </cell>
          <cell r="R73">
            <v>0</v>
          </cell>
          <cell r="S73">
            <v>3</v>
          </cell>
          <cell r="U73">
            <v>0</v>
          </cell>
          <cell r="V73">
            <v>0</v>
          </cell>
          <cell r="W73">
            <v>0</v>
          </cell>
          <cell r="X73">
            <v>0</v>
          </cell>
          <cell r="Y73">
            <v>0</v>
          </cell>
          <cell r="Z73">
            <v>0</v>
          </cell>
          <cell r="AA73">
            <v>0</v>
          </cell>
          <cell r="AB73">
            <v>0</v>
          </cell>
          <cell r="AC73">
            <v>0</v>
          </cell>
        </row>
        <row r="74">
          <cell r="A74">
            <v>0</v>
          </cell>
          <cell r="B74">
            <v>4</v>
          </cell>
          <cell r="C74" t="str">
            <v>DF</v>
          </cell>
          <cell r="D74" t="str">
            <v>川上 紫央</v>
          </cell>
          <cell r="E74">
            <v>0</v>
          </cell>
          <cell r="F74" t="str">
            <v>かわかみ しおう</v>
          </cell>
          <cell r="G74">
            <v>0</v>
          </cell>
          <cell r="H74">
            <v>0</v>
          </cell>
          <cell r="I74">
            <v>3</v>
          </cell>
          <cell r="K74">
            <v>0</v>
          </cell>
          <cell r="L74">
            <v>4</v>
          </cell>
          <cell r="M74" t="str">
            <v>FW</v>
          </cell>
          <cell r="N74" t="str">
            <v>若田 蓮</v>
          </cell>
          <cell r="O74">
            <v>0</v>
          </cell>
          <cell r="P74" t="str">
            <v>わかた れん</v>
          </cell>
          <cell r="Q74">
            <v>0</v>
          </cell>
          <cell r="R74">
            <v>0</v>
          </cell>
          <cell r="S74">
            <v>3</v>
          </cell>
          <cell r="U74">
            <v>0</v>
          </cell>
          <cell r="V74">
            <v>0</v>
          </cell>
          <cell r="W74">
            <v>0</v>
          </cell>
          <cell r="X74">
            <v>0</v>
          </cell>
          <cell r="Y74">
            <v>0</v>
          </cell>
          <cell r="Z74">
            <v>0</v>
          </cell>
          <cell r="AA74">
            <v>0</v>
          </cell>
          <cell r="AB74">
            <v>0</v>
          </cell>
          <cell r="AC74">
            <v>0</v>
          </cell>
        </row>
        <row r="75">
          <cell r="A75">
            <v>0</v>
          </cell>
          <cell r="B75">
            <v>5</v>
          </cell>
          <cell r="C75" t="str">
            <v>DF</v>
          </cell>
          <cell r="D75" t="str">
            <v>浮田 隆生</v>
          </cell>
          <cell r="E75">
            <v>0</v>
          </cell>
          <cell r="F75" t="str">
            <v>うきた りゅうき</v>
          </cell>
          <cell r="G75">
            <v>0</v>
          </cell>
          <cell r="H75">
            <v>0</v>
          </cell>
          <cell r="I75">
            <v>3</v>
          </cell>
          <cell r="K75">
            <v>0</v>
          </cell>
          <cell r="L75">
            <v>5</v>
          </cell>
          <cell r="M75" t="str">
            <v>DF</v>
          </cell>
          <cell r="N75" t="str">
            <v>木原 輝</v>
          </cell>
          <cell r="O75">
            <v>0</v>
          </cell>
          <cell r="P75" t="str">
            <v>きはら ひかる</v>
          </cell>
          <cell r="Q75">
            <v>0</v>
          </cell>
          <cell r="R75">
            <v>0</v>
          </cell>
          <cell r="S75">
            <v>3</v>
          </cell>
          <cell r="U75">
            <v>0</v>
          </cell>
          <cell r="V75">
            <v>0</v>
          </cell>
          <cell r="W75">
            <v>0</v>
          </cell>
          <cell r="X75">
            <v>0</v>
          </cell>
          <cell r="Y75">
            <v>0</v>
          </cell>
          <cell r="Z75">
            <v>0</v>
          </cell>
          <cell r="AA75">
            <v>0</v>
          </cell>
          <cell r="AB75">
            <v>0</v>
          </cell>
          <cell r="AC75">
            <v>0</v>
          </cell>
        </row>
        <row r="76">
          <cell r="A76">
            <v>0</v>
          </cell>
          <cell r="B76">
            <v>6</v>
          </cell>
          <cell r="C76" t="str">
            <v>MF</v>
          </cell>
          <cell r="D76" t="str">
            <v>髙原 康希</v>
          </cell>
          <cell r="E76">
            <v>0</v>
          </cell>
          <cell r="F76" t="str">
            <v>たかはら こうき</v>
          </cell>
          <cell r="G76">
            <v>0</v>
          </cell>
          <cell r="H76">
            <v>0</v>
          </cell>
          <cell r="I76">
            <v>3</v>
          </cell>
          <cell r="K76">
            <v>0</v>
          </cell>
          <cell r="L76">
            <v>6</v>
          </cell>
          <cell r="M76" t="str">
            <v>DF</v>
          </cell>
          <cell r="N76" t="str">
            <v>浅井 隆史</v>
          </cell>
          <cell r="O76">
            <v>0</v>
          </cell>
          <cell r="P76" t="str">
            <v>あさい たかし</v>
          </cell>
          <cell r="Q76">
            <v>0</v>
          </cell>
          <cell r="R76">
            <v>0</v>
          </cell>
          <cell r="S76">
            <v>3</v>
          </cell>
          <cell r="U76">
            <v>0</v>
          </cell>
          <cell r="V76">
            <v>0</v>
          </cell>
          <cell r="W76">
            <v>0</v>
          </cell>
          <cell r="X76">
            <v>0</v>
          </cell>
          <cell r="Y76">
            <v>0</v>
          </cell>
          <cell r="Z76">
            <v>0</v>
          </cell>
          <cell r="AA76">
            <v>0</v>
          </cell>
          <cell r="AB76">
            <v>0</v>
          </cell>
          <cell r="AC76">
            <v>0</v>
          </cell>
        </row>
        <row r="77">
          <cell r="A77">
            <v>0</v>
          </cell>
          <cell r="B77">
            <v>7</v>
          </cell>
          <cell r="C77" t="str">
            <v>MF</v>
          </cell>
          <cell r="D77" t="str">
            <v>宮崎 滉</v>
          </cell>
          <cell r="E77">
            <v>0</v>
          </cell>
          <cell r="F77" t="str">
            <v>みやざき こう</v>
          </cell>
          <cell r="G77">
            <v>0</v>
          </cell>
          <cell r="H77">
            <v>0</v>
          </cell>
          <cell r="I77">
            <v>3</v>
          </cell>
          <cell r="K77">
            <v>0</v>
          </cell>
          <cell r="L77">
            <v>7</v>
          </cell>
          <cell r="M77" t="str">
            <v>MF</v>
          </cell>
          <cell r="N77" t="str">
            <v>七澤 拓海</v>
          </cell>
          <cell r="O77">
            <v>0</v>
          </cell>
          <cell r="P77" t="str">
            <v>ななさわ たくみ</v>
          </cell>
          <cell r="Q77">
            <v>0</v>
          </cell>
          <cell r="R77">
            <v>0</v>
          </cell>
          <cell r="S77">
            <v>3</v>
          </cell>
          <cell r="U77">
            <v>0</v>
          </cell>
          <cell r="V77">
            <v>0</v>
          </cell>
          <cell r="W77">
            <v>0</v>
          </cell>
          <cell r="X77">
            <v>0</v>
          </cell>
          <cell r="Y77">
            <v>0</v>
          </cell>
          <cell r="Z77">
            <v>0</v>
          </cell>
          <cell r="AA77">
            <v>0</v>
          </cell>
          <cell r="AB77">
            <v>0</v>
          </cell>
          <cell r="AC77">
            <v>0</v>
          </cell>
        </row>
        <row r="78">
          <cell r="A78">
            <v>0</v>
          </cell>
          <cell r="B78">
            <v>8</v>
          </cell>
          <cell r="C78" t="str">
            <v>MF</v>
          </cell>
          <cell r="D78" t="str">
            <v>藤田 慎之介</v>
          </cell>
          <cell r="E78">
            <v>0</v>
          </cell>
          <cell r="F78" t="str">
            <v>ふじた しんのすけ</v>
          </cell>
          <cell r="G78">
            <v>0</v>
          </cell>
          <cell r="H78">
            <v>0</v>
          </cell>
          <cell r="I78">
            <v>3</v>
          </cell>
          <cell r="K78">
            <v>0</v>
          </cell>
          <cell r="L78">
            <v>8</v>
          </cell>
          <cell r="M78" t="str">
            <v>MF</v>
          </cell>
          <cell r="N78" t="str">
            <v>三井 尚暉</v>
          </cell>
          <cell r="O78">
            <v>0</v>
          </cell>
          <cell r="P78" t="str">
            <v>みつい なおき</v>
          </cell>
          <cell r="Q78">
            <v>0</v>
          </cell>
          <cell r="R78">
            <v>0</v>
          </cell>
          <cell r="S78">
            <v>3</v>
          </cell>
          <cell r="U78">
            <v>0</v>
          </cell>
          <cell r="V78">
            <v>0</v>
          </cell>
          <cell r="W78">
            <v>0</v>
          </cell>
          <cell r="X78">
            <v>0</v>
          </cell>
          <cell r="Y78">
            <v>0</v>
          </cell>
          <cell r="Z78">
            <v>0</v>
          </cell>
          <cell r="AA78">
            <v>0</v>
          </cell>
          <cell r="AB78">
            <v>0</v>
          </cell>
          <cell r="AC78">
            <v>0</v>
          </cell>
        </row>
        <row r="79">
          <cell r="A79">
            <v>0</v>
          </cell>
          <cell r="B79">
            <v>9</v>
          </cell>
          <cell r="C79" t="str">
            <v>MF</v>
          </cell>
          <cell r="D79" t="str">
            <v>中林 暉</v>
          </cell>
          <cell r="E79">
            <v>0</v>
          </cell>
          <cell r="F79" t="str">
            <v>なかばやし ひかる</v>
          </cell>
          <cell r="G79">
            <v>0</v>
          </cell>
          <cell r="H79">
            <v>0</v>
          </cell>
          <cell r="I79">
            <v>3</v>
          </cell>
          <cell r="K79">
            <v>0</v>
          </cell>
          <cell r="L79">
            <v>9</v>
          </cell>
          <cell r="M79" t="str">
            <v>FW</v>
          </cell>
          <cell r="N79" t="str">
            <v>髙尾 成</v>
          </cell>
          <cell r="O79">
            <v>0</v>
          </cell>
          <cell r="P79" t="str">
            <v>たかお しげる</v>
          </cell>
          <cell r="Q79">
            <v>0</v>
          </cell>
          <cell r="R79">
            <v>0</v>
          </cell>
          <cell r="S79">
            <v>3</v>
          </cell>
          <cell r="U79">
            <v>0</v>
          </cell>
          <cell r="V79">
            <v>0</v>
          </cell>
          <cell r="W79">
            <v>0</v>
          </cell>
          <cell r="X79">
            <v>0</v>
          </cell>
          <cell r="Y79">
            <v>0</v>
          </cell>
          <cell r="Z79">
            <v>0</v>
          </cell>
          <cell r="AA79">
            <v>0</v>
          </cell>
          <cell r="AB79">
            <v>0</v>
          </cell>
          <cell r="AC79">
            <v>0</v>
          </cell>
        </row>
        <row r="80">
          <cell r="A80">
            <v>0</v>
          </cell>
          <cell r="B80">
            <v>10</v>
          </cell>
          <cell r="C80" t="str">
            <v>FW</v>
          </cell>
          <cell r="D80" t="str">
            <v>小林 恵嗣</v>
          </cell>
          <cell r="E80">
            <v>0</v>
          </cell>
          <cell r="F80" t="str">
            <v>こばやし けいし</v>
          </cell>
          <cell r="G80">
            <v>0</v>
          </cell>
          <cell r="H80">
            <v>0</v>
          </cell>
          <cell r="I80">
            <v>3</v>
          </cell>
          <cell r="K80">
            <v>0</v>
          </cell>
          <cell r="L80">
            <v>10</v>
          </cell>
          <cell r="M80" t="str">
            <v>MF</v>
          </cell>
          <cell r="N80" t="str">
            <v>新田 燿</v>
          </cell>
          <cell r="O80">
            <v>0</v>
          </cell>
          <cell r="P80" t="str">
            <v>にった よう</v>
          </cell>
          <cell r="Q80">
            <v>0</v>
          </cell>
          <cell r="R80">
            <v>0</v>
          </cell>
          <cell r="S80">
            <v>3</v>
          </cell>
          <cell r="U80">
            <v>0</v>
          </cell>
          <cell r="V80">
            <v>0</v>
          </cell>
          <cell r="W80">
            <v>0</v>
          </cell>
          <cell r="X80">
            <v>0</v>
          </cell>
          <cell r="Y80">
            <v>0</v>
          </cell>
          <cell r="Z80">
            <v>0</v>
          </cell>
          <cell r="AA80">
            <v>0</v>
          </cell>
          <cell r="AB80">
            <v>0</v>
          </cell>
          <cell r="AC80">
            <v>0</v>
          </cell>
        </row>
        <row r="81">
          <cell r="A81">
            <v>0</v>
          </cell>
          <cell r="B81">
            <v>11</v>
          </cell>
          <cell r="C81" t="str">
            <v>FW</v>
          </cell>
          <cell r="D81" t="str">
            <v>山口 亨</v>
          </cell>
          <cell r="E81">
            <v>0</v>
          </cell>
          <cell r="F81" t="str">
            <v>やまぐち とおる</v>
          </cell>
          <cell r="G81">
            <v>0</v>
          </cell>
          <cell r="H81">
            <v>0</v>
          </cell>
          <cell r="I81">
            <v>3</v>
          </cell>
          <cell r="K81">
            <v>0</v>
          </cell>
          <cell r="L81">
            <v>11</v>
          </cell>
          <cell r="M81" t="str">
            <v>FW</v>
          </cell>
          <cell r="N81" t="str">
            <v>赤松 潤</v>
          </cell>
          <cell r="O81">
            <v>0</v>
          </cell>
          <cell r="P81" t="str">
            <v>あかまつ じゅん</v>
          </cell>
          <cell r="Q81">
            <v>0</v>
          </cell>
          <cell r="R81">
            <v>0</v>
          </cell>
          <cell r="S81">
            <v>3</v>
          </cell>
          <cell r="U81">
            <v>0</v>
          </cell>
          <cell r="V81">
            <v>0</v>
          </cell>
          <cell r="W81">
            <v>0</v>
          </cell>
          <cell r="X81">
            <v>0</v>
          </cell>
          <cell r="Y81">
            <v>0</v>
          </cell>
          <cell r="Z81">
            <v>0</v>
          </cell>
          <cell r="AA81">
            <v>0</v>
          </cell>
          <cell r="AB81">
            <v>0</v>
          </cell>
          <cell r="AC81">
            <v>0</v>
          </cell>
        </row>
        <row r="82">
          <cell r="A82">
            <v>0</v>
          </cell>
          <cell r="B82">
            <v>12</v>
          </cell>
          <cell r="C82" t="str">
            <v>DF</v>
          </cell>
          <cell r="D82" t="str">
            <v>岡本 大輝</v>
          </cell>
          <cell r="E82">
            <v>0</v>
          </cell>
          <cell r="F82" t="str">
            <v>おかもと だいき</v>
          </cell>
          <cell r="G82">
            <v>0</v>
          </cell>
          <cell r="H82">
            <v>0</v>
          </cell>
          <cell r="I82">
            <v>3</v>
          </cell>
          <cell r="K82">
            <v>0</v>
          </cell>
          <cell r="L82">
            <v>12</v>
          </cell>
          <cell r="M82" t="str">
            <v>GK</v>
          </cell>
          <cell r="N82" t="str">
            <v>永井 聖志郎</v>
          </cell>
          <cell r="O82">
            <v>0</v>
          </cell>
          <cell r="P82" t="str">
            <v>ながい きよしろう</v>
          </cell>
          <cell r="Q82">
            <v>0</v>
          </cell>
          <cell r="R82">
            <v>0</v>
          </cell>
          <cell r="S82">
            <v>2</v>
          </cell>
          <cell r="U82">
            <v>0</v>
          </cell>
          <cell r="V82">
            <v>0</v>
          </cell>
          <cell r="W82">
            <v>0</v>
          </cell>
          <cell r="X82">
            <v>0</v>
          </cell>
          <cell r="Y82">
            <v>0</v>
          </cell>
          <cell r="Z82">
            <v>0</v>
          </cell>
          <cell r="AA82">
            <v>0</v>
          </cell>
          <cell r="AB82">
            <v>0</v>
          </cell>
          <cell r="AC82">
            <v>0</v>
          </cell>
        </row>
        <row r="83">
          <cell r="A83">
            <v>0</v>
          </cell>
          <cell r="B83">
            <v>13</v>
          </cell>
          <cell r="C83" t="str">
            <v>DF</v>
          </cell>
          <cell r="D83" t="str">
            <v>新村 和史</v>
          </cell>
          <cell r="E83">
            <v>0</v>
          </cell>
          <cell r="F83" t="str">
            <v>しんむら かずし</v>
          </cell>
          <cell r="G83">
            <v>0</v>
          </cell>
          <cell r="H83">
            <v>0</v>
          </cell>
          <cell r="I83">
            <v>2</v>
          </cell>
          <cell r="K83">
            <v>0</v>
          </cell>
          <cell r="L83">
            <v>13</v>
          </cell>
          <cell r="M83" t="str">
            <v>DF</v>
          </cell>
          <cell r="N83" t="str">
            <v>黒澤 武史</v>
          </cell>
          <cell r="O83">
            <v>0</v>
          </cell>
          <cell r="P83" t="str">
            <v>くろさわ たけし</v>
          </cell>
          <cell r="Q83">
            <v>0</v>
          </cell>
          <cell r="R83">
            <v>0</v>
          </cell>
          <cell r="S83">
            <v>3</v>
          </cell>
          <cell r="U83">
            <v>0</v>
          </cell>
          <cell r="V83">
            <v>0</v>
          </cell>
          <cell r="W83">
            <v>0</v>
          </cell>
          <cell r="X83">
            <v>0</v>
          </cell>
          <cell r="Y83">
            <v>0</v>
          </cell>
          <cell r="Z83">
            <v>0</v>
          </cell>
          <cell r="AA83">
            <v>0</v>
          </cell>
          <cell r="AB83">
            <v>0</v>
          </cell>
          <cell r="AC83">
            <v>0</v>
          </cell>
        </row>
        <row r="84">
          <cell r="A84">
            <v>0</v>
          </cell>
          <cell r="B84">
            <v>14</v>
          </cell>
          <cell r="C84" t="str">
            <v>MF</v>
          </cell>
          <cell r="D84" t="str">
            <v>吉岡 拓真</v>
          </cell>
          <cell r="E84">
            <v>0</v>
          </cell>
          <cell r="F84" t="str">
            <v>よしおか たくま</v>
          </cell>
          <cell r="G84">
            <v>0</v>
          </cell>
          <cell r="H84">
            <v>0</v>
          </cell>
          <cell r="I84">
            <v>3</v>
          </cell>
          <cell r="K84">
            <v>0</v>
          </cell>
          <cell r="L84">
            <v>14</v>
          </cell>
          <cell r="M84" t="str">
            <v>DF</v>
          </cell>
          <cell r="N84" t="str">
            <v>牛島 一英</v>
          </cell>
          <cell r="O84">
            <v>0</v>
          </cell>
          <cell r="P84" t="str">
            <v>うしじま いちた</v>
          </cell>
          <cell r="Q84">
            <v>0</v>
          </cell>
          <cell r="R84">
            <v>0</v>
          </cell>
          <cell r="S84">
            <v>3</v>
          </cell>
          <cell r="U84">
            <v>0</v>
          </cell>
          <cell r="V84">
            <v>0</v>
          </cell>
          <cell r="W84">
            <v>0</v>
          </cell>
          <cell r="X84">
            <v>0</v>
          </cell>
          <cell r="Y84">
            <v>0</v>
          </cell>
          <cell r="Z84">
            <v>0</v>
          </cell>
          <cell r="AA84">
            <v>0</v>
          </cell>
          <cell r="AB84">
            <v>0</v>
          </cell>
          <cell r="AC84">
            <v>0</v>
          </cell>
        </row>
        <row r="85">
          <cell r="A85">
            <v>0</v>
          </cell>
          <cell r="B85">
            <v>15</v>
          </cell>
          <cell r="C85" t="str">
            <v>MF</v>
          </cell>
          <cell r="D85" t="str">
            <v>杉林 泰斗</v>
          </cell>
          <cell r="E85">
            <v>0</v>
          </cell>
          <cell r="F85" t="str">
            <v>すぎばやし たいと</v>
          </cell>
          <cell r="G85">
            <v>0</v>
          </cell>
          <cell r="H85">
            <v>0</v>
          </cell>
          <cell r="I85">
            <v>2</v>
          </cell>
          <cell r="K85">
            <v>0</v>
          </cell>
          <cell r="L85">
            <v>15</v>
          </cell>
          <cell r="M85" t="str">
            <v>FW</v>
          </cell>
          <cell r="N85" t="str">
            <v>村中 和輝</v>
          </cell>
          <cell r="O85">
            <v>0</v>
          </cell>
          <cell r="P85" t="str">
            <v>むらなか かずき</v>
          </cell>
          <cell r="Q85">
            <v>0</v>
          </cell>
          <cell r="R85">
            <v>0</v>
          </cell>
          <cell r="S85">
            <v>2</v>
          </cell>
          <cell r="U85">
            <v>0</v>
          </cell>
          <cell r="V85">
            <v>0</v>
          </cell>
          <cell r="W85">
            <v>0</v>
          </cell>
          <cell r="X85">
            <v>0</v>
          </cell>
          <cell r="Y85">
            <v>0</v>
          </cell>
          <cell r="Z85">
            <v>0</v>
          </cell>
          <cell r="AA85">
            <v>0</v>
          </cell>
          <cell r="AB85">
            <v>0</v>
          </cell>
          <cell r="AC85">
            <v>0</v>
          </cell>
        </row>
        <row r="86">
          <cell r="A86">
            <v>0</v>
          </cell>
          <cell r="B86">
            <v>16</v>
          </cell>
          <cell r="C86" t="str">
            <v>MF</v>
          </cell>
          <cell r="D86" t="str">
            <v>高松 龍聖</v>
          </cell>
          <cell r="E86">
            <v>0</v>
          </cell>
          <cell r="F86" t="str">
            <v>たかまつ りゅうせい</v>
          </cell>
          <cell r="G86">
            <v>0</v>
          </cell>
          <cell r="H86">
            <v>0</v>
          </cell>
          <cell r="I86">
            <v>2</v>
          </cell>
          <cell r="K86">
            <v>0</v>
          </cell>
          <cell r="L86">
            <v>16</v>
          </cell>
          <cell r="M86" t="str">
            <v>MF</v>
          </cell>
          <cell r="N86" t="str">
            <v>中川 拓弥</v>
          </cell>
          <cell r="O86">
            <v>0</v>
          </cell>
          <cell r="P86" t="str">
            <v>なかがわ たくや</v>
          </cell>
          <cell r="Q86">
            <v>0</v>
          </cell>
          <cell r="R86">
            <v>0</v>
          </cell>
          <cell r="S86">
            <v>2</v>
          </cell>
          <cell r="U86">
            <v>0</v>
          </cell>
          <cell r="V86">
            <v>0</v>
          </cell>
          <cell r="W86">
            <v>0</v>
          </cell>
          <cell r="X86">
            <v>0</v>
          </cell>
          <cell r="Y86">
            <v>0</v>
          </cell>
          <cell r="Z86">
            <v>0</v>
          </cell>
          <cell r="AA86">
            <v>0</v>
          </cell>
          <cell r="AB86">
            <v>0</v>
          </cell>
          <cell r="AC86">
            <v>0</v>
          </cell>
        </row>
        <row r="87">
          <cell r="A87">
            <v>0</v>
          </cell>
          <cell r="B87">
            <v>17</v>
          </cell>
          <cell r="C87" t="str">
            <v>FW</v>
          </cell>
          <cell r="D87" t="str">
            <v>喜多 渓士朗</v>
          </cell>
          <cell r="E87">
            <v>0</v>
          </cell>
          <cell r="F87" t="str">
            <v>きた けいしろう</v>
          </cell>
          <cell r="G87">
            <v>0</v>
          </cell>
          <cell r="H87">
            <v>0</v>
          </cell>
          <cell r="I87">
            <v>3</v>
          </cell>
          <cell r="K87">
            <v>0</v>
          </cell>
          <cell r="L87">
            <v>17</v>
          </cell>
          <cell r="M87" t="str">
            <v>FW</v>
          </cell>
          <cell r="N87" t="str">
            <v>吉田 龍維</v>
          </cell>
          <cell r="O87">
            <v>0</v>
          </cell>
          <cell r="P87" t="str">
            <v>よしだ たつな</v>
          </cell>
          <cell r="Q87">
            <v>0</v>
          </cell>
          <cell r="R87">
            <v>0</v>
          </cell>
          <cell r="S87">
            <v>2</v>
          </cell>
          <cell r="U87">
            <v>0</v>
          </cell>
          <cell r="V87">
            <v>0</v>
          </cell>
          <cell r="W87">
            <v>0</v>
          </cell>
          <cell r="X87">
            <v>0</v>
          </cell>
          <cell r="Y87">
            <v>0</v>
          </cell>
          <cell r="Z87">
            <v>0</v>
          </cell>
          <cell r="AA87">
            <v>0</v>
          </cell>
          <cell r="AB87">
            <v>0</v>
          </cell>
          <cell r="AC87">
            <v>0</v>
          </cell>
        </row>
        <row r="88">
          <cell r="A88">
            <v>0</v>
          </cell>
          <cell r="B88">
            <v>18</v>
          </cell>
          <cell r="C88" t="str">
            <v>GK</v>
          </cell>
          <cell r="D88" t="str">
            <v>田近 海斗</v>
          </cell>
          <cell r="E88">
            <v>0</v>
          </cell>
          <cell r="F88" t="str">
            <v>たぢか かいと</v>
          </cell>
          <cell r="G88">
            <v>0</v>
          </cell>
          <cell r="H88">
            <v>0</v>
          </cell>
          <cell r="I88">
            <v>3</v>
          </cell>
          <cell r="K88">
            <v>0</v>
          </cell>
          <cell r="L88">
            <v>18</v>
          </cell>
          <cell r="M88" t="str">
            <v>DF</v>
          </cell>
          <cell r="N88" t="str">
            <v>真下 海成</v>
          </cell>
          <cell r="O88">
            <v>0</v>
          </cell>
          <cell r="P88" t="str">
            <v>ました かいせい</v>
          </cell>
          <cell r="Q88">
            <v>0</v>
          </cell>
          <cell r="R88">
            <v>0</v>
          </cell>
          <cell r="S88">
            <v>2</v>
          </cell>
          <cell r="U88">
            <v>0</v>
          </cell>
          <cell r="V88">
            <v>0</v>
          </cell>
          <cell r="W88">
            <v>0</v>
          </cell>
          <cell r="X88">
            <v>0</v>
          </cell>
          <cell r="Y88">
            <v>0</v>
          </cell>
          <cell r="Z88">
            <v>0</v>
          </cell>
          <cell r="AA88">
            <v>0</v>
          </cell>
          <cell r="AB88">
            <v>0</v>
          </cell>
          <cell r="AC88">
            <v>0</v>
          </cell>
        </row>
        <row r="89">
          <cell r="U89">
            <v>0</v>
          </cell>
          <cell r="V89">
            <v>0</v>
          </cell>
          <cell r="W89">
            <v>0</v>
          </cell>
          <cell r="X89">
            <v>0</v>
          </cell>
          <cell r="Y89">
            <v>0</v>
          </cell>
          <cell r="Z89">
            <v>0</v>
          </cell>
          <cell r="AA89">
            <v>0</v>
          </cell>
          <cell r="AB89">
            <v>0</v>
          </cell>
          <cell r="AC89">
            <v>0</v>
          </cell>
        </row>
        <row r="90">
          <cell r="B90" t="str">
            <v>ユニフォーム</v>
          </cell>
          <cell r="C90">
            <v>0</v>
          </cell>
          <cell r="D90" t="str">
            <v>FP 正</v>
          </cell>
          <cell r="E90" t="str">
            <v>FP 副</v>
          </cell>
          <cell r="F90">
            <v>0</v>
          </cell>
          <cell r="G90" t="str">
            <v>GK 正</v>
          </cell>
          <cell r="H90" t="str">
            <v>GK 副</v>
          </cell>
          <cell r="I90">
            <v>0</v>
          </cell>
          <cell r="L90" t="str">
            <v>ユニフォーム</v>
          </cell>
          <cell r="M90">
            <v>0</v>
          </cell>
          <cell r="N90" t="str">
            <v>FP 正</v>
          </cell>
          <cell r="O90" t="str">
            <v>FP 副</v>
          </cell>
          <cell r="P90">
            <v>0</v>
          </cell>
          <cell r="Q90" t="str">
            <v>GK 正</v>
          </cell>
          <cell r="R90" t="str">
            <v>GK 副</v>
          </cell>
          <cell r="S90">
            <v>0</v>
          </cell>
          <cell r="U90">
            <v>0</v>
          </cell>
          <cell r="V90">
            <v>0</v>
          </cell>
          <cell r="W90">
            <v>0</v>
          </cell>
          <cell r="X90">
            <v>0</v>
          </cell>
          <cell r="Y90">
            <v>0</v>
          </cell>
          <cell r="Z90">
            <v>0</v>
          </cell>
          <cell r="AA90">
            <v>0</v>
          </cell>
          <cell r="AB90">
            <v>0</v>
          </cell>
          <cell r="AC90">
            <v>0</v>
          </cell>
        </row>
        <row r="91">
          <cell r="B91" t="str">
            <v>シャツ</v>
          </cell>
          <cell r="C91">
            <v>0</v>
          </cell>
          <cell r="D91" t="str">
            <v>オレンジ</v>
          </cell>
          <cell r="E91" t="str">
            <v>青</v>
          </cell>
          <cell r="F91">
            <v>0</v>
          </cell>
          <cell r="G91" t="str">
            <v>灰</v>
          </cell>
          <cell r="H91" t="str">
            <v>緑</v>
          </cell>
          <cell r="I91">
            <v>0</v>
          </cell>
          <cell r="L91" t="str">
            <v>シャツ</v>
          </cell>
          <cell r="M91">
            <v>0</v>
          </cell>
          <cell r="N91" t="str">
            <v>青</v>
          </cell>
          <cell r="O91" t="str">
            <v>白</v>
          </cell>
          <cell r="P91">
            <v>0</v>
          </cell>
          <cell r="Q91" t="str">
            <v>グレー</v>
          </cell>
          <cell r="R91" t="str">
            <v>赤</v>
          </cell>
          <cell r="S91">
            <v>0</v>
          </cell>
          <cell r="U91">
            <v>0</v>
          </cell>
          <cell r="V91">
            <v>0</v>
          </cell>
          <cell r="W91">
            <v>0</v>
          </cell>
          <cell r="X91">
            <v>0</v>
          </cell>
          <cell r="Y91">
            <v>0</v>
          </cell>
          <cell r="Z91">
            <v>0</v>
          </cell>
          <cell r="AA91">
            <v>0</v>
          </cell>
          <cell r="AB91">
            <v>0</v>
          </cell>
          <cell r="AC91">
            <v>0</v>
          </cell>
        </row>
        <row r="92">
          <cell r="B92" t="str">
            <v>パンツ</v>
          </cell>
          <cell r="C92">
            <v>0</v>
          </cell>
          <cell r="D92" t="str">
            <v>黒</v>
          </cell>
          <cell r="E92" t="str">
            <v>白</v>
          </cell>
          <cell r="F92">
            <v>0</v>
          </cell>
          <cell r="G92" t="str">
            <v>灰</v>
          </cell>
          <cell r="H92" t="str">
            <v>緑</v>
          </cell>
          <cell r="I92">
            <v>0</v>
          </cell>
          <cell r="L92" t="str">
            <v>パンツ</v>
          </cell>
          <cell r="M92">
            <v>0</v>
          </cell>
          <cell r="N92" t="str">
            <v>青</v>
          </cell>
          <cell r="O92" t="str">
            <v>白</v>
          </cell>
          <cell r="P92">
            <v>0</v>
          </cell>
          <cell r="Q92" t="str">
            <v>紺</v>
          </cell>
          <cell r="R92" t="str">
            <v>赤</v>
          </cell>
          <cell r="S92">
            <v>0</v>
          </cell>
          <cell r="U92">
            <v>0</v>
          </cell>
          <cell r="V92">
            <v>0</v>
          </cell>
          <cell r="W92">
            <v>0</v>
          </cell>
          <cell r="X92">
            <v>0</v>
          </cell>
          <cell r="Y92">
            <v>0</v>
          </cell>
          <cell r="Z92">
            <v>0</v>
          </cell>
          <cell r="AA92">
            <v>0</v>
          </cell>
          <cell r="AB92">
            <v>0</v>
          </cell>
          <cell r="AC92">
            <v>0</v>
          </cell>
        </row>
        <row r="93">
          <cell r="B93" t="str">
            <v>ストッキング</v>
          </cell>
          <cell r="C93">
            <v>0</v>
          </cell>
          <cell r="D93" t="str">
            <v>オレンジ</v>
          </cell>
          <cell r="E93" t="str">
            <v>青</v>
          </cell>
          <cell r="F93">
            <v>0</v>
          </cell>
          <cell r="G93" t="str">
            <v>灰</v>
          </cell>
          <cell r="H93" t="str">
            <v>緑</v>
          </cell>
          <cell r="I93">
            <v>0</v>
          </cell>
          <cell r="L93" t="str">
            <v>ストッキング</v>
          </cell>
          <cell r="M93">
            <v>0</v>
          </cell>
          <cell r="N93" t="str">
            <v>青</v>
          </cell>
          <cell r="O93" t="str">
            <v>白</v>
          </cell>
          <cell r="P93">
            <v>0</v>
          </cell>
          <cell r="Q93" t="str">
            <v>紺</v>
          </cell>
          <cell r="R93" t="str">
            <v>赤</v>
          </cell>
          <cell r="S93">
            <v>0</v>
          </cell>
          <cell r="U93">
            <v>0</v>
          </cell>
          <cell r="V93">
            <v>0</v>
          </cell>
          <cell r="W93">
            <v>0</v>
          </cell>
          <cell r="X93">
            <v>0</v>
          </cell>
          <cell r="Y93">
            <v>0</v>
          </cell>
          <cell r="Z93">
            <v>0</v>
          </cell>
          <cell r="AA93">
            <v>0</v>
          </cell>
          <cell r="AB93">
            <v>0</v>
          </cell>
          <cell r="AC93">
            <v>0</v>
          </cell>
        </row>
        <row r="94">
          <cell r="B94" t="str">
            <v>長野県代表 県大会第１位</v>
          </cell>
          <cell r="C94">
            <v>0</v>
          </cell>
          <cell r="D94">
            <v>0</v>
          </cell>
          <cell r="E94">
            <v>0</v>
          </cell>
          <cell r="F94">
            <v>0</v>
          </cell>
          <cell r="G94">
            <v>0</v>
          </cell>
          <cell r="H94">
            <v>0</v>
          </cell>
          <cell r="I94">
            <v>0</v>
          </cell>
          <cell r="L94" t="str">
            <v>長野県代表 県大会第２位</v>
          </cell>
          <cell r="M94">
            <v>0</v>
          </cell>
          <cell r="N94">
            <v>0</v>
          </cell>
          <cell r="O94">
            <v>0</v>
          </cell>
          <cell r="P94">
            <v>0</v>
          </cell>
          <cell r="Q94">
            <v>0</v>
          </cell>
          <cell r="R94">
            <v>0</v>
          </cell>
          <cell r="S94">
            <v>0</v>
          </cell>
          <cell r="U94">
            <v>0</v>
          </cell>
          <cell r="V94">
            <v>0</v>
          </cell>
          <cell r="W94">
            <v>0</v>
          </cell>
          <cell r="X94">
            <v>0</v>
          </cell>
          <cell r="Y94">
            <v>0</v>
          </cell>
          <cell r="Z94">
            <v>0</v>
          </cell>
          <cell r="AA94">
            <v>0</v>
          </cell>
          <cell r="AB94">
            <v>0</v>
          </cell>
          <cell r="AC94">
            <v>0</v>
          </cell>
        </row>
        <row r="95">
          <cell r="B95" t="str">
            <v>松本市立鎌田中学校</v>
          </cell>
          <cell r="C95">
            <v>0</v>
          </cell>
          <cell r="D95">
            <v>0</v>
          </cell>
          <cell r="E95">
            <v>0</v>
          </cell>
          <cell r="F95">
            <v>0</v>
          </cell>
          <cell r="G95">
            <v>0</v>
          </cell>
          <cell r="H95">
            <v>0</v>
          </cell>
          <cell r="I95">
            <v>0</v>
          </cell>
          <cell r="L95" t="str">
            <v>信州大学教育学部附属長野中学校</v>
          </cell>
          <cell r="M95">
            <v>0</v>
          </cell>
          <cell r="N95">
            <v>0</v>
          </cell>
          <cell r="O95">
            <v>0</v>
          </cell>
          <cell r="P95">
            <v>0</v>
          </cell>
          <cell r="Q95">
            <v>0</v>
          </cell>
          <cell r="R95">
            <v>0</v>
          </cell>
          <cell r="S95">
            <v>0</v>
          </cell>
          <cell r="U95">
            <v>0</v>
          </cell>
          <cell r="V95">
            <v>0</v>
          </cell>
          <cell r="W95">
            <v>0</v>
          </cell>
          <cell r="X95">
            <v>0</v>
          </cell>
          <cell r="Y95">
            <v>0</v>
          </cell>
          <cell r="Z95">
            <v>0</v>
          </cell>
          <cell r="AA95">
            <v>0</v>
          </cell>
          <cell r="AB95">
            <v>0</v>
          </cell>
          <cell r="AC95">
            <v>0</v>
          </cell>
        </row>
        <row r="96">
          <cell r="B96" t="str">
            <v>学校所在地</v>
          </cell>
          <cell r="C96">
            <v>0</v>
          </cell>
          <cell r="D96" t="str">
            <v>長野県松本市鎌田２－３－５６</v>
          </cell>
          <cell r="E96">
            <v>0</v>
          </cell>
          <cell r="F96">
            <v>0</v>
          </cell>
          <cell r="G96">
            <v>0</v>
          </cell>
          <cell r="H96">
            <v>0</v>
          </cell>
          <cell r="I96">
            <v>0</v>
          </cell>
          <cell r="L96" t="str">
            <v>学校所在地</v>
          </cell>
          <cell r="M96">
            <v>0</v>
          </cell>
          <cell r="N96" t="str">
            <v>長野県長野市南堀109</v>
          </cell>
          <cell r="O96">
            <v>0</v>
          </cell>
          <cell r="P96">
            <v>0</v>
          </cell>
          <cell r="Q96">
            <v>0</v>
          </cell>
          <cell r="R96">
            <v>0</v>
          </cell>
          <cell r="S96">
            <v>0</v>
          </cell>
          <cell r="U96">
            <v>0</v>
          </cell>
          <cell r="V96">
            <v>0</v>
          </cell>
          <cell r="W96">
            <v>0</v>
          </cell>
          <cell r="X96">
            <v>0</v>
          </cell>
          <cell r="Y96">
            <v>0</v>
          </cell>
          <cell r="Z96">
            <v>0</v>
          </cell>
          <cell r="AA96">
            <v>0</v>
          </cell>
          <cell r="AB96">
            <v>0</v>
          </cell>
          <cell r="AC96">
            <v>0</v>
          </cell>
        </row>
        <row r="97">
          <cell r="B97" t="str">
            <v>監督</v>
          </cell>
          <cell r="C97">
            <v>0</v>
          </cell>
          <cell r="D97" t="str">
            <v>柳澤 修</v>
          </cell>
          <cell r="E97">
            <v>0</v>
          </cell>
          <cell r="F97">
            <v>0</v>
          </cell>
          <cell r="G97">
            <v>0</v>
          </cell>
          <cell r="H97">
            <v>0</v>
          </cell>
          <cell r="I97">
            <v>0</v>
          </cell>
          <cell r="L97" t="str">
            <v>監督</v>
          </cell>
          <cell r="M97">
            <v>0</v>
          </cell>
          <cell r="N97" t="str">
            <v>荻原 啓一</v>
          </cell>
          <cell r="O97">
            <v>0</v>
          </cell>
          <cell r="P97">
            <v>0</v>
          </cell>
          <cell r="Q97">
            <v>0</v>
          </cell>
          <cell r="R97">
            <v>0</v>
          </cell>
          <cell r="S97">
            <v>0</v>
          </cell>
          <cell r="U97">
            <v>0</v>
          </cell>
          <cell r="V97">
            <v>0</v>
          </cell>
          <cell r="W97">
            <v>0</v>
          </cell>
          <cell r="X97">
            <v>0</v>
          </cell>
          <cell r="Y97">
            <v>0</v>
          </cell>
          <cell r="Z97">
            <v>0</v>
          </cell>
          <cell r="AA97">
            <v>0</v>
          </cell>
          <cell r="AB97">
            <v>0</v>
          </cell>
          <cell r="AC97">
            <v>0</v>
          </cell>
        </row>
        <row r="98">
          <cell r="B98" t="str">
            <v>コーチ</v>
          </cell>
          <cell r="C98">
            <v>0</v>
          </cell>
          <cell r="D98" t="str">
            <v>渡辺 俊治</v>
          </cell>
          <cell r="E98">
            <v>0</v>
          </cell>
          <cell r="F98">
            <v>0</v>
          </cell>
          <cell r="G98">
            <v>0</v>
          </cell>
          <cell r="H98" t="str">
            <v>(承認)</v>
          </cell>
          <cell r="I98">
            <v>0</v>
          </cell>
          <cell r="L98" t="str">
            <v>コーチ</v>
          </cell>
          <cell r="M98">
            <v>0</v>
          </cell>
          <cell r="N98" t="str">
            <v>西山 利昭</v>
          </cell>
          <cell r="O98">
            <v>0</v>
          </cell>
          <cell r="P98">
            <v>0</v>
          </cell>
          <cell r="Q98">
            <v>0</v>
          </cell>
          <cell r="R98" t="str">
            <v>(承認)</v>
          </cell>
          <cell r="S98">
            <v>0</v>
          </cell>
          <cell r="U98">
            <v>0</v>
          </cell>
          <cell r="V98">
            <v>0</v>
          </cell>
          <cell r="W98">
            <v>0</v>
          </cell>
          <cell r="X98">
            <v>0</v>
          </cell>
          <cell r="Y98">
            <v>0</v>
          </cell>
          <cell r="Z98">
            <v>0</v>
          </cell>
          <cell r="AA98">
            <v>0</v>
          </cell>
          <cell r="AB98">
            <v>0</v>
          </cell>
          <cell r="AC98">
            <v>0</v>
          </cell>
        </row>
        <row r="99">
          <cell r="B99" t="str">
            <v>マネージャー</v>
          </cell>
          <cell r="C99">
            <v>0</v>
          </cell>
          <cell r="D99" t="str">
            <v>北沢 清二</v>
          </cell>
          <cell r="E99">
            <v>0</v>
          </cell>
          <cell r="F99">
            <v>0</v>
          </cell>
          <cell r="G99">
            <v>0</v>
          </cell>
          <cell r="H99" t="str">
            <v>(教員)</v>
          </cell>
          <cell r="I99">
            <v>0</v>
          </cell>
          <cell r="L99" t="str">
            <v>マネージャー</v>
          </cell>
          <cell r="M99">
            <v>0</v>
          </cell>
          <cell r="N99" t="str">
            <v>池野　翔大</v>
          </cell>
          <cell r="O99">
            <v>0</v>
          </cell>
          <cell r="P99">
            <v>0</v>
          </cell>
          <cell r="Q99">
            <v>0</v>
          </cell>
          <cell r="R99" t="str">
            <v>(生徒)</v>
          </cell>
          <cell r="S99">
            <v>0</v>
          </cell>
          <cell r="U99">
            <v>0</v>
          </cell>
          <cell r="V99">
            <v>0</v>
          </cell>
          <cell r="W99">
            <v>0</v>
          </cell>
          <cell r="X99">
            <v>0</v>
          </cell>
          <cell r="Y99">
            <v>0</v>
          </cell>
          <cell r="Z99">
            <v>0</v>
          </cell>
          <cell r="AA99">
            <v>0</v>
          </cell>
          <cell r="AB99">
            <v>0</v>
          </cell>
          <cell r="AC99">
            <v>0</v>
          </cell>
        </row>
        <row r="100">
          <cell r="D100">
            <v>0</v>
          </cell>
          <cell r="E100">
            <v>0</v>
          </cell>
          <cell r="F100">
            <v>0</v>
          </cell>
          <cell r="G100">
            <v>0</v>
          </cell>
          <cell r="H100">
            <v>0</v>
          </cell>
          <cell r="I100">
            <v>0</v>
          </cell>
          <cell r="N100">
            <v>0</v>
          </cell>
          <cell r="O100">
            <v>0</v>
          </cell>
          <cell r="P100">
            <v>0</v>
          </cell>
          <cell r="Q100">
            <v>0</v>
          </cell>
          <cell r="R100">
            <v>0</v>
          </cell>
          <cell r="S100">
            <v>0</v>
          </cell>
          <cell r="U100">
            <v>0</v>
          </cell>
          <cell r="V100">
            <v>0</v>
          </cell>
          <cell r="W100">
            <v>0</v>
          </cell>
          <cell r="X100">
            <v>0</v>
          </cell>
          <cell r="Y100">
            <v>0</v>
          </cell>
          <cell r="Z100">
            <v>0</v>
          </cell>
          <cell r="AA100">
            <v>0</v>
          </cell>
          <cell r="AB100">
            <v>0</v>
          </cell>
          <cell r="AC100">
            <v>0</v>
          </cell>
        </row>
        <row r="101">
          <cell r="A101" t="str">
            <v>先発</v>
          </cell>
          <cell r="B101" t="str">
            <v>番号</v>
          </cell>
          <cell r="C101" t="str">
            <v>位置</v>
          </cell>
          <cell r="D101" t="str">
            <v>氏名</v>
          </cell>
          <cell r="E101">
            <v>0</v>
          </cell>
          <cell r="F101" t="str">
            <v>ふりがな</v>
          </cell>
          <cell r="G101">
            <v>0</v>
          </cell>
          <cell r="H101">
            <v>0</v>
          </cell>
          <cell r="I101" t="str">
            <v>学年</v>
          </cell>
          <cell r="K101" t="str">
            <v>先発</v>
          </cell>
          <cell r="L101" t="str">
            <v>番号</v>
          </cell>
          <cell r="M101" t="str">
            <v>位置</v>
          </cell>
          <cell r="N101" t="str">
            <v>氏名</v>
          </cell>
          <cell r="O101">
            <v>0</v>
          </cell>
          <cell r="P101" t="str">
            <v>ふりがな</v>
          </cell>
          <cell r="Q101">
            <v>0</v>
          </cell>
          <cell r="R101">
            <v>0</v>
          </cell>
          <cell r="S101" t="str">
            <v>学年</v>
          </cell>
          <cell r="U101">
            <v>0</v>
          </cell>
          <cell r="V101">
            <v>0</v>
          </cell>
          <cell r="W101">
            <v>0</v>
          </cell>
          <cell r="X101">
            <v>0</v>
          </cell>
          <cell r="Y101">
            <v>0</v>
          </cell>
          <cell r="Z101">
            <v>0</v>
          </cell>
          <cell r="AA101">
            <v>0</v>
          </cell>
          <cell r="AB101">
            <v>0</v>
          </cell>
          <cell r="AC101">
            <v>0</v>
          </cell>
        </row>
        <row r="102">
          <cell r="A102">
            <v>0</v>
          </cell>
          <cell r="B102">
            <v>1</v>
          </cell>
          <cell r="C102" t="str">
            <v>GK</v>
          </cell>
          <cell r="D102" t="str">
            <v>寺嶋 司</v>
          </cell>
          <cell r="E102">
            <v>0</v>
          </cell>
          <cell r="F102" t="str">
            <v>てらしま つかさ</v>
          </cell>
          <cell r="G102">
            <v>0</v>
          </cell>
          <cell r="H102">
            <v>0</v>
          </cell>
          <cell r="I102">
            <v>3</v>
          </cell>
          <cell r="K102">
            <v>0</v>
          </cell>
          <cell r="L102">
            <v>1</v>
          </cell>
          <cell r="M102" t="str">
            <v>GK</v>
          </cell>
          <cell r="N102" t="str">
            <v>菅野 拓夢</v>
          </cell>
          <cell r="O102">
            <v>0</v>
          </cell>
          <cell r="P102" t="str">
            <v>かんの たくむ</v>
          </cell>
          <cell r="Q102">
            <v>0</v>
          </cell>
          <cell r="R102">
            <v>0</v>
          </cell>
          <cell r="S102">
            <v>3</v>
          </cell>
          <cell r="U102">
            <v>0</v>
          </cell>
          <cell r="V102">
            <v>0</v>
          </cell>
          <cell r="W102">
            <v>0</v>
          </cell>
          <cell r="X102">
            <v>0</v>
          </cell>
          <cell r="Y102">
            <v>0</v>
          </cell>
          <cell r="Z102">
            <v>0</v>
          </cell>
          <cell r="AA102">
            <v>0</v>
          </cell>
          <cell r="AB102">
            <v>0</v>
          </cell>
          <cell r="AC102">
            <v>0</v>
          </cell>
        </row>
        <row r="103">
          <cell r="A103">
            <v>0</v>
          </cell>
          <cell r="B103">
            <v>2</v>
          </cell>
          <cell r="C103" t="str">
            <v>MF</v>
          </cell>
          <cell r="D103" t="str">
            <v>加賀﨑 渓</v>
          </cell>
          <cell r="E103">
            <v>0</v>
          </cell>
          <cell r="F103" t="str">
            <v>かがさき けい</v>
          </cell>
          <cell r="G103">
            <v>0</v>
          </cell>
          <cell r="H103">
            <v>0</v>
          </cell>
          <cell r="I103">
            <v>2</v>
          </cell>
          <cell r="K103">
            <v>0</v>
          </cell>
          <cell r="L103">
            <v>2</v>
          </cell>
          <cell r="M103" t="str">
            <v>DF</v>
          </cell>
          <cell r="N103" t="str">
            <v>今井 皓也</v>
          </cell>
          <cell r="O103">
            <v>0</v>
          </cell>
          <cell r="P103" t="str">
            <v>いまい ゆうや</v>
          </cell>
          <cell r="Q103">
            <v>0</v>
          </cell>
          <cell r="R103">
            <v>0</v>
          </cell>
          <cell r="S103">
            <v>3</v>
          </cell>
          <cell r="U103">
            <v>0</v>
          </cell>
          <cell r="V103">
            <v>0</v>
          </cell>
          <cell r="W103">
            <v>0</v>
          </cell>
          <cell r="X103">
            <v>0</v>
          </cell>
          <cell r="Y103">
            <v>0</v>
          </cell>
          <cell r="Z103">
            <v>0</v>
          </cell>
          <cell r="AA103">
            <v>0</v>
          </cell>
          <cell r="AB103">
            <v>0</v>
          </cell>
          <cell r="AC103">
            <v>0</v>
          </cell>
        </row>
        <row r="104">
          <cell r="A104">
            <v>0</v>
          </cell>
          <cell r="B104">
            <v>3</v>
          </cell>
          <cell r="C104" t="str">
            <v>DF</v>
          </cell>
          <cell r="D104" t="str">
            <v>黒岩 懸</v>
          </cell>
          <cell r="E104">
            <v>0</v>
          </cell>
          <cell r="F104" t="str">
            <v>くろいわ けん</v>
          </cell>
          <cell r="G104">
            <v>0</v>
          </cell>
          <cell r="H104">
            <v>0</v>
          </cell>
          <cell r="I104">
            <v>3</v>
          </cell>
          <cell r="K104">
            <v>0</v>
          </cell>
          <cell r="L104">
            <v>3</v>
          </cell>
          <cell r="M104" t="str">
            <v>DF</v>
          </cell>
          <cell r="N104" t="str">
            <v>久保田 一季</v>
          </cell>
          <cell r="O104">
            <v>0</v>
          </cell>
          <cell r="P104" t="str">
            <v>くぼた いつき</v>
          </cell>
          <cell r="Q104">
            <v>0</v>
          </cell>
          <cell r="R104">
            <v>0</v>
          </cell>
          <cell r="S104">
            <v>3</v>
          </cell>
          <cell r="U104">
            <v>0</v>
          </cell>
          <cell r="V104">
            <v>0</v>
          </cell>
          <cell r="W104">
            <v>0</v>
          </cell>
          <cell r="X104">
            <v>0</v>
          </cell>
          <cell r="Y104">
            <v>0</v>
          </cell>
          <cell r="Z104">
            <v>0</v>
          </cell>
          <cell r="AA104">
            <v>0</v>
          </cell>
          <cell r="AB104">
            <v>0</v>
          </cell>
          <cell r="AC104">
            <v>0</v>
          </cell>
        </row>
        <row r="105">
          <cell r="A105">
            <v>0</v>
          </cell>
          <cell r="B105">
            <v>4</v>
          </cell>
          <cell r="C105" t="str">
            <v>MF</v>
          </cell>
          <cell r="D105" t="str">
            <v>大川 翔</v>
          </cell>
          <cell r="E105">
            <v>0</v>
          </cell>
          <cell r="F105" t="str">
            <v>おおかわ かける</v>
          </cell>
          <cell r="G105">
            <v>0</v>
          </cell>
          <cell r="H105">
            <v>0</v>
          </cell>
          <cell r="I105">
            <v>3</v>
          </cell>
          <cell r="K105">
            <v>0</v>
          </cell>
          <cell r="L105">
            <v>4</v>
          </cell>
          <cell r="M105" t="str">
            <v>DF</v>
          </cell>
          <cell r="N105" t="str">
            <v>西澤 優人</v>
          </cell>
          <cell r="O105">
            <v>0</v>
          </cell>
          <cell r="P105" t="str">
            <v>にしざわ ゆうと</v>
          </cell>
          <cell r="Q105">
            <v>0</v>
          </cell>
          <cell r="R105">
            <v>0</v>
          </cell>
          <cell r="S105">
            <v>3</v>
          </cell>
          <cell r="U105">
            <v>0</v>
          </cell>
          <cell r="V105">
            <v>0</v>
          </cell>
          <cell r="W105">
            <v>0</v>
          </cell>
          <cell r="X105">
            <v>0</v>
          </cell>
          <cell r="Y105">
            <v>0</v>
          </cell>
          <cell r="Z105">
            <v>0</v>
          </cell>
          <cell r="AA105">
            <v>0</v>
          </cell>
          <cell r="AB105">
            <v>0</v>
          </cell>
          <cell r="AC105">
            <v>0</v>
          </cell>
        </row>
        <row r="106">
          <cell r="A106">
            <v>0</v>
          </cell>
          <cell r="B106">
            <v>5</v>
          </cell>
          <cell r="C106" t="str">
            <v>DF</v>
          </cell>
          <cell r="D106" t="str">
            <v>上兼 誠充</v>
          </cell>
          <cell r="E106">
            <v>0</v>
          </cell>
          <cell r="F106" t="str">
            <v>うえがね まさよし</v>
          </cell>
          <cell r="G106">
            <v>0</v>
          </cell>
          <cell r="H106">
            <v>0</v>
          </cell>
          <cell r="I106">
            <v>3</v>
          </cell>
          <cell r="K106">
            <v>0</v>
          </cell>
          <cell r="L106">
            <v>5</v>
          </cell>
          <cell r="M106" t="str">
            <v>MF</v>
          </cell>
          <cell r="N106" t="str">
            <v>酒井 賢人</v>
          </cell>
          <cell r="O106">
            <v>0</v>
          </cell>
          <cell r="P106" t="str">
            <v>さかい けんと</v>
          </cell>
          <cell r="Q106">
            <v>0</v>
          </cell>
          <cell r="R106">
            <v>0</v>
          </cell>
          <cell r="S106">
            <v>3</v>
          </cell>
          <cell r="U106">
            <v>0</v>
          </cell>
          <cell r="V106">
            <v>0</v>
          </cell>
          <cell r="W106">
            <v>0</v>
          </cell>
          <cell r="X106">
            <v>0</v>
          </cell>
          <cell r="Y106">
            <v>0</v>
          </cell>
          <cell r="Z106">
            <v>0</v>
          </cell>
          <cell r="AA106">
            <v>0</v>
          </cell>
          <cell r="AB106">
            <v>0</v>
          </cell>
          <cell r="AC106">
            <v>0</v>
          </cell>
        </row>
        <row r="107">
          <cell r="A107">
            <v>0</v>
          </cell>
          <cell r="B107">
            <v>6</v>
          </cell>
          <cell r="C107" t="str">
            <v>MF</v>
          </cell>
          <cell r="D107" t="str">
            <v>清水 貴海</v>
          </cell>
          <cell r="E107">
            <v>0</v>
          </cell>
          <cell r="F107" t="str">
            <v>しみず たかみ</v>
          </cell>
          <cell r="G107">
            <v>0</v>
          </cell>
          <cell r="H107">
            <v>0</v>
          </cell>
          <cell r="I107">
            <v>3</v>
          </cell>
          <cell r="K107">
            <v>0</v>
          </cell>
          <cell r="L107">
            <v>6</v>
          </cell>
          <cell r="M107" t="str">
            <v>DF</v>
          </cell>
          <cell r="N107" t="str">
            <v>山田 祐煕</v>
          </cell>
          <cell r="O107">
            <v>0</v>
          </cell>
          <cell r="P107" t="str">
            <v>やまだ ゆうき</v>
          </cell>
          <cell r="Q107">
            <v>0</v>
          </cell>
          <cell r="R107">
            <v>0</v>
          </cell>
          <cell r="S107">
            <v>3</v>
          </cell>
          <cell r="U107">
            <v>0</v>
          </cell>
          <cell r="V107">
            <v>0</v>
          </cell>
          <cell r="W107">
            <v>0</v>
          </cell>
          <cell r="X107">
            <v>0</v>
          </cell>
          <cell r="Y107">
            <v>0</v>
          </cell>
          <cell r="Z107">
            <v>0</v>
          </cell>
          <cell r="AA107">
            <v>0</v>
          </cell>
          <cell r="AB107">
            <v>0</v>
          </cell>
          <cell r="AC107">
            <v>0</v>
          </cell>
        </row>
        <row r="108">
          <cell r="A108">
            <v>0</v>
          </cell>
          <cell r="B108">
            <v>7</v>
          </cell>
          <cell r="C108" t="str">
            <v>DF</v>
          </cell>
          <cell r="D108" t="str">
            <v>藤原 良輔</v>
          </cell>
          <cell r="E108">
            <v>0</v>
          </cell>
          <cell r="F108" t="str">
            <v>ふじわら りょうすけ</v>
          </cell>
          <cell r="G108">
            <v>0</v>
          </cell>
          <cell r="H108">
            <v>0</v>
          </cell>
          <cell r="I108">
            <v>3</v>
          </cell>
          <cell r="K108">
            <v>0</v>
          </cell>
          <cell r="L108">
            <v>7</v>
          </cell>
          <cell r="M108" t="str">
            <v>MF</v>
          </cell>
          <cell r="N108" t="str">
            <v>阿部 和真</v>
          </cell>
          <cell r="O108">
            <v>0</v>
          </cell>
          <cell r="P108" t="str">
            <v>あべ かずま</v>
          </cell>
          <cell r="Q108">
            <v>0</v>
          </cell>
          <cell r="R108">
            <v>0</v>
          </cell>
          <cell r="S108">
            <v>3</v>
          </cell>
          <cell r="U108">
            <v>0</v>
          </cell>
          <cell r="V108">
            <v>0</v>
          </cell>
          <cell r="W108">
            <v>0</v>
          </cell>
          <cell r="X108">
            <v>0</v>
          </cell>
          <cell r="Y108">
            <v>0</v>
          </cell>
          <cell r="Z108">
            <v>0</v>
          </cell>
          <cell r="AA108">
            <v>0</v>
          </cell>
          <cell r="AB108">
            <v>0</v>
          </cell>
          <cell r="AC108">
            <v>0</v>
          </cell>
        </row>
        <row r="109">
          <cell r="A109">
            <v>0</v>
          </cell>
          <cell r="B109">
            <v>8</v>
          </cell>
          <cell r="C109" t="str">
            <v>MF</v>
          </cell>
          <cell r="D109" t="str">
            <v>西田 潤</v>
          </cell>
          <cell r="E109">
            <v>0</v>
          </cell>
          <cell r="F109" t="str">
            <v>にしだ じゅん</v>
          </cell>
          <cell r="G109">
            <v>0</v>
          </cell>
          <cell r="H109">
            <v>0</v>
          </cell>
          <cell r="I109">
            <v>3</v>
          </cell>
          <cell r="K109">
            <v>0</v>
          </cell>
          <cell r="L109">
            <v>8</v>
          </cell>
          <cell r="M109" t="str">
            <v>MF</v>
          </cell>
          <cell r="N109" t="str">
            <v>瀧澤 隼平</v>
          </cell>
          <cell r="O109">
            <v>0</v>
          </cell>
          <cell r="P109" t="str">
            <v>たきざわ じゅんぺい</v>
          </cell>
          <cell r="Q109">
            <v>0</v>
          </cell>
          <cell r="R109">
            <v>0</v>
          </cell>
          <cell r="S109">
            <v>3</v>
          </cell>
          <cell r="U109">
            <v>0</v>
          </cell>
          <cell r="V109">
            <v>0</v>
          </cell>
          <cell r="W109">
            <v>0</v>
          </cell>
          <cell r="X109">
            <v>0</v>
          </cell>
          <cell r="Y109">
            <v>0</v>
          </cell>
          <cell r="Z109">
            <v>0</v>
          </cell>
          <cell r="AA109">
            <v>0</v>
          </cell>
          <cell r="AB109">
            <v>0</v>
          </cell>
          <cell r="AC109">
            <v>0</v>
          </cell>
        </row>
        <row r="110">
          <cell r="A110">
            <v>0</v>
          </cell>
          <cell r="B110">
            <v>9</v>
          </cell>
          <cell r="C110" t="str">
            <v>MF</v>
          </cell>
          <cell r="D110" t="str">
            <v>伊藤 翔太郎</v>
          </cell>
          <cell r="E110">
            <v>0</v>
          </cell>
          <cell r="F110" t="str">
            <v>いとう しょうたろう</v>
          </cell>
          <cell r="G110">
            <v>0</v>
          </cell>
          <cell r="H110">
            <v>0</v>
          </cell>
          <cell r="I110">
            <v>3</v>
          </cell>
          <cell r="K110">
            <v>0</v>
          </cell>
          <cell r="L110">
            <v>9</v>
          </cell>
          <cell r="M110" t="str">
            <v>FW</v>
          </cell>
          <cell r="N110" t="str">
            <v>風間 洸洋</v>
          </cell>
          <cell r="O110">
            <v>0</v>
          </cell>
          <cell r="P110" t="str">
            <v>ふじさわ けいすけ</v>
          </cell>
          <cell r="Q110">
            <v>0</v>
          </cell>
          <cell r="R110">
            <v>0</v>
          </cell>
          <cell r="S110">
            <v>3</v>
          </cell>
          <cell r="U110">
            <v>0</v>
          </cell>
          <cell r="V110">
            <v>0</v>
          </cell>
          <cell r="W110">
            <v>0</v>
          </cell>
          <cell r="X110">
            <v>0</v>
          </cell>
          <cell r="Y110">
            <v>0</v>
          </cell>
          <cell r="Z110">
            <v>0</v>
          </cell>
          <cell r="AA110">
            <v>0</v>
          </cell>
          <cell r="AB110">
            <v>0</v>
          </cell>
          <cell r="AC110">
            <v>0</v>
          </cell>
        </row>
        <row r="111">
          <cell r="A111">
            <v>0</v>
          </cell>
          <cell r="B111">
            <v>10</v>
          </cell>
          <cell r="C111" t="str">
            <v>MF</v>
          </cell>
          <cell r="D111" t="str">
            <v>市川 陸</v>
          </cell>
          <cell r="E111">
            <v>0</v>
          </cell>
          <cell r="F111" t="str">
            <v>いちかわ りく</v>
          </cell>
          <cell r="G111">
            <v>0</v>
          </cell>
          <cell r="H111">
            <v>0</v>
          </cell>
          <cell r="I111">
            <v>3</v>
          </cell>
          <cell r="K111">
            <v>0</v>
          </cell>
          <cell r="L111">
            <v>10</v>
          </cell>
          <cell r="M111" t="str">
            <v>MF</v>
          </cell>
          <cell r="N111" t="str">
            <v>立石 嵩文</v>
          </cell>
          <cell r="O111">
            <v>0</v>
          </cell>
          <cell r="P111" t="str">
            <v>たていし たかふみ</v>
          </cell>
          <cell r="Q111">
            <v>0</v>
          </cell>
          <cell r="R111">
            <v>0</v>
          </cell>
          <cell r="S111">
            <v>3</v>
          </cell>
          <cell r="U111">
            <v>0</v>
          </cell>
          <cell r="V111">
            <v>0</v>
          </cell>
          <cell r="W111">
            <v>0</v>
          </cell>
          <cell r="X111">
            <v>0</v>
          </cell>
          <cell r="Y111">
            <v>0</v>
          </cell>
          <cell r="Z111">
            <v>0</v>
          </cell>
          <cell r="AA111">
            <v>0</v>
          </cell>
          <cell r="AB111">
            <v>0</v>
          </cell>
          <cell r="AC111">
            <v>0</v>
          </cell>
        </row>
        <row r="112">
          <cell r="A112">
            <v>0</v>
          </cell>
          <cell r="B112">
            <v>11</v>
          </cell>
          <cell r="C112" t="str">
            <v>FW</v>
          </cell>
          <cell r="D112" t="str">
            <v>槙石 篤</v>
          </cell>
          <cell r="E112">
            <v>0</v>
          </cell>
          <cell r="F112" t="str">
            <v>まきいし あつし</v>
          </cell>
          <cell r="G112">
            <v>0</v>
          </cell>
          <cell r="H112">
            <v>0</v>
          </cell>
          <cell r="I112">
            <v>3</v>
          </cell>
          <cell r="K112">
            <v>0</v>
          </cell>
          <cell r="L112">
            <v>11</v>
          </cell>
          <cell r="M112" t="str">
            <v>FW</v>
          </cell>
          <cell r="N112" t="str">
            <v>藤沢 慶輔</v>
          </cell>
          <cell r="O112">
            <v>0</v>
          </cell>
          <cell r="P112" t="str">
            <v>ふじさわ けいすけ</v>
          </cell>
          <cell r="Q112">
            <v>0</v>
          </cell>
          <cell r="R112">
            <v>0</v>
          </cell>
          <cell r="S112">
            <v>3</v>
          </cell>
          <cell r="U112">
            <v>0</v>
          </cell>
          <cell r="V112">
            <v>0</v>
          </cell>
          <cell r="W112">
            <v>0</v>
          </cell>
          <cell r="X112">
            <v>0</v>
          </cell>
          <cell r="Y112">
            <v>0</v>
          </cell>
          <cell r="Z112">
            <v>0</v>
          </cell>
          <cell r="AA112">
            <v>0</v>
          </cell>
          <cell r="AB112">
            <v>0</v>
          </cell>
          <cell r="AC112">
            <v>0</v>
          </cell>
        </row>
        <row r="113">
          <cell r="A113">
            <v>0</v>
          </cell>
          <cell r="B113">
            <v>12</v>
          </cell>
          <cell r="C113" t="str">
            <v>FW</v>
          </cell>
          <cell r="D113" t="str">
            <v>大谷 龍平</v>
          </cell>
          <cell r="E113">
            <v>0</v>
          </cell>
          <cell r="F113" t="str">
            <v>おおや りゅうへい</v>
          </cell>
          <cell r="G113">
            <v>0</v>
          </cell>
          <cell r="H113">
            <v>0</v>
          </cell>
          <cell r="I113">
            <v>2</v>
          </cell>
          <cell r="K113">
            <v>0</v>
          </cell>
          <cell r="L113">
            <v>12</v>
          </cell>
          <cell r="M113" t="str">
            <v>FW</v>
          </cell>
          <cell r="N113" t="str">
            <v>武舎 雅輝</v>
          </cell>
          <cell r="O113">
            <v>0</v>
          </cell>
          <cell r="P113" t="str">
            <v>むしゃ まさき</v>
          </cell>
          <cell r="Q113">
            <v>0</v>
          </cell>
          <cell r="R113">
            <v>0</v>
          </cell>
          <cell r="S113">
            <v>3</v>
          </cell>
          <cell r="U113">
            <v>0</v>
          </cell>
          <cell r="V113">
            <v>0</v>
          </cell>
          <cell r="W113">
            <v>0</v>
          </cell>
          <cell r="X113">
            <v>0</v>
          </cell>
          <cell r="Y113">
            <v>0</v>
          </cell>
          <cell r="Z113">
            <v>0</v>
          </cell>
          <cell r="AA113">
            <v>0</v>
          </cell>
          <cell r="AB113">
            <v>0</v>
          </cell>
          <cell r="AC113">
            <v>0</v>
          </cell>
        </row>
        <row r="114">
          <cell r="A114">
            <v>0</v>
          </cell>
          <cell r="B114">
            <v>13</v>
          </cell>
          <cell r="C114" t="str">
            <v>MF</v>
          </cell>
          <cell r="D114" t="str">
            <v>小澤 克幸</v>
          </cell>
          <cell r="E114">
            <v>0</v>
          </cell>
          <cell r="F114" t="str">
            <v>おざわ かつゆき</v>
          </cell>
          <cell r="G114">
            <v>0</v>
          </cell>
          <cell r="H114">
            <v>0</v>
          </cell>
          <cell r="I114">
            <v>2</v>
          </cell>
          <cell r="K114">
            <v>0</v>
          </cell>
          <cell r="L114">
            <v>13</v>
          </cell>
          <cell r="M114" t="str">
            <v>DF</v>
          </cell>
          <cell r="N114" t="str">
            <v>岩崎 貴大</v>
          </cell>
          <cell r="O114">
            <v>0</v>
          </cell>
          <cell r="P114" t="str">
            <v>いわさき たかひろ</v>
          </cell>
          <cell r="Q114">
            <v>0</v>
          </cell>
          <cell r="R114">
            <v>0</v>
          </cell>
          <cell r="S114">
            <v>3</v>
          </cell>
          <cell r="U114">
            <v>0</v>
          </cell>
          <cell r="V114">
            <v>0</v>
          </cell>
          <cell r="W114">
            <v>0</v>
          </cell>
          <cell r="X114">
            <v>0</v>
          </cell>
          <cell r="Y114">
            <v>0</v>
          </cell>
          <cell r="Z114">
            <v>0</v>
          </cell>
          <cell r="AA114">
            <v>0</v>
          </cell>
          <cell r="AB114">
            <v>0</v>
          </cell>
          <cell r="AC114">
            <v>0</v>
          </cell>
        </row>
        <row r="115">
          <cell r="A115">
            <v>0</v>
          </cell>
          <cell r="B115">
            <v>14</v>
          </cell>
          <cell r="C115" t="str">
            <v>MF</v>
          </cell>
          <cell r="D115" t="str">
            <v>大月 廉太郎</v>
          </cell>
          <cell r="E115">
            <v>0</v>
          </cell>
          <cell r="F115" t="str">
            <v>おおつき れんたろう</v>
          </cell>
          <cell r="G115">
            <v>0</v>
          </cell>
          <cell r="H115">
            <v>0</v>
          </cell>
          <cell r="I115">
            <v>2</v>
          </cell>
          <cell r="K115">
            <v>0</v>
          </cell>
          <cell r="L115">
            <v>14</v>
          </cell>
          <cell r="M115" t="str">
            <v>MF</v>
          </cell>
          <cell r="N115" t="str">
            <v>大野 裕介</v>
          </cell>
          <cell r="O115">
            <v>0</v>
          </cell>
          <cell r="P115" t="str">
            <v>おおの ゆうすけ</v>
          </cell>
          <cell r="Q115">
            <v>0</v>
          </cell>
          <cell r="R115">
            <v>0</v>
          </cell>
          <cell r="S115">
            <v>0</v>
          </cell>
          <cell r="U115">
            <v>0</v>
          </cell>
          <cell r="V115">
            <v>0</v>
          </cell>
          <cell r="W115">
            <v>0</v>
          </cell>
          <cell r="X115">
            <v>0</v>
          </cell>
          <cell r="Y115">
            <v>0</v>
          </cell>
          <cell r="Z115">
            <v>0</v>
          </cell>
          <cell r="AA115">
            <v>0</v>
          </cell>
          <cell r="AB115">
            <v>0</v>
          </cell>
          <cell r="AC115">
            <v>0</v>
          </cell>
        </row>
        <row r="116">
          <cell r="A116">
            <v>0</v>
          </cell>
          <cell r="B116">
            <v>15</v>
          </cell>
          <cell r="C116" t="str">
            <v>DF</v>
          </cell>
          <cell r="D116" t="str">
            <v>柴田 瞭</v>
          </cell>
          <cell r="E116">
            <v>0</v>
          </cell>
          <cell r="F116" t="str">
            <v>しばた りょう</v>
          </cell>
          <cell r="G116">
            <v>0</v>
          </cell>
          <cell r="H116">
            <v>0</v>
          </cell>
          <cell r="I116">
            <v>2</v>
          </cell>
          <cell r="K116">
            <v>0</v>
          </cell>
          <cell r="L116">
            <v>15</v>
          </cell>
          <cell r="M116" t="str">
            <v>FW</v>
          </cell>
          <cell r="N116" t="str">
            <v>田村 一真</v>
          </cell>
          <cell r="O116">
            <v>0</v>
          </cell>
          <cell r="P116" t="str">
            <v>たむら かずま</v>
          </cell>
          <cell r="Q116">
            <v>0</v>
          </cell>
          <cell r="R116">
            <v>0</v>
          </cell>
          <cell r="S116">
            <v>2</v>
          </cell>
          <cell r="U116">
            <v>0</v>
          </cell>
          <cell r="V116">
            <v>0</v>
          </cell>
          <cell r="W116">
            <v>0</v>
          </cell>
          <cell r="X116">
            <v>0</v>
          </cell>
          <cell r="Y116">
            <v>0</v>
          </cell>
          <cell r="Z116">
            <v>0</v>
          </cell>
          <cell r="AA116">
            <v>0</v>
          </cell>
          <cell r="AB116">
            <v>0</v>
          </cell>
          <cell r="AC116">
            <v>0</v>
          </cell>
        </row>
        <row r="117">
          <cell r="A117">
            <v>0</v>
          </cell>
          <cell r="B117">
            <v>16</v>
          </cell>
          <cell r="C117" t="str">
            <v>DF</v>
          </cell>
          <cell r="D117" t="str">
            <v>村上 晴希</v>
          </cell>
          <cell r="E117">
            <v>0</v>
          </cell>
          <cell r="F117" t="str">
            <v>むらかみ はるき</v>
          </cell>
          <cell r="G117">
            <v>0</v>
          </cell>
          <cell r="H117">
            <v>0</v>
          </cell>
          <cell r="I117">
            <v>2</v>
          </cell>
          <cell r="K117">
            <v>0</v>
          </cell>
          <cell r="L117">
            <v>16</v>
          </cell>
          <cell r="M117" t="str">
            <v>FW</v>
          </cell>
          <cell r="N117" t="str">
            <v>月岡 優</v>
          </cell>
          <cell r="O117">
            <v>0</v>
          </cell>
          <cell r="P117" t="str">
            <v>つきおか ゆう</v>
          </cell>
          <cell r="Q117">
            <v>0</v>
          </cell>
          <cell r="R117">
            <v>0</v>
          </cell>
          <cell r="S117">
            <v>2</v>
          </cell>
          <cell r="U117">
            <v>0</v>
          </cell>
          <cell r="V117">
            <v>0</v>
          </cell>
          <cell r="W117">
            <v>0</v>
          </cell>
          <cell r="X117">
            <v>0</v>
          </cell>
          <cell r="Y117">
            <v>0</v>
          </cell>
          <cell r="Z117">
            <v>0</v>
          </cell>
          <cell r="AA117">
            <v>0</v>
          </cell>
          <cell r="AB117">
            <v>0</v>
          </cell>
          <cell r="AC117">
            <v>0</v>
          </cell>
        </row>
        <row r="118">
          <cell r="A118">
            <v>0</v>
          </cell>
          <cell r="B118">
            <v>17</v>
          </cell>
          <cell r="C118" t="str">
            <v>DF</v>
          </cell>
          <cell r="D118" t="str">
            <v>永田 陽生</v>
          </cell>
          <cell r="E118">
            <v>0</v>
          </cell>
          <cell r="F118" t="str">
            <v>ながた はるき</v>
          </cell>
          <cell r="G118">
            <v>0</v>
          </cell>
          <cell r="H118">
            <v>0</v>
          </cell>
          <cell r="I118">
            <v>2</v>
          </cell>
          <cell r="K118">
            <v>0</v>
          </cell>
          <cell r="L118">
            <v>17</v>
          </cell>
          <cell r="M118" t="str">
            <v>MF</v>
          </cell>
          <cell r="N118" t="str">
            <v>岩渕 泰斗</v>
          </cell>
          <cell r="O118">
            <v>0</v>
          </cell>
          <cell r="P118" t="str">
            <v>いわぶち たいと</v>
          </cell>
          <cell r="Q118">
            <v>0</v>
          </cell>
          <cell r="R118">
            <v>0</v>
          </cell>
          <cell r="S118">
            <v>2</v>
          </cell>
          <cell r="U118">
            <v>0</v>
          </cell>
          <cell r="V118">
            <v>0</v>
          </cell>
          <cell r="W118">
            <v>0</v>
          </cell>
          <cell r="X118">
            <v>0</v>
          </cell>
          <cell r="Y118">
            <v>0</v>
          </cell>
          <cell r="Z118">
            <v>0</v>
          </cell>
          <cell r="AA118">
            <v>0</v>
          </cell>
          <cell r="AB118">
            <v>0</v>
          </cell>
          <cell r="AC118">
            <v>0</v>
          </cell>
        </row>
        <row r="119">
          <cell r="A119">
            <v>0</v>
          </cell>
          <cell r="B119">
            <v>18</v>
          </cell>
          <cell r="C119" t="str">
            <v>GK</v>
          </cell>
          <cell r="D119" t="str">
            <v>渡辺 雄斗</v>
          </cell>
          <cell r="E119">
            <v>0</v>
          </cell>
          <cell r="F119" t="str">
            <v>わたなべ ゆうと</v>
          </cell>
          <cell r="G119">
            <v>0</v>
          </cell>
          <cell r="H119">
            <v>0</v>
          </cell>
          <cell r="I119">
            <v>2</v>
          </cell>
          <cell r="K119">
            <v>0</v>
          </cell>
          <cell r="L119">
            <v>18</v>
          </cell>
          <cell r="M119" t="str">
            <v>GK</v>
          </cell>
          <cell r="N119" t="str">
            <v>田村 康晃</v>
          </cell>
          <cell r="O119">
            <v>0</v>
          </cell>
          <cell r="P119" t="str">
            <v>たむら やすあき</v>
          </cell>
          <cell r="Q119">
            <v>0</v>
          </cell>
          <cell r="R119">
            <v>0</v>
          </cell>
          <cell r="S119">
            <v>3</v>
          </cell>
          <cell r="U119">
            <v>0</v>
          </cell>
          <cell r="V119">
            <v>0</v>
          </cell>
          <cell r="W119">
            <v>0</v>
          </cell>
          <cell r="X119">
            <v>0</v>
          </cell>
          <cell r="Y119">
            <v>0</v>
          </cell>
          <cell r="Z119">
            <v>0</v>
          </cell>
          <cell r="AA119">
            <v>0</v>
          </cell>
          <cell r="AB119">
            <v>0</v>
          </cell>
          <cell r="AC119">
            <v>0</v>
          </cell>
        </row>
        <row r="120">
          <cell r="U120">
            <v>0</v>
          </cell>
          <cell r="V120">
            <v>0</v>
          </cell>
          <cell r="W120">
            <v>0</v>
          </cell>
          <cell r="X120">
            <v>0</v>
          </cell>
          <cell r="Y120">
            <v>0</v>
          </cell>
          <cell r="Z120">
            <v>0</v>
          </cell>
          <cell r="AA120">
            <v>0</v>
          </cell>
          <cell r="AB120">
            <v>0</v>
          </cell>
          <cell r="AC120">
            <v>0</v>
          </cell>
        </row>
        <row r="121">
          <cell r="B121" t="str">
            <v>ユニフォーム</v>
          </cell>
          <cell r="C121">
            <v>0</v>
          </cell>
          <cell r="D121" t="str">
            <v>FP 正</v>
          </cell>
          <cell r="E121" t="str">
            <v>FP 副</v>
          </cell>
          <cell r="F121">
            <v>0</v>
          </cell>
          <cell r="G121" t="str">
            <v>GK 正</v>
          </cell>
          <cell r="H121" t="str">
            <v>GK 副</v>
          </cell>
          <cell r="I121">
            <v>0</v>
          </cell>
          <cell r="L121" t="str">
            <v>ユニフォーム</v>
          </cell>
          <cell r="M121">
            <v>0</v>
          </cell>
          <cell r="N121" t="str">
            <v>FP 正</v>
          </cell>
          <cell r="O121" t="str">
            <v>FP 副</v>
          </cell>
          <cell r="P121">
            <v>0</v>
          </cell>
          <cell r="Q121" t="str">
            <v>GK 正</v>
          </cell>
          <cell r="R121" t="str">
            <v>GK 副</v>
          </cell>
          <cell r="S121">
            <v>0</v>
          </cell>
          <cell r="U121">
            <v>0</v>
          </cell>
          <cell r="V121">
            <v>0</v>
          </cell>
          <cell r="W121">
            <v>0</v>
          </cell>
          <cell r="X121">
            <v>0</v>
          </cell>
          <cell r="Y121">
            <v>0</v>
          </cell>
          <cell r="Z121">
            <v>0</v>
          </cell>
          <cell r="AA121">
            <v>0</v>
          </cell>
          <cell r="AB121">
            <v>0</v>
          </cell>
          <cell r="AC121">
            <v>0</v>
          </cell>
        </row>
        <row r="122">
          <cell r="B122" t="str">
            <v>シャツ</v>
          </cell>
          <cell r="C122">
            <v>0</v>
          </cell>
          <cell r="D122" t="str">
            <v>青</v>
          </cell>
          <cell r="E122" t="str">
            <v>赤</v>
          </cell>
          <cell r="F122">
            <v>0</v>
          </cell>
          <cell r="G122" t="str">
            <v>緑</v>
          </cell>
          <cell r="H122" t="str">
            <v>灰</v>
          </cell>
          <cell r="I122">
            <v>0</v>
          </cell>
          <cell r="L122" t="str">
            <v>シャツ</v>
          </cell>
          <cell r="M122">
            <v>0</v>
          </cell>
          <cell r="N122" t="str">
            <v>白</v>
          </cell>
          <cell r="O122" t="str">
            <v>赤</v>
          </cell>
          <cell r="P122">
            <v>0</v>
          </cell>
          <cell r="Q122" t="str">
            <v>橙</v>
          </cell>
          <cell r="R122" t="str">
            <v>灰</v>
          </cell>
          <cell r="S122">
            <v>0</v>
          </cell>
          <cell r="U122">
            <v>0</v>
          </cell>
          <cell r="V122">
            <v>0</v>
          </cell>
          <cell r="W122">
            <v>0</v>
          </cell>
          <cell r="X122">
            <v>0</v>
          </cell>
          <cell r="Y122">
            <v>0</v>
          </cell>
          <cell r="Z122">
            <v>0</v>
          </cell>
          <cell r="AA122">
            <v>0</v>
          </cell>
          <cell r="AB122">
            <v>0</v>
          </cell>
          <cell r="AC122">
            <v>0</v>
          </cell>
        </row>
        <row r="123">
          <cell r="B123" t="str">
            <v>パンツ</v>
          </cell>
          <cell r="C123">
            <v>0</v>
          </cell>
          <cell r="D123" t="str">
            <v>青</v>
          </cell>
          <cell r="E123" t="str">
            <v>赤</v>
          </cell>
          <cell r="F123">
            <v>0</v>
          </cell>
          <cell r="G123" t="str">
            <v>緑</v>
          </cell>
          <cell r="H123" t="str">
            <v>灰</v>
          </cell>
          <cell r="I123">
            <v>0</v>
          </cell>
          <cell r="L123" t="str">
            <v>パンツ</v>
          </cell>
          <cell r="M123">
            <v>0</v>
          </cell>
          <cell r="N123" t="str">
            <v>白</v>
          </cell>
          <cell r="O123" t="str">
            <v>紺</v>
          </cell>
          <cell r="P123">
            <v>0</v>
          </cell>
          <cell r="Q123" t="str">
            <v>橙</v>
          </cell>
          <cell r="R123" t="str">
            <v>灰</v>
          </cell>
          <cell r="S123">
            <v>0</v>
          </cell>
          <cell r="U123">
            <v>0</v>
          </cell>
          <cell r="V123">
            <v>0</v>
          </cell>
          <cell r="W123">
            <v>0</v>
          </cell>
          <cell r="X123">
            <v>0</v>
          </cell>
          <cell r="Y123">
            <v>0</v>
          </cell>
          <cell r="Z123">
            <v>0</v>
          </cell>
          <cell r="AA123">
            <v>0</v>
          </cell>
          <cell r="AB123">
            <v>0</v>
          </cell>
          <cell r="AC123">
            <v>0</v>
          </cell>
        </row>
        <row r="124">
          <cell r="B124" t="str">
            <v>ストッキング</v>
          </cell>
          <cell r="C124">
            <v>0</v>
          </cell>
          <cell r="D124" t="str">
            <v>青</v>
          </cell>
          <cell r="E124" t="str">
            <v>赤</v>
          </cell>
          <cell r="F124">
            <v>0</v>
          </cell>
          <cell r="G124" t="str">
            <v>緑</v>
          </cell>
          <cell r="H124" t="str">
            <v>灰</v>
          </cell>
          <cell r="I124">
            <v>0</v>
          </cell>
          <cell r="L124" t="str">
            <v>ストッキング</v>
          </cell>
          <cell r="M124">
            <v>0</v>
          </cell>
          <cell r="N124" t="str">
            <v>白</v>
          </cell>
          <cell r="O124" t="str">
            <v>赤</v>
          </cell>
          <cell r="P124">
            <v>0</v>
          </cell>
          <cell r="Q124" t="str">
            <v>橙</v>
          </cell>
          <cell r="R124" t="str">
            <v>灰</v>
          </cell>
          <cell r="S124">
            <v>0</v>
          </cell>
          <cell r="U124">
            <v>0</v>
          </cell>
          <cell r="V124">
            <v>0</v>
          </cell>
          <cell r="W124">
            <v>0</v>
          </cell>
          <cell r="X124">
            <v>0</v>
          </cell>
          <cell r="Y124">
            <v>0</v>
          </cell>
          <cell r="Z124">
            <v>0</v>
          </cell>
          <cell r="AA124">
            <v>0</v>
          </cell>
          <cell r="AB124">
            <v>0</v>
          </cell>
          <cell r="AC124">
            <v>0</v>
          </cell>
        </row>
        <row r="125">
          <cell r="B125" t="str">
            <v>石川県代表 県大会第１位</v>
          </cell>
          <cell r="C125">
            <v>0</v>
          </cell>
          <cell r="D125">
            <v>0</v>
          </cell>
          <cell r="E125">
            <v>0</v>
          </cell>
          <cell r="F125">
            <v>0</v>
          </cell>
          <cell r="G125">
            <v>0</v>
          </cell>
          <cell r="H125">
            <v>0</v>
          </cell>
          <cell r="I125">
            <v>0</v>
          </cell>
          <cell r="L125" t="str">
            <v>石川県代表 県大会第２位</v>
          </cell>
          <cell r="M125">
            <v>0</v>
          </cell>
          <cell r="N125">
            <v>0</v>
          </cell>
          <cell r="O125">
            <v>0</v>
          </cell>
          <cell r="P125">
            <v>0</v>
          </cell>
          <cell r="Q125">
            <v>0</v>
          </cell>
          <cell r="R125">
            <v>0</v>
          </cell>
          <cell r="S125">
            <v>0</v>
          </cell>
          <cell r="V125" t="str">
            <v>石川県代表 県大会第３位</v>
          </cell>
          <cell r="W125">
            <v>0</v>
          </cell>
          <cell r="X125">
            <v>0</v>
          </cell>
          <cell r="Y125">
            <v>0</v>
          </cell>
          <cell r="Z125">
            <v>0</v>
          </cell>
          <cell r="AA125">
            <v>0</v>
          </cell>
          <cell r="AB125">
            <v>0</v>
          </cell>
          <cell r="AC125">
            <v>0</v>
          </cell>
        </row>
        <row r="126">
          <cell r="B126" t="str">
            <v>私立星稜中学校</v>
          </cell>
          <cell r="C126">
            <v>0</v>
          </cell>
          <cell r="D126">
            <v>0</v>
          </cell>
          <cell r="E126">
            <v>0</v>
          </cell>
          <cell r="F126">
            <v>0</v>
          </cell>
          <cell r="G126">
            <v>0</v>
          </cell>
          <cell r="H126">
            <v>0</v>
          </cell>
          <cell r="I126">
            <v>0</v>
          </cell>
          <cell r="L126" t="str">
            <v>小松市立南部中学校</v>
          </cell>
          <cell r="M126">
            <v>0</v>
          </cell>
          <cell r="N126">
            <v>0</v>
          </cell>
          <cell r="O126">
            <v>0</v>
          </cell>
          <cell r="P126">
            <v>0</v>
          </cell>
          <cell r="Q126">
            <v>0</v>
          </cell>
          <cell r="R126">
            <v>0</v>
          </cell>
          <cell r="S126">
            <v>0</v>
          </cell>
          <cell r="V126" t="str">
            <v>金沢市立西南部中学校</v>
          </cell>
          <cell r="W126">
            <v>0</v>
          </cell>
          <cell r="X126">
            <v>0</v>
          </cell>
          <cell r="Y126">
            <v>0</v>
          </cell>
          <cell r="Z126">
            <v>0</v>
          </cell>
          <cell r="AA126">
            <v>0</v>
          </cell>
          <cell r="AB126">
            <v>0</v>
          </cell>
          <cell r="AC126">
            <v>0</v>
          </cell>
        </row>
        <row r="127">
          <cell r="B127" t="str">
            <v>学校所在地</v>
          </cell>
          <cell r="C127">
            <v>0</v>
          </cell>
          <cell r="D127" t="str">
            <v>石川県金沢市小坂町南２０６番地</v>
          </cell>
          <cell r="E127">
            <v>0</v>
          </cell>
          <cell r="F127">
            <v>0</v>
          </cell>
          <cell r="G127">
            <v>0</v>
          </cell>
          <cell r="H127">
            <v>0</v>
          </cell>
          <cell r="I127">
            <v>0</v>
          </cell>
          <cell r="L127" t="str">
            <v>学校所在地</v>
          </cell>
          <cell r="M127">
            <v>0</v>
          </cell>
          <cell r="N127" t="str">
            <v>石川県小松市島町ヌ43番地</v>
          </cell>
          <cell r="O127">
            <v>0</v>
          </cell>
          <cell r="P127">
            <v>0</v>
          </cell>
          <cell r="Q127">
            <v>0</v>
          </cell>
          <cell r="R127">
            <v>0</v>
          </cell>
          <cell r="S127">
            <v>0</v>
          </cell>
          <cell r="V127" t="str">
            <v>学校所在地</v>
          </cell>
          <cell r="W127">
            <v>0</v>
          </cell>
          <cell r="X127" t="str">
            <v>金沢市新保本１丁目１４９番地</v>
          </cell>
          <cell r="Y127">
            <v>0</v>
          </cell>
          <cell r="Z127">
            <v>0</v>
          </cell>
          <cell r="AA127">
            <v>0</v>
          </cell>
          <cell r="AB127">
            <v>0</v>
          </cell>
          <cell r="AC127">
            <v>0</v>
          </cell>
        </row>
        <row r="128">
          <cell r="B128" t="str">
            <v>監督</v>
          </cell>
          <cell r="C128">
            <v>0</v>
          </cell>
          <cell r="D128" t="str">
            <v>河合 伸幸</v>
          </cell>
          <cell r="E128">
            <v>0</v>
          </cell>
          <cell r="F128">
            <v>0</v>
          </cell>
          <cell r="G128">
            <v>0</v>
          </cell>
          <cell r="H128">
            <v>0</v>
          </cell>
          <cell r="I128">
            <v>0</v>
          </cell>
          <cell r="L128" t="str">
            <v>監督</v>
          </cell>
          <cell r="M128">
            <v>0</v>
          </cell>
          <cell r="N128" t="str">
            <v>香林 一央</v>
          </cell>
          <cell r="O128">
            <v>0</v>
          </cell>
          <cell r="P128">
            <v>0</v>
          </cell>
          <cell r="Q128">
            <v>0</v>
          </cell>
          <cell r="R128">
            <v>0</v>
          </cell>
          <cell r="S128">
            <v>0</v>
          </cell>
          <cell r="V128" t="str">
            <v>監督</v>
          </cell>
          <cell r="W128">
            <v>0</v>
          </cell>
          <cell r="X128" t="str">
            <v>千木 良介</v>
          </cell>
          <cell r="Y128">
            <v>0</v>
          </cell>
          <cell r="Z128">
            <v>0</v>
          </cell>
          <cell r="AA128">
            <v>0</v>
          </cell>
          <cell r="AB128">
            <v>0</v>
          </cell>
          <cell r="AC128">
            <v>0</v>
          </cell>
        </row>
        <row r="129">
          <cell r="B129" t="str">
            <v>コーチ</v>
          </cell>
          <cell r="C129">
            <v>0</v>
          </cell>
          <cell r="D129" t="str">
            <v>小倉 朋也</v>
          </cell>
          <cell r="E129">
            <v>0</v>
          </cell>
          <cell r="F129">
            <v>0</v>
          </cell>
          <cell r="G129">
            <v>0</v>
          </cell>
          <cell r="H129" t="str">
            <v>(承認)</v>
          </cell>
          <cell r="I129">
            <v>0</v>
          </cell>
          <cell r="L129" t="str">
            <v>コーチ</v>
          </cell>
          <cell r="M129">
            <v>0</v>
          </cell>
          <cell r="N129" t="str">
            <v>水口 昌彦</v>
          </cell>
          <cell r="O129">
            <v>0</v>
          </cell>
          <cell r="P129">
            <v>0</v>
          </cell>
          <cell r="Q129">
            <v>0</v>
          </cell>
          <cell r="R129" t="str">
            <v>(承認)</v>
          </cell>
          <cell r="S129">
            <v>0</v>
          </cell>
          <cell r="V129" t="str">
            <v>コーチ</v>
          </cell>
          <cell r="W129">
            <v>0</v>
          </cell>
          <cell r="X129" t="str">
            <v>木村 奈緒子</v>
          </cell>
          <cell r="Y129">
            <v>0</v>
          </cell>
          <cell r="Z129">
            <v>0</v>
          </cell>
          <cell r="AA129">
            <v>0</v>
          </cell>
          <cell r="AB129" t="str">
            <v>(教員)</v>
          </cell>
          <cell r="AC129">
            <v>0</v>
          </cell>
        </row>
        <row r="130">
          <cell r="B130" t="str">
            <v>マネージャー</v>
          </cell>
          <cell r="C130">
            <v>0</v>
          </cell>
          <cell r="D130" t="str">
            <v>伊藤 累</v>
          </cell>
          <cell r="E130">
            <v>0</v>
          </cell>
          <cell r="F130">
            <v>0</v>
          </cell>
          <cell r="G130">
            <v>0</v>
          </cell>
          <cell r="H130" t="str">
            <v>(教員)</v>
          </cell>
          <cell r="I130">
            <v>0</v>
          </cell>
          <cell r="L130" t="str">
            <v>マネージャー</v>
          </cell>
          <cell r="M130">
            <v>0</v>
          </cell>
          <cell r="N130" t="str">
            <v>小田 夏稀</v>
          </cell>
          <cell r="O130">
            <v>0</v>
          </cell>
          <cell r="P130">
            <v>0</v>
          </cell>
          <cell r="Q130">
            <v>0</v>
          </cell>
          <cell r="R130" t="str">
            <v>(生徒)</v>
          </cell>
          <cell r="S130">
            <v>0</v>
          </cell>
          <cell r="V130" t="str">
            <v>マネージャー</v>
          </cell>
          <cell r="W130">
            <v>0</v>
          </cell>
          <cell r="X130" t="str">
            <v>中越 達哉</v>
          </cell>
          <cell r="Y130">
            <v>0</v>
          </cell>
          <cell r="Z130">
            <v>0</v>
          </cell>
          <cell r="AA130">
            <v>0</v>
          </cell>
          <cell r="AB130" t="str">
            <v>(生徒)</v>
          </cell>
          <cell r="AC130">
            <v>0</v>
          </cell>
        </row>
        <row r="131">
          <cell r="D131">
            <v>0</v>
          </cell>
          <cell r="E131">
            <v>0</v>
          </cell>
          <cell r="F131">
            <v>0</v>
          </cell>
          <cell r="G131">
            <v>0</v>
          </cell>
          <cell r="H131">
            <v>0</v>
          </cell>
          <cell r="I131">
            <v>0</v>
          </cell>
          <cell r="N131">
            <v>0</v>
          </cell>
          <cell r="O131">
            <v>0</v>
          </cell>
          <cell r="P131">
            <v>0</v>
          </cell>
          <cell r="Q131">
            <v>0</v>
          </cell>
          <cell r="R131">
            <v>0</v>
          </cell>
          <cell r="S131">
            <v>0</v>
          </cell>
          <cell r="X131">
            <v>0</v>
          </cell>
          <cell r="Y131">
            <v>0</v>
          </cell>
          <cell r="Z131">
            <v>0</v>
          </cell>
          <cell r="AA131">
            <v>0</v>
          </cell>
          <cell r="AB131">
            <v>0</v>
          </cell>
          <cell r="AC131">
            <v>0</v>
          </cell>
        </row>
        <row r="132">
          <cell r="A132" t="str">
            <v>先発</v>
          </cell>
          <cell r="B132" t="str">
            <v>番号</v>
          </cell>
          <cell r="C132" t="str">
            <v>位置</v>
          </cell>
          <cell r="D132" t="str">
            <v>氏名</v>
          </cell>
          <cell r="E132">
            <v>0</v>
          </cell>
          <cell r="F132" t="str">
            <v>ふりがな</v>
          </cell>
          <cell r="G132">
            <v>0</v>
          </cell>
          <cell r="H132">
            <v>0</v>
          </cell>
          <cell r="I132" t="str">
            <v>学年</v>
          </cell>
          <cell r="K132" t="str">
            <v>先発</v>
          </cell>
          <cell r="L132" t="str">
            <v>番号</v>
          </cell>
          <cell r="M132" t="str">
            <v>位置</v>
          </cell>
          <cell r="N132" t="str">
            <v>氏名</v>
          </cell>
          <cell r="O132">
            <v>0</v>
          </cell>
          <cell r="P132" t="str">
            <v>ふりがな</v>
          </cell>
          <cell r="Q132">
            <v>0</v>
          </cell>
          <cell r="R132">
            <v>0</v>
          </cell>
          <cell r="S132" t="str">
            <v>学年</v>
          </cell>
          <cell r="U132" t="str">
            <v>先発</v>
          </cell>
          <cell r="V132" t="str">
            <v>番号</v>
          </cell>
          <cell r="W132" t="str">
            <v>位置</v>
          </cell>
          <cell r="X132" t="str">
            <v>氏名</v>
          </cell>
          <cell r="Y132">
            <v>0</v>
          </cell>
          <cell r="Z132" t="str">
            <v>ふりがな</v>
          </cell>
          <cell r="AA132">
            <v>0</v>
          </cell>
          <cell r="AB132">
            <v>0</v>
          </cell>
          <cell r="AC132" t="str">
            <v>学年</v>
          </cell>
        </row>
        <row r="133">
          <cell r="A133">
            <v>0</v>
          </cell>
          <cell r="B133">
            <v>1</v>
          </cell>
          <cell r="C133" t="str">
            <v>GK</v>
          </cell>
          <cell r="D133" t="str">
            <v>高木 優輔</v>
          </cell>
          <cell r="E133">
            <v>0</v>
          </cell>
          <cell r="F133" t="str">
            <v>たかぎ ゆうすけ</v>
          </cell>
          <cell r="G133">
            <v>0</v>
          </cell>
          <cell r="H133">
            <v>0</v>
          </cell>
          <cell r="I133">
            <v>3</v>
          </cell>
          <cell r="K133">
            <v>0</v>
          </cell>
          <cell r="L133">
            <v>1</v>
          </cell>
          <cell r="M133" t="str">
            <v>GK</v>
          </cell>
          <cell r="N133" t="str">
            <v>宮本 碧</v>
          </cell>
          <cell r="O133">
            <v>0</v>
          </cell>
          <cell r="P133" t="str">
            <v>みやもと あおい</v>
          </cell>
          <cell r="Q133">
            <v>0</v>
          </cell>
          <cell r="R133">
            <v>0</v>
          </cell>
          <cell r="S133">
            <v>3</v>
          </cell>
          <cell r="U133">
            <v>0</v>
          </cell>
          <cell r="V133">
            <v>1</v>
          </cell>
          <cell r="W133" t="str">
            <v>GK</v>
          </cell>
          <cell r="X133" t="str">
            <v>廣瀬 統暉</v>
          </cell>
          <cell r="Y133">
            <v>0</v>
          </cell>
          <cell r="Z133" t="str">
            <v>ひろせ とうき</v>
          </cell>
          <cell r="AA133">
            <v>0</v>
          </cell>
          <cell r="AB133">
            <v>0</v>
          </cell>
          <cell r="AC133">
            <v>3</v>
          </cell>
        </row>
        <row r="134">
          <cell r="A134">
            <v>0</v>
          </cell>
          <cell r="B134">
            <v>2</v>
          </cell>
          <cell r="C134" t="str">
            <v>DF</v>
          </cell>
          <cell r="D134" t="str">
            <v>大海 仁嗣</v>
          </cell>
          <cell r="E134">
            <v>0</v>
          </cell>
          <cell r="F134" t="str">
            <v>おおうみ まさし</v>
          </cell>
          <cell r="G134">
            <v>0</v>
          </cell>
          <cell r="H134">
            <v>0</v>
          </cell>
          <cell r="I134">
            <v>3</v>
          </cell>
          <cell r="K134">
            <v>0</v>
          </cell>
          <cell r="L134">
            <v>2</v>
          </cell>
          <cell r="M134" t="str">
            <v>DF</v>
          </cell>
          <cell r="N134" t="str">
            <v>吉田 愛</v>
          </cell>
          <cell r="O134">
            <v>0</v>
          </cell>
          <cell r="P134" t="str">
            <v>よした ちかし</v>
          </cell>
          <cell r="Q134">
            <v>0</v>
          </cell>
          <cell r="R134">
            <v>0</v>
          </cell>
          <cell r="S134">
            <v>3</v>
          </cell>
          <cell r="U134">
            <v>0</v>
          </cell>
          <cell r="V134">
            <v>2</v>
          </cell>
          <cell r="W134" t="str">
            <v>DF</v>
          </cell>
          <cell r="X134" t="str">
            <v>中浦 俊貴</v>
          </cell>
          <cell r="Y134">
            <v>0</v>
          </cell>
          <cell r="Z134" t="str">
            <v>なかうら としき</v>
          </cell>
          <cell r="AA134">
            <v>0</v>
          </cell>
          <cell r="AB134">
            <v>0</v>
          </cell>
          <cell r="AC134">
            <v>3</v>
          </cell>
        </row>
        <row r="135">
          <cell r="A135">
            <v>0</v>
          </cell>
          <cell r="B135">
            <v>3</v>
          </cell>
          <cell r="C135" t="str">
            <v>DF</v>
          </cell>
          <cell r="D135" t="str">
            <v>坂田 秀晃</v>
          </cell>
          <cell r="E135">
            <v>0</v>
          </cell>
          <cell r="F135" t="str">
            <v>さかた ひであき</v>
          </cell>
          <cell r="G135">
            <v>0</v>
          </cell>
          <cell r="H135">
            <v>0</v>
          </cell>
          <cell r="I135">
            <v>3</v>
          </cell>
          <cell r="K135">
            <v>0</v>
          </cell>
          <cell r="L135">
            <v>3</v>
          </cell>
          <cell r="M135" t="str">
            <v>DF</v>
          </cell>
          <cell r="N135" t="str">
            <v>嶋野 虎次郎</v>
          </cell>
          <cell r="O135">
            <v>0</v>
          </cell>
          <cell r="P135" t="str">
            <v>しまの こじろう</v>
          </cell>
          <cell r="Q135">
            <v>0</v>
          </cell>
          <cell r="R135">
            <v>0</v>
          </cell>
          <cell r="S135">
            <v>3</v>
          </cell>
          <cell r="U135">
            <v>0</v>
          </cell>
          <cell r="V135">
            <v>3</v>
          </cell>
          <cell r="W135" t="str">
            <v>DF</v>
          </cell>
          <cell r="X135" t="str">
            <v>中林 成貴</v>
          </cell>
          <cell r="Y135">
            <v>0</v>
          </cell>
          <cell r="Z135" t="str">
            <v>なかばやし なるき</v>
          </cell>
          <cell r="AA135">
            <v>0</v>
          </cell>
          <cell r="AB135">
            <v>0</v>
          </cell>
          <cell r="AC135">
            <v>3</v>
          </cell>
        </row>
        <row r="136">
          <cell r="A136">
            <v>0</v>
          </cell>
          <cell r="B136">
            <v>4</v>
          </cell>
          <cell r="C136" t="str">
            <v>MF</v>
          </cell>
          <cell r="D136" t="str">
            <v>宇野 政宗</v>
          </cell>
          <cell r="E136">
            <v>0</v>
          </cell>
          <cell r="F136" t="str">
            <v>うの まさむね</v>
          </cell>
          <cell r="G136">
            <v>0</v>
          </cell>
          <cell r="H136">
            <v>0</v>
          </cell>
          <cell r="I136">
            <v>3</v>
          </cell>
          <cell r="K136">
            <v>0</v>
          </cell>
          <cell r="L136">
            <v>4</v>
          </cell>
          <cell r="M136" t="str">
            <v>DF</v>
          </cell>
          <cell r="N136" t="str">
            <v>玉田 大</v>
          </cell>
          <cell r="O136">
            <v>0</v>
          </cell>
          <cell r="P136" t="str">
            <v>たまだ はじめ</v>
          </cell>
          <cell r="Q136">
            <v>0</v>
          </cell>
          <cell r="R136">
            <v>0</v>
          </cell>
          <cell r="S136">
            <v>3</v>
          </cell>
          <cell r="U136">
            <v>0</v>
          </cell>
          <cell r="V136">
            <v>4</v>
          </cell>
          <cell r="W136" t="str">
            <v>DF</v>
          </cell>
          <cell r="X136" t="str">
            <v>清造 大翔</v>
          </cell>
          <cell r="Y136">
            <v>0</v>
          </cell>
          <cell r="Z136" t="str">
            <v>せいぞう ひろと</v>
          </cell>
          <cell r="AA136">
            <v>0</v>
          </cell>
          <cell r="AB136">
            <v>0</v>
          </cell>
          <cell r="AC136">
            <v>3</v>
          </cell>
        </row>
        <row r="137">
          <cell r="A137">
            <v>0</v>
          </cell>
          <cell r="B137">
            <v>5</v>
          </cell>
          <cell r="C137" t="str">
            <v>DF</v>
          </cell>
          <cell r="D137" t="str">
            <v>上田 凌太朗</v>
          </cell>
          <cell r="E137">
            <v>0</v>
          </cell>
          <cell r="F137" t="str">
            <v>うえだ りょうたろう</v>
          </cell>
          <cell r="G137">
            <v>0</v>
          </cell>
          <cell r="H137">
            <v>0</v>
          </cell>
          <cell r="I137">
            <v>3</v>
          </cell>
          <cell r="K137">
            <v>0</v>
          </cell>
          <cell r="L137">
            <v>5</v>
          </cell>
          <cell r="M137" t="str">
            <v>DF</v>
          </cell>
          <cell r="N137" t="str">
            <v>北村 和輝</v>
          </cell>
          <cell r="O137">
            <v>0</v>
          </cell>
          <cell r="P137" t="str">
            <v>きたむら かずき</v>
          </cell>
          <cell r="Q137">
            <v>0</v>
          </cell>
          <cell r="R137">
            <v>0</v>
          </cell>
          <cell r="S137">
            <v>3</v>
          </cell>
          <cell r="U137">
            <v>0</v>
          </cell>
          <cell r="V137">
            <v>5</v>
          </cell>
          <cell r="W137" t="str">
            <v>MF</v>
          </cell>
          <cell r="X137" t="str">
            <v>覺間 亮</v>
          </cell>
          <cell r="Y137">
            <v>0</v>
          </cell>
          <cell r="Z137" t="str">
            <v>かくま りょう</v>
          </cell>
          <cell r="AA137">
            <v>0</v>
          </cell>
          <cell r="AB137">
            <v>0</v>
          </cell>
          <cell r="AC137">
            <v>3</v>
          </cell>
        </row>
        <row r="138">
          <cell r="A138">
            <v>0</v>
          </cell>
          <cell r="B138">
            <v>6</v>
          </cell>
          <cell r="C138" t="str">
            <v>MF</v>
          </cell>
          <cell r="D138" t="str">
            <v>敷田 唯</v>
          </cell>
          <cell r="E138">
            <v>0</v>
          </cell>
          <cell r="F138" t="str">
            <v>しきだ ゆい</v>
          </cell>
          <cell r="G138">
            <v>0</v>
          </cell>
          <cell r="H138">
            <v>0</v>
          </cell>
          <cell r="I138">
            <v>2</v>
          </cell>
          <cell r="K138">
            <v>0</v>
          </cell>
          <cell r="L138">
            <v>6</v>
          </cell>
          <cell r="M138" t="str">
            <v>MF</v>
          </cell>
          <cell r="N138" t="str">
            <v>濱岡 寛太郎</v>
          </cell>
          <cell r="O138">
            <v>0</v>
          </cell>
          <cell r="P138" t="str">
            <v>はまおか かんたろう</v>
          </cell>
          <cell r="Q138">
            <v>0</v>
          </cell>
          <cell r="R138">
            <v>0</v>
          </cell>
          <cell r="S138">
            <v>3</v>
          </cell>
          <cell r="U138">
            <v>0</v>
          </cell>
          <cell r="V138">
            <v>6</v>
          </cell>
          <cell r="W138" t="str">
            <v>MF</v>
          </cell>
          <cell r="X138" t="str">
            <v>藤岡 諒太</v>
          </cell>
          <cell r="Y138">
            <v>0</v>
          </cell>
          <cell r="Z138" t="str">
            <v>ふじおか りょうた</v>
          </cell>
          <cell r="AA138">
            <v>0</v>
          </cell>
          <cell r="AB138">
            <v>0</v>
          </cell>
          <cell r="AC138">
            <v>3</v>
          </cell>
        </row>
        <row r="139">
          <cell r="A139">
            <v>0</v>
          </cell>
          <cell r="B139">
            <v>7</v>
          </cell>
          <cell r="C139" t="str">
            <v>MF</v>
          </cell>
          <cell r="D139" t="str">
            <v>川崎 聖矢</v>
          </cell>
          <cell r="E139">
            <v>0</v>
          </cell>
          <cell r="F139" t="str">
            <v>かわさき せいや</v>
          </cell>
          <cell r="G139">
            <v>0</v>
          </cell>
          <cell r="H139">
            <v>0</v>
          </cell>
          <cell r="I139">
            <v>3</v>
          </cell>
          <cell r="K139">
            <v>0</v>
          </cell>
          <cell r="L139">
            <v>7</v>
          </cell>
          <cell r="M139" t="str">
            <v>MF</v>
          </cell>
          <cell r="N139" t="str">
            <v>尾留川 大河</v>
          </cell>
          <cell r="O139">
            <v>0</v>
          </cell>
          <cell r="P139" t="str">
            <v>びるかわ たいが</v>
          </cell>
          <cell r="Q139">
            <v>0</v>
          </cell>
          <cell r="R139">
            <v>0</v>
          </cell>
          <cell r="S139">
            <v>3</v>
          </cell>
          <cell r="U139">
            <v>0</v>
          </cell>
          <cell r="V139">
            <v>7</v>
          </cell>
          <cell r="W139" t="str">
            <v>MF</v>
          </cell>
          <cell r="X139" t="str">
            <v>荒磯 賢史</v>
          </cell>
          <cell r="Y139">
            <v>0</v>
          </cell>
          <cell r="Z139" t="str">
            <v>あらいそ けんし</v>
          </cell>
          <cell r="AA139">
            <v>0</v>
          </cell>
          <cell r="AB139">
            <v>0</v>
          </cell>
          <cell r="AC139">
            <v>3</v>
          </cell>
        </row>
        <row r="140">
          <cell r="A140">
            <v>0</v>
          </cell>
          <cell r="B140">
            <v>8</v>
          </cell>
          <cell r="C140" t="str">
            <v>FW</v>
          </cell>
          <cell r="D140" t="str">
            <v>後藤 秀騎</v>
          </cell>
          <cell r="E140">
            <v>0</v>
          </cell>
          <cell r="F140" t="str">
            <v>ごとう しゅうき</v>
          </cell>
          <cell r="G140">
            <v>0</v>
          </cell>
          <cell r="H140">
            <v>0</v>
          </cell>
          <cell r="I140">
            <v>3</v>
          </cell>
          <cell r="K140">
            <v>0</v>
          </cell>
          <cell r="L140">
            <v>8</v>
          </cell>
          <cell r="M140" t="str">
            <v>FW</v>
          </cell>
          <cell r="N140" t="str">
            <v>西出 磨生</v>
          </cell>
          <cell r="O140">
            <v>0</v>
          </cell>
          <cell r="P140" t="str">
            <v>にしで まお</v>
          </cell>
          <cell r="Q140">
            <v>0</v>
          </cell>
          <cell r="R140">
            <v>0</v>
          </cell>
          <cell r="S140">
            <v>3</v>
          </cell>
          <cell r="U140">
            <v>0</v>
          </cell>
          <cell r="V140">
            <v>8</v>
          </cell>
          <cell r="W140" t="str">
            <v>MF</v>
          </cell>
          <cell r="X140" t="str">
            <v>青森 柊哉</v>
          </cell>
          <cell r="Y140">
            <v>0</v>
          </cell>
          <cell r="Z140" t="str">
            <v>あおもり とうや</v>
          </cell>
          <cell r="AA140">
            <v>0</v>
          </cell>
          <cell r="AB140">
            <v>0</v>
          </cell>
          <cell r="AC140">
            <v>3</v>
          </cell>
        </row>
        <row r="141">
          <cell r="A141">
            <v>0</v>
          </cell>
          <cell r="B141">
            <v>9</v>
          </cell>
          <cell r="C141" t="str">
            <v>MF</v>
          </cell>
          <cell r="D141" t="str">
            <v>竹森 萌</v>
          </cell>
          <cell r="E141">
            <v>0</v>
          </cell>
          <cell r="F141" t="str">
            <v>たけもり はじめ</v>
          </cell>
          <cell r="G141">
            <v>0</v>
          </cell>
          <cell r="H141">
            <v>0</v>
          </cell>
          <cell r="I141">
            <v>3</v>
          </cell>
          <cell r="K141">
            <v>0</v>
          </cell>
          <cell r="L141">
            <v>9</v>
          </cell>
          <cell r="M141" t="str">
            <v>MF</v>
          </cell>
          <cell r="N141" t="str">
            <v>長河 翔大</v>
          </cell>
          <cell r="O141">
            <v>0</v>
          </cell>
          <cell r="P141" t="str">
            <v>ながかわ しょうた</v>
          </cell>
          <cell r="Q141">
            <v>0</v>
          </cell>
          <cell r="R141">
            <v>0</v>
          </cell>
          <cell r="S141">
            <v>3</v>
          </cell>
          <cell r="U141">
            <v>0</v>
          </cell>
          <cell r="V141">
            <v>9</v>
          </cell>
          <cell r="W141" t="str">
            <v>MF</v>
          </cell>
          <cell r="X141" t="str">
            <v>溝畠 正太郎</v>
          </cell>
          <cell r="Y141">
            <v>0</v>
          </cell>
          <cell r="Z141" t="str">
            <v>みぞはた しょうたろう</v>
          </cell>
          <cell r="AA141">
            <v>0</v>
          </cell>
          <cell r="AB141">
            <v>0</v>
          </cell>
          <cell r="AC141">
            <v>3</v>
          </cell>
        </row>
        <row r="142">
          <cell r="A142">
            <v>0</v>
          </cell>
          <cell r="B142">
            <v>10</v>
          </cell>
          <cell r="C142" t="str">
            <v>FW</v>
          </cell>
          <cell r="D142" t="str">
            <v>原田 光丸</v>
          </cell>
          <cell r="E142">
            <v>0</v>
          </cell>
          <cell r="F142" t="str">
            <v>はらだ みつまる</v>
          </cell>
          <cell r="G142">
            <v>0</v>
          </cell>
          <cell r="H142">
            <v>0</v>
          </cell>
          <cell r="I142">
            <v>3</v>
          </cell>
          <cell r="K142">
            <v>0</v>
          </cell>
          <cell r="L142">
            <v>10</v>
          </cell>
          <cell r="M142" t="str">
            <v>DF</v>
          </cell>
          <cell r="N142" t="str">
            <v>山本 澪</v>
          </cell>
          <cell r="O142">
            <v>0</v>
          </cell>
          <cell r="P142" t="str">
            <v>やまもと れい</v>
          </cell>
          <cell r="Q142">
            <v>0</v>
          </cell>
          <cell r="R142">
            <v>0</v>
          </cell>
          <cell r="S142">
            <v>3</v>
          </cell>
          <cell r="U142">
            <v>0</v>
          </cell>
          <cell r="V142">
            <v>10</v>
          </cell>
          <cell r="W142" t="str">
            <v>MF</v>
          </cell>
          <cell r="X142" t="str">
            <v>南 隼人</v>
          </cell>
          <cell r="Y142">
            <v>0</v>
          </cell>
          <cell r="Z142" t="str">
            <v>みなみ はやと</v>
          </cell>
          <cell r="AA142">
            <v>0</v>
          </cell>
          <cell r="AB142">
            <v>0</v>
          </cell>
          <cell r="AC142">
            <v>3</v>
          </cell>
        </row>
        <row r="143">
          <cell r="A143">
            <v>0</v>
          </cell>
          <cell r="B143">
            <v>11</v>
          </cell>
          <cell r="C143" t="str">
            <v>FW</v>
          </cell>
          <cell r="D143" t="str">
            <v>松尾 航平</v>
          </cell>
          <cell r="E143">
            <v>0</v>
          </cell>
          <cell r="F143" t="str">
            <v>まつお こうへい</v>
          </cell>
          <cell r="G143">
            <v>0</v>
          </cell>
          <cell r="H143">
            <v>0</v>
          </cell>
          <cell r="I143">
            <v>3</v>
          </cell>
          <cell r="K143">
            <v>0</v>
          </cell>
          <cell r="L143">
            <v>11</v>
          </cell>
          <cell r="M143" t="str">
            <v>FW</v>
          </cell>
          <cell r="N143" t="str">
            <v>北原 隆矢</v>
          </cell>
          <cell r="O143">
            <v>0</v>
          </cell>
          <cell r="P143" t="str">
            <v>きたはら りゅうや</v>
          </cell>
          <cell r="Q143">
            <v>0</v>
          </cell>
          <cell r="R143">
            <v>0</v>
          </cell>
          <cell r="S143">
            <v>3</v>
          </cell>
          <cell r="U143">
            <v>0</v>
          </cell>
          <cell r="V143">
            <v>11</v>
          </cell>
          <cell r="W143" t="str">
            <v>FW</v>
          </cell>
          <cell r="X143" t="str">
            <v>坂本 侑弥</v>
          </cell>
          <cell r="Y143">
            <v>0</v>
          </cell>
          <cell r="Z143" t="str">
            <v>さかもと ゆうや</v>
          </cell>
          <cell r="AA143">
            <v>0</v>
          </cell>
          <cell r="AB143">
            <v>0</v>
          </cell>
          <cell r="AC143">
            <v>3</v>
          </cell>
        </row>
        <row r="144">
          <cell r="A144">
            <v>0</v>
          </cell>
          <cell r="B144">
            <v>12</v>
          </cell>
          <cell r="C144" t="str">
            <v>MF</v>
          </cell>
          <cell r="D144" t="str">
            <v>木挽 航</v>
          </cell>
          <cell r="E144">
            <v>0</v>
          </cell>
          <cell r="F144" t="str">
            <v>こびき わたる</v>
          </cell>
          <cell r="G144">
            <v>0</v>
          </cell>
          <cell r="H144">
            <v>0</v>
          </cell>
          <cell r="I144">
            <v>3</v>
          </cell>
          <cell r="K144">
            <v>0</v>
          </cell>
          <cell r="L144">
            <v>12</v>
          </cell>
          <cell r="M144" t="str">
            <v>MF</v>
          </cell>
          <cell r="N144" t="str">
            <v>大森 道也</v>
          </cell>
          <cell r="O144">
            <v>0</v>
          </cell>
          <cell r="P144" t="str">
            <v>おおもり みちや</v>
          </cell>
          <cell r="Q144">
            <v>0</v>
          </cell>
          <cell r="R144">
            <v>0</v>
          </cell>
          <cell r="S144">
            <v>3</v>
          </cell>
          <cell r="U144">
            <v>0</v>
          </cell>
          <cell r="V144">
            <v>12</v>
          </cell>
          <cell r="W144" t="str">
            <v>DF</v>
          </cell>
          <cell r="X144" t="str">
            <v>大矢 恭輔</v>
          </cell>
          <cell r="Y144">
            <v>0</v>
          </cell>
          <cell r="Z144" t="str">
            <v>おおや きょうすけ</v>
          </cell>
          <cell r="AA144">
            <v>0</v>
          </cell>
          <cell r="AB144">
            <v>0</v>
          </cell>
          <cell r="AC144">
            <v>3</v>
          </cell>
        </row>
        <row r="145">
          <cell r="A145">
            <v>0</v>
          </cell>
          <cell r="B145">
            <v>13</v>
          </cell>
          <cell r="C145" t="str">
            <v>DF</v>
          </cell>
          <cell r="D145" t="str">
            <v>西尾 輝陽</v>
          </cell>
          <cell r="E145">
            <v>0</v>
          </cell>
          <cell r="F145" t="str">
            <v>にしお あさひ</v>
          </cell>
          <cell r="G145">
            <v>0</v>
          </cell>
          <cell r="H145">
            <v>0</v>
          </cell>
          <cell r="I145">
            <v>3</v>
          </cell>
          <cell r="K145">
            <v>0</v>
          </cell>
          <cell r="L145">
            <v>13</v>
          </cell>
          <cell r="M145" t="str">
            <v>FW</v>
          </cell>
          <cell r="N145" t="str">
            <v>高島 崚</v>
          </cell>
          <cell r="O145">
            <v>0</v>
          </cell>
          <cell r="P145" t="str">
            <v>たかしま りょう</v>
          </cell>
          <cell r="Q145">
            <v>0</v>
          </cell>
          <cell r="R145">
            <v>0</v>
          </cell>
          <cell r="S145">
            <v>3</v>
          </cell>
          <cell r="U145">
            <v>0</v>
          </cell>
          <cell r="V145">
            <v>13</v>
          </cell>
          <cell r="W145" t="str">
            <v>DF</v>
          </cell>
          <cell r="X145" t="str">
            <v>森田 岳斗</v>
          </cell>
          <cell r="Y145">
            <v>0</v>
          </cell>
          <cell r="Z145" t="str">
            <v>もりた やまと</v>
          </cell>
          <cell r="AA145">
            <v>0</v>
          </cell>
          <cell r="AB145">
            <v>0</v>
          </cell>
          <cell r="AC145">
            <v>3</v>
          </cell>
        </row>
        <row r="146">
          <cell r="A146">
            <v>0</v>
          </cell>
          <cell r="B146">
            <v>14</v>
          </cell>
          <cell r="C146" t="str">
            <v>MF</v>
          </cell>
          <cell r="D146" t="str">
            <v>長田 大樹</v>
          </cell>
          <cell r="E146">
            <v>0</v>
          </cell>
          <cell r="F146" t="str">
            <v>ながた だいき</v>
          </cell>
          <cell r="G146">
            <v>0</v>
          </cell>
          <cell r="H146">
            <v>0</v>
          </cell>
          <cell r="I146">
            <v>2</v>
          </cell>
          <cell r="K146">
            <v>0</v>
          </cell>
          <cell r="L146">
            <v>14</v>
          </cell>
          <cell r="M146" t="str">
            <v>MF</v>
          </cell>
          <cell r="N146" t="str">
            <v>高橋 五郎</v>
          </cell>
          <cell r="O146">
            <v>0</v>
          </cell>
          <cell r="P146" t="str">
            <v>たかはし ごろう</v>
          </cell>
          <cell r="Q146">
            <v>0</v>
          </cell>
          <cell r="R146">
            <v>0</v>
          </cell>
          <cell r="S146">
            <v>2</v>
          </cell>
          <cell r="U146">
            <v>0</v>
          </cell>
          <cell r="V146">
            <v>14</v>
          </cell>
          <cell r="W146" t="str">
            <v>FW</v>
          </cell>
          <cell r="X146" t="str">
            <v>鍋島 矢宏</v>
          </cell>
          <cell r="Y146">
            <v>0</v>
          </cell>
          <cell r="Z146" t="str">
            <v>なべしま やひろ</v>
          </cell>
          <cell r="AA146">
            <v>0</v>
          </cell>
          <cell r="AB146">
            <v>0</v>
          </cell>
          <cell r="AC146">
            <v>3</v>
          </cell>
        </row>
        <row r="147">
          <cell r="A147">
            <v>0</v>
          </cell>
          <cell r="B147">
            <v>15</v>
          </cell>
          <cell r="C147" t="str">
            <v>DF</v>
          </cell>
          <cell r="D147" t="str">
            <v>五島 魁大</v>
          </cell>
          <cell r="E147">
            <v>0</v>
          </cell>
          <cell r="F147" t="str">
            <v>ごしま かいと</v>
          </cell>
          <cell r="G147">
            <v>0</v>
          </cell>
          <cell r="H147">
            <v>0</v>
          </cell>
          <cell r="I147">
            <v>2</v>
          </cell>
          <cell r="K147">
            <v>0</v>
          </cell>
          <cell r="L147">
            <v>15</v>
          </cell>
          <cell r="M147" t="str">
            <v>FW</v>
          </cell>
          <cell r="N147" t="str">
            <v>山本 忍</v>
          </cell>
          <cell r="O147">
            <v>0</v>
          </cell>
          <cell r="P147" t="str">
            <v>やまもと じん</v>
          </cell>
          <cell r="Q147">
            <v>0</v>
          </cell>
          <cell r="R147">
            <v>0</v>
          </cell>
          <cell r="S147">
            <v>1</v>
          </cell>
          <cell r="U147">
            <v>0</v>
          </cell>
          <cell r="V147">
            <v>15</v>
          </cell>
          <cell r="W147" t="str">
            <v>MF</v>
          </cell>
          <cell r="X147" t="str">
            <v>松本 直樹</v>
          </cell>
          <cell r="Y147">
            <v>0</v>
          </cell>
          <cell r="Z147" t="str">
            <v>まつもと なおき</v>
          </cell>
          <cell r="AA147">
            <v>0</v>
          </cell>
          <cell r="AB147">
            <v>0</v>
          </cell>
          <cell r="AC147">
            <v>3</v>
          </cell>
        </row>
        <row r="148">
          <cell r="A148">
            <v>0</v>
          </cell>
          <cell r="B148">
            <v>16</v>
          </cell>
          <cell r="C148" t="str">
            <v>MF</v>
          </cell>
          <cell r="D148" t="str">
            <v>河村 侑輝</v>
          </cell>
          <cell r="E148">
            <v>0</v>
          </cell>
          <cell r="F148" t="str">
            <v>かわむら ゆうき</v>
          </cell>
          <cell r="G148">
            <v>0</v>
          </cell>
          <cell r="H148">
            <v>0</v>
          </cell>
          <cell r="I148">
            <v>2</v>
          </cell>
          <cell r="K148">
            <v>0</v>
          </cell>
          <cell r="L148">
            <v>16</v>
          </cell>
          <cell r="M148" t="str">
            <v>MF</v>
          </cell>
          <cell r="N148" t="str">
            <v>北村 圭梧</v>
          </cell>
          <cell r="O148">
            <v>0</v>
          </cell>
          <cell r="P148" t="str">
            <v>きたむら けいご</v>
          </cell>
          <cell r="Q148">
            <v>0</v>
          </cell>
          <cell r="R148">
            <v>0</v>
          </cell>
          <cell r="S148">
            <v>2</v>
          </cell>
          <cell r="U148">
            <v>0</v>
          </cell>
          <cell r="V148">
            <v>16</v>
          </cell>
          <cell r="W148" t="str">
            <v>GK</v>
          </cell>
          <cell r="X148" t="str">
            <v>松田 大雅</v>
          </cell>
          <cell r="Y148">
            <v>0</v>
          </cell>
          <cell r="Z148" t="str">
            <v>まつだ たいが</v>
          </cell>
          <cell r="AA148">
            <v>0</v>
          </cell>
          <cell r="AB148">
            <v>0</v>
          </cell>
          <cell r="AC148">
            <v>3</v>
          </cell>
        </row>
        <row r="149">
          <cell r="A149">
            <v>0</v>
          </cell>
          <cell r="B149">
            <v>17</v>
          </cell>
          <cell r="C149" t="str">
            <v>GK</v>
          </cell>
          <cell r="D149" t="str">
            <v>表 瑠海</v>
          </cell>
          <cell r="E149">
            <v>0</v>
          </cell>
          <cell r="F149" t="str">
            <v>おもて るか</v>
          </cell>
          <cell r="G149">
            <v>0</v>
          </cell>
          <cell r="H149">
            <v>0</v>
          </cell>
          <cell r="I149">
            <v>2</v>
          </cell>
          <cell r="K149">
            <v>0</v>
          </cell>
          <cell r="L149">
            <v>17</v>
          </cell>
          <cell r="M149" t="str">
            <v>DF</v>
          </cell>
          <cell r="N149" t="str">
            <v>市坂 陽明</v>
          </cell>
          <cell r="O149">
            <v>0</v>
          </cell>
          <cell r="P149" t="str">
            <v>いちさか はるあき</v>
          </cell>
          <cell r="Q149">
            <v>0</v>
          </cell>
          <cell r="R149">
            <v>0</v>
          </cell>
          <cell r="S149">
            <v>2</v>
          </cell>
          <cell r="U149">
            <v>0</v>
          </cell>
          <cell r="V149">
            <v>17</v>
          </cell>
          <cell r="W149" t="str">
            <v>MF</v>
          </cell>
          <cell r="X149" t="str">
            <v>高出 逸平</v>
          </cell>
          <cell r="Y149">
            <v>0</v>
          </cell>
          <cell r="Z149" t="str">
            <v>たかで いっぺい</v>
          </cell>
          <cell r="AA149">
            <v>0</v>
          </cell>
          <cell r="AB149">
            <v>0</v>
          </cell>
          <cell r="AC149">
            <v>3</v>
          </cell>
        </row>
        <row r="150">
          <cell r="A150">
            <v>0</v>
          </cell>
          <cell r="B150">
            <v>18</v>
          </cell>
          <cell r="C150" t="str">
            <v>FW</v>
          </cell>
          <cell r="D150" t="str">
            <v>肥田 稜平</v>
          </cell>
          <cell r="E150">
            <v>0</v>
          </cell>
          <cell r="F150" t="str">
            <v>ひだ りょうへい</v>
          </cell>
          <cell r="G150">
            <v>0</v>
          </cell>
          <cell r="H150">
            <v>0</v>
          </cell>
          <cell r="I150">
            <v>2</v>
          </cell>
          <cell r="K150">
            <v>0</v>
          </cell>
          <cell r="L150">
            <v>18</v>
          </cell>
          <cell r="M150" t="str">
            <v>GK</v>
          </cell>
          <cell r="N150" t="str">
            <v>大桑 達成</v>
          </cell>
          <cell r="O150">
            <v>0</v>
          </cell>
          <cell r="P150" t="str">
            <v>おおくわ たつなり</v>
          </cell>
          <cell r="Q150">
            <v>0</v>
          </cell>
          <cell r="R150">
            <v>0</v>
          </cell>
          <cell r="S150">
            <v>3</v>
          </cell>
          <cell r="U150">
            <v>0</v>
          </cell>
          <cell r="V150">
            <v>18</v>
          </cell>
          <cell r="W150" t="str">
            <v>MF</v>
          </cell>
          <cell r="X150" t="str">
            <v>山本 海月</v>
          </cell>
          <cell r="Y150">
            <v>0</v>
          </cell>
          <cell r="Z150" t="str">
            <v>やまもと みずき</v>
          </cell>
          <cell r="AA150">
            <v>0</v>
          </cell>
          <cell r="AB150">
            <v>0</v>
          </cell>
          <cell r="AC150">
            <v>3</v>
          </cell>
        </row>
        <row r="152">
          <cell r="B152" t="str">
            <v>ユニフォーム</v>
          </cell>
          <cell r="C152">
            <v>0</v>
          </cell>
          <cell r="D152" t="str">
            <v>FP 正</v>
          </cell>
          <cell r="E152" t="str">
            <v>FP 副</v>
          </cell>
          <cell r="F152">
            <v>0</v>
          </cell>
          <cell r="G152" t="str">
            <v>GK 正</v>
          </cell>
          <cell r="H152" t="str">
            <v>GK 副</v>
          </cell>
          <cell r="I152">
            <v>0</v>
          </cell>
          <cell r="L152" t="str">
            <v>ユニフォーム</v>
          </cell>
          <cell r="M152">
            <v>0</v>
          </cell>
          <cell r="N152" t="str">
            <v>FP 正</v>
          </cell>
          <cell r="O152" t="str">
            <v>FP 副</v>
          </cell>
          <cell r="P152">
            <v>0</v>
          </cell>
          <cell r="Q152" t="str">
            <v>GK 正</v>
          </cell>
          <cell r="R152" t="str">
            <v>GK 副</v>
          </cell>
          <cell r="S152">
            <v>0</v>
          </cell>
          <cell r="V152" t="str">
            <v>ユニフォーム</v>
          </cell>
          <cell r="W152">
            <v>0</v>
          </cell>
          <cell r="X152" t="str">
            <v>FP 正</v>
          </cell>
          <cell r="Y152" t="str">
            <v>FP 副</v>
          </cell>
          <cell r="Z152">
            <v>0</v>
          </cell>
          <cell r="AA152" t="str">
            <v>GK 正</v>
          </cell>
          <cell r="AB152" t="str">
            <v>GK 副</v>
          </cell>
          <cell r="AC152">
            <v>0</v>
          </cell>
        </row>
        <row r="153">
          <cell r="B153" t="str">
            <v>シャツ</v>
          </cell>
          <cell r="C153">
            <v>0</v>
          </cell>
          <cell r="D153" t="str">
            <v>黄</v>
          </cell>
          <cell r="E153" t="str">
            <v>白</v>
          </cell>
          <cell r="F153">
            <v>0</v>
          </cell>
          <cell r="G153" t="str">
            <v>赤</v>
          </cell>
          <cell r="H153" t="str">
            <v>グレー</v>
          </cell>
          <cell r="I153">
            <v>0</v>
          </cell>
          <cell r="L153" t="str">
            <v>シャツ</v>
          </cell>
          <cell r="M153">
            <v>0</v>
          </cell>
          <cell r="N153" t="str">
            <v>赤</v>
          </cell>
          <cell r="O153" t="str">
            <v>白</v>
          </cell>
          <cell r="P153">
            <v>0</v>
          </cell>
          <cell r="Q153" t="str">
            <v>黄</v>
          </cell>
          <cell r="R153" t="str">
            <v>緑</v>
          </cell>
          <cell r="S153">
            <v>0</v>
          </cell>
          <cell r="V153" t="str">
            <v>シャツ</v>
          </cell>
          <cell r="W153">
            <v>0</v>
          </cell>
          <cell r="X153" t="str">
            <v>緑</v>
          </cell>
          <cell r="Y153" t="str">
            <v>白</v>
          </cell>
          <cell r="Z153">
            <v>0</v>
          </cell>
          <cell r="AA153" t="str">
            <v>赤</v>
          </cell>
          <cell r="AB153" t="str">
            <v>橙</v>
          </cell>
          <cell r="AC153">
            <v>0</v>
          </cell>
        </row>
        <row r="154">
          <cell r="B154" t="str">
            <v>パンツ</v>
          </cell>
          <cell r="C154">
            <v>0</v>
          </cell>
          <cell r="D154" t="str">
            <v>緑</v>
          </cell>
          <cell r="E154" t="str">
            <v>白</v>
          </cell>
          <cell r="F154">
            <v>0</v>
          </cell>
          <cell r="G154" t="str">
            <v>赤</v>
          </cell>
          <cell r="H154" t="str">
            <v>グレー</v>
          </cell>
          <cell r="I154">
            <v>0</v>
          </cell>
          <cell r="L154" t="str">
            <v>パンツ</v>
          </cell>
          <cell r="M154">
            <v>0</v>
          </cell>
          <cell r="N154" t="str">
            <v>赤</v>
          </cell>
          <cell r="O154" t="str">
            <v>白</v>
          </cell>
          <cell r="P154">
            <v>0</v>
          </cell>
          <cell r="Q154" t="str">
            <v>黄</v>
          </cell>
          <cell r="R154" t="str">
            <v>緑</v>
          </cell>
          <cell r="S154">
            <v>0</v>
          </cell>
          <cell r="V154" t="str">
            <v>パンツ</v>
          </cell>
          <cell r="W154">
            <v>0</v>
          </cell>
          <cell r="X154" t="str">
            <v>赤</v>
          </cell>
          <cell r="Y154" t="str">
            <v>白</v>
          </cell>
          <cell r="Z154">
            <v>0</v>
          </cell>
          <cell r="AA154" t="str">
            <v>灰</v>
          </cell>
          <cell r="AB154" t="str">
            <v>橙</v>
          </cell>
          <cell r="AC154">
            <v>0</v>
          </cell>
        </row>
        <row r="155">
          <cell r="B155" t="str">
            <v>ストッキング</v>
          </cell>
          <cell r="C155">
            <v>0</v>
          </cell>
          <cell r="D155" t="str">
            <v>黄</v>
          </cell>
          <cell r="E155" t="str">
            <v>白</v>
          </cell>
          <cell r="F155">
            <v>0</v>
          </cell>
          <cell r="G155" t="str">
            <v>赤</v>
          </cell>
          <cell r="H155" t="str">
            <v>グレー</v>
          </cell>
          <cell r="I155">
            <v>0</v>
          </cell>
          <cell r="L155" t="str">
            <v>ストッキング</v>
          </cell>
          <cell r="M155">
            <v>0</v>
          </cell>
          <cell r="N155" t="str">
            <v>赤</v>
          </cell>
          <cell r="O155" t="str">
            <v>白</v>
          </cell>
          <cell r="P155">
            <v>0</v>
          </cell>
          <cell r="Q155" t="str">
            <v>黄</v>
          </cell>
          <cell r="R155" t="str">
            <v>緑</v>
          </cell>
          <cell r="S155">
            <v>0</v>
          </cell>
          <cell r="V155" t="str">
            <v>ストッキング</v>
          </cell>
          <cell r="W155">
            <v>0</v>
          </cell>
          <cell r="X155" t="str">
            <v>黄</v>
          </cell>
          <cell r="Y155" t="str">
            <v>白</v>
          </cell>
          <cell r="Z155">
            <v>0</v>
          </cell>
          <cell r="AA155" t="str">
            <v>灰</v>
          </cell>
          <cell r="AB155" t="str">
            <v>橙</v>
          </cell>
          <cell r="AC155">
            <v>0</v>
          </cell>
        </row>
      </sheetData>
      <sheetData sheetId="10"/>
      <sheetData sheetId="11"/>
      <sheetData sheetId="12"/>
      <sheetData sheetId="13"/>
      <sheetData sheetId="14"/>
      <sheetData sheetId="15"/>
      <sheetData sheetId="16"/>
      <sheetData sheetId="17"/>
      <sheetData sheetId="18"/>
      <sheetData sheetId="19"/>
      <sheetData sheetId="20"/>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60"/>
  <sheetViews>
    <sheetView zoomScaleNormal="100" workbookViewId="0">
      <selection activeCell="P21" sqref="P21"/>
    </sheetView>
  </sheetViews>
  <sheetFormatPr defaultColWidth="9" defaultRowHeight="12" x14ac:dyDescent="0.15"/>
  <cols>
    <col min="1" max="1" width="4.125" style="75" customWidth="1"/>
    <col min="2" max="50" width="1.875" style="75" customWidth="1"/>
    <col min="51" max="16384" width="9" style="75"/>
  </cols>
  <sheetData>
    <row r="1" spans="1:48" x14ac:dyDescent="0.15">
      <c r="A1" s="188" t="str">
        <f ca="1">"令和"&amp;IF(YEAR(NOW())=2019,"元",YEAR(NOW())-2018)&amp;"年度 第"&amp;YEAR(NOW())-2000&amp;"回 石川県中学校新人サッカー大会 監督会議および抽選会(偶数年度版)"</f>
        <v>令和5年度 第23回 石川県中学校新人サッカー大会 監督会議および抽選会(偶数年度版)</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row>
    <row r="2" spans="1:48" ht="7.5" customHeight="1" x14ac:dyDescent="0.15"/>
    <row r="3" spans="1:48" ht="14.25" customHeight="1" x14ac:dyDescent="0.15">
      <c r="A3" s="80" t="s">
        <v>285</v>
      </c>
    </row>
    <row r="4" spans="1:48" ht="14.25" customHeight="1" x14ac:dyDescent="0.15">
      <c r="B4" s="75" t="s">
        <v>310</v>
      </c>
      <c r="AA4" s="76" t="s">
        <v>311</v>
      </c>
      <c r="AC4" s="75" t="str">
        <f>表紙裏!O11</f>
        <v>岩脇　司　</v>
      </c>
    </row>
    <row r="5" spans="1:48" ht="14.25" customHeight="1" x14ac:dyDescent="0.15">
      <c r="B5" s="75" t="s">
        <v>286</v>
      </c>
    </row>
    <row r="6" spans="1:48" ht="14.25" customHeight="1" x14ac:dyDescent="0.15">
      <c r="B6" s="75" t="s">
        <v>287</v>
      </c>
    </row>
    <row r="7" spans="1:48" ht="14.25" customHeight="1" x14ac:dyDescent="0.15">
      <c r="B7" s="75" t="s">
        <v>288</v>
      </c>
    </row>
    <row r="8" spans="1:48" ht="7.5" customHeight="1" x14ac:dyDescent="0.15"/>
    <row r="9" spans="1:48" ht="14.25" customHeight="1" x14ac:dyDescent="0.15">
      <c r="A9" s="80" t="s">
        <v>289</v>
      </c>
    </row>
    <row r="10" spans="1:48" ht="14.25" customHeight="1" x14ac:dyDescent="0.15">
      <c r="A10" s="75" t="s">
        <v>320</v>
      </c>
    </row>
    <row r="11" spans="1:48" ht="14.25" customHeight="1" x14ac:dyDescent="0.15">
      <c r="E11" s="77" t="s">
        <v>293</v>
      </c>
      <c r="F11" s="183" t="s">
        <v>272</v>
      </c>
      <c r="G11" s="183"/>
      <c r="H11" s="183"/>
      <c r="I11" s="183"/>
      <c r="J11" s="182" t="s">
        <v>318</v>
      </c>
      <c r="K11" s="182"/>
      <c r="L11" s="182"/>
      <c r="N11" s="77" t="s">
        <v>294</v>
      </c>
      <c r="O11" s="183" t="s">
        <v>456</v>
      </c>
      <c r="P11" s="183"/>
      <c r="Q11" s="183"/>
      <c r="R11" s="183"/>
      <c r="S11" s="182" t="s">
        <v>318</v>
      </c>
      <c r="T11" s="182"/>
      <c r="U11" s="182"/>
      <c r="W11" s="77" t="s">
        <v>295</v>
      </c>
      <c r="X11" s="183" t="s">
        <v>273</v>
      </c>
      <c r="Y11" s="183"/>
      <c r="Z11" s="183"/>
      <c r="AA11" s="183"/>
      <c r="AB11" s="182" t="s">
        <v>318</v>
      </c>
      <c r="AC11" s="182"/>
      <c r="AD11" s="182"/>
    </row>
    <row r="12" spans="1:48" ht="14.25" customHeight="1" x14ac:dyDescent="0.15">
      <c r="A12" s="75" t="s">
        <v>321</v>
      </c>
    </row>
    <row r="13" spans="1:48" ht="14.25" customHeight="1" x14ac:dyDescent="0.15">
      <c r="D13" s="75" t="s">
        <v>325</v>
      </c>
    </row>
    <row r="14" spans="1:48" ht="14.25" customHeight="1" x14ac:dyDescent="0.15">
      <c r="D14" s="75" t="s">
        <v>312</v>
      </c>
      <c r="J14" s="77" t="s">
        <v>293</v>
      </c>
      <c r="K14" s="183" t="s">
        <v>457</v>
      </c>
      <c r="L14" s="183"/>
      <c r="M14" s="183"/>
      <c r="N14" s="183"/>
      <c r="O14" s="182" t="s">
        <v>318</v>
      </c>
      <c r="P14" s="182"/>
      <c r="Q14" s="182"/>
      <c r="R14" s="77"/>
    </row>
    <row r="15" spans="1:48" ht="14.25" customHeight="1" x14ac:dyDescent="0.15">
      <c r="D15" s="75" t="s">
        <v>313</v>
      </c>
      <c r="J15" s="77" t="s">
        <v>293</v>
      </c>
      <c r="K15" s="183" t="s">
        <v>2</v>
      </c>
      <c r="L15" s="183"/>
      <c r="M15" s="183"/>
      <c r="N15" s="183"/>
      <c r="O15" s="182" t="s">
        <v>318</v>
      </c>
      <c r="P15" s="182"/>
      <c r="Q15" s="182"/>
      <c r="R15" s="77"/>
      <c r="S15" s="77" t="s">
        <v>294</v>
      </c>
      <c r="T15" s="183" t="s">
        <v>458</v>
      </c>
      <c r="U15" s="183"/>
      <c r="V15" s="183"/>
      <c r="W15" s="183"/>
      <c r="X15" s="182" t="s">
        <v>318</v>
      </c>
      <c r="Y15" s="182"/>
      <c r="Z15" s="182"/>
      <c r="AA15" s="77"/>
      <c r="AB15" s="77" t="s">
        <v>295</v>
      </c>
      <c r="AC15" s="183" t="s">
        <v>460</v>
      </c>
      <c r="AD15" s="183"/>
      <c r="AE15" s="183"/>
      <c r="AF15" s="183"/>
      <c r="AG15" s="182" t="s">
        <v>318</v>
      </c>
      <c r="AH15" s="182"/>
      <c r="AI15" s="182"/>
      <c r="AJ15" s="77" t="s">
        <v>295</v>
      </c>
      <c r="AK15" s="183" t="s">
        <v>459</v>
      </c>
      <c r="AL15" s="183"/>
      <c r="AM15" s="183"/>
      <c r="AN15" s="183"/>
      <c r="AO15" s="182" t="s">
        <v>318</v>
      </c>
      <c r="AP15" s="182"/>
      <c r="AQ15" s="182"/>
    </row>
    <row r="16" spans="1:48" ht="14.25" customHeight="1" x14ac:dyDescent="0.15">
      <c r="J16" s="77" t="s">
        <v>297</v>
      </c>
      <c r="K16" s="184" t="s">
        <v>461</v>
      </c>
      <c r="L16" s="184"/>
      <c r="M16" s="184"/>
      <c r="N16" s="184"/>
      <c r="O16" s="182" t="s">
        <v>318</v>
      </c>
      <c r="P16" s="182"/>
      <c r="Q16" s="182"/>
      <c r="R16" s="77"/>
      <c r="S16" s="77" t="s">
        <v>297</v>
      </c>
      <c r="T16" s="183" t="s">
        <v>462</v>
      </c>
      <c r="U16" s="183"/>
      <c r="V16" s="183"/>
      <c r="W16" s="183"/>
      <c r="X16" s="182" t="s">
        <v>318</v>
      </c>
      <c r="Y16" s="182"/>
      <c r="Z16" s="182"/>
      <c r="AA16" s="77"/>
      <c r="AB16" s="77" t="s">
        <v>299</v>
      </c>
      <c r="AC16" s="184" t="s">
        <v>463</v>
      </c>
      <c r="AD16" s="184"/>
      <c r="AE16" s="184"/>
      <c r="AF16" s="184"/>
      <c r="AG16" s="182" t="s">
        <v>318</v>
      </c>
      <c r="AH16" s="182"/>
      <c r="AI16" s="182"/>
    </row>
    <row r="17" spans="1:48" ht="14.25" customHeight="1" x14ac:dyDescent="0.15">
      <c r="D17" s="75" t="s">
        <v>323</v>
      </c>
    </row>
    <row r="18" spans="1:48" ht="14.25" customHeight="1" x14ac:dyDescent="0.15">
      <c r="D18" s="75" t="s">
        <v>314</v>
      </c>
      <c r="L18" s="77" t="s">
        <v>293</v>
      </c>
      <c r="M18" s="183" t="s">
        <v>24</v>
      </c>
      <c r="N18" s="183"/>
      <c r="O18" s="183"/>
      <c r="P18" s="183"/>
      <c r="Q18" s="182" t="s">
        <v>318</v>
      </c>
      <c r="R18" s="182"/>
      <c r="S18" s="182"/>
      <c r="T18" s="77"/>
      <c r="U18" s="77" t="s">
        <v>294</v>
      </c>
      <c r="V18" s="183" t="s">
        <v>277</v>
      </c>
      <c r="W18" s="183"/>
      <c r="X18" s="183"/>
      <c r="Y18" s="183"/>
      <c r="Z18" s="182" t="s">
        <v>318</v>
      </c>
      <c r="AA18" s="182"/>
      <c r="AB18" s="182"/>
      <c r="AC18" s="77"/>
      <c r="AD18" s="77" t="s">
        <v>295</v>
      </c>
      <c r="AE18" s="183" t="s">
        <v>37</v>
      </c>
      <c r="AF18" s="183"/>
      <c r="AG18" s="183"/>
      <c r="AH18" s="183"/>
      <c r="AI18" s="182" t="s">
        <v>318</v>
      </c>
      <c r="AJ18" s="182"/>
      <c r="AK18" s="182"/>
    </row>
    <row r="19" spans="1:48" ht="14.25" customHeight="1" x14ac:dyDescent="0.15">
      <c r="D19" s="75" t="s">
        <v>315</v>
      </c>
      <c r="L19" s="77" t="s">
        <v>293</v>
      </c>
      <c r="M19" s="183" t="s">
        <v>280</v>
      </c>
      <c r="N19" s="183"/>
      <c r="O19" s="183"/>
      <c r="P19" s="183"/>
      <c r="Q19" s="182" t="s">
        <v>318</v>
      </c>
      <c r="R19" s="182"/>
      <c r="S19" s="182"/>
      <c r="T19" s="77"/>
    </row>
    <row r="20" spans="1:48" ht="14.25" customHeight="1" x14ac:dyDescent="0.15">
      <c r="D20" s="75" t="s">
        <v>316</v>
      </c>
      <c r="L20" s="77" t="s">
        <v>293</v>
      </c>
      <c r="M20" s="184" t="s">
        <v>36</v>
      </c>
      <c r="N20" s="184"/>
      <c r="O20" s="184"/>
      <c r="P20" s="184"/>
      <c r="Q20" s="182" t="s">
        <v>318</v>
      </c>
      <c r="R20" s="182"/>
      <c r="S20" s="182"/>
      <c r="T20" s="77"/>
    </row>
    <row r="21" spans="1:48" ht="7.5" customHeight="1" x14ac:dyDescent="0.15"/>
    <row r="22" spans="1:48" ht="14.25" customHeight="1" x14ac:dyDescent="0.15">
      <c r="A22" s="80" t="s">
        <v>290</v>
      </c>
    </row>
    <row r="23" spans="1:48" ht="14.25" customHeight="1" x14ac:dyDescent="0.15">
      <c r="B23" s="75" t="s">
        <v>324</v>
      </c>
    </row>
    <row r="24" spans="1:48" ht="7.5" customHeight="1" x14ac:dyDescent="0.15"/>
    <row r="25" spans="1:48" ht="14.25" customHeight="1" x14ac:dyDescent="0.15">
      <c r="A25" s="80" t="s">
        <v>291</v>
      </c>
    </row>
    <row r="26" spans="1:48" ht="14.25" customHeight="1" x14ac:dyDescent="0.15">
      <c r="A26" s="75" t="s">
        <v>292</v>
      </c>
    </row>
    <row r="27" spans="1:48" ht="14.25" customHeight="1" x14ac:dyDescent="0.15">
      <c r="C27" s="187" t="s">
        <v>326</v>
      </c>
      <c r="D27" s="187"/>
      <c r="E27" s="187"/>
      <c r="F27" s="187"/>
      <c r="G27" s="187"/>
      <c r="H27" s="187"/>
      <c r="I27" s="187"/>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187"/>
      <c r="AM27" s="187"/>
      <c r="AN27" s="187"/>
      <c r="AO27" s="187"/>
      <c r="AP27" s="187"/>
      <c r="AQ27" s="187"/>
      <c r="AR27" s="187"/>
      <c r="AS27" s="187"/>
      <c r="AT27" s="187"/>
      <c r="AU27" s="187"/>
      <c r="AV27" s="187"/>
    </row>
    <row r="28" spans="1:48" ht="14.25" customHeight="1" x14ac:dyDescent="0.15">
      <c r="B28" s="78"/>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187"/>
      <c r="AM28" s="187"/>
      <c r="AN28" s="187"/>
      <c r="AO28" s="187"/>
      <c r="AP28" s="187"/>
      <c r="AQ28" s="187"/>
      <c r="AR28" s="187"/>
      <c r="AS28" s="187"/>
      <c r="AT28" s="187"/>
      <c r="AU28" s="187"/>
      <c r="AV28" s="187"/>
    </row>
    <row r="29" spans="1:48" ht="7.5" customHeight="1" x14ac:dyDescent="0.15"/>
    <row r="30" spans="1:48" ht="14.25" customHeight="1" x14ac:dyDescent="0.15">
      <c r="G30" s="75" t="s">
        <v>317</v>
      </c>
      <c r="V30" s="95"/>
      <c r="W30" s="96"/>
    </row>
    <row r="31" spans="1:48" ht="14.25" customHeight="1" x14ac:dyDescent="0.15">
      <c r="O31" s="90"/>
      <c r="P31" s="94"/>
      <c r="Q31" s="94"/>
      <c r="R31" s="94"/>
      <c r="S31" s="94"/>
      <c r="T31" s="94"/>
      <c r="U31" s="94"/>
      <c r="V31" s="94"/>
      <c r="W31" s="94"/>
      <c r="X31" s="94"/>
      <c r="Y31" s="94"/>
      <c r="Z31" s="94"/>
      <c r="AA31" s="94"/>
      <c r="AB31" s="94"/>
      <c r="AC31" s="94"/>
      <c r="AD31" s="92"/>
    </row>
    <row r="32" spans="1:48" ht="14.25" customHeight="1" x14ac:dyDescent="0.15">
      <c r="J32" s="79"/>
      <c r="K32" s="90"/>
      <c r="L32" s="94"/>
      <c r="M32" s="94"/>
      <c r="N32" s="94"/>
      <c r="O32" s="94"/>
      <c r="P32" s="94"/>
      <c r="Q32" s="94"/>
      <c r="R32" s="92"/>
      <c r="AA32" s="90"/>
      <c r="AB32" s="94"/>
      <c r="AC32" s="94"/>
      <c r="AD32" s="94"/>
      <c r="AE32" s="94"/>
      <c r="AF32" s="94"/>
      <c r="AG32" s="94"/>
      <c r="AH32" s="92"/>
      <c r="AI32" s="79"/>
    </row>
    <row r="33" spans="1:48" ht="14.25" customHeight="1" x14ac:dyDescent="0.15">
      <c r="G33" s="79"/>
      <c r="H33" s="79"/>
      <c r="I33" s="90"/>
      <c r="J33" s="94"/>
      <c r="K33" s="94"/>
      <c r="L33" s="92"/>
      <c r="Q33" s="90"/>
      <c r="R33" s="94"/>
      <c r="S33" s="94"/>
      <c r="T33" s="92"/>
      <c r="Y33" s="90"/>
      <c r="Z33" s="94"/>
      <c r="AA33" s="94"/>
      <c r="AB33" s="92"/>
      <c r="AG33" s="90"/>
      <c r="AH33" s="94"/>
      <c r="AI33" s="94"/>
      <c r="AJ33" s="92"/>
      <c r="AK33" s="79"/>
      <c r="AL33" s="79"/>
    </row>
    <row r="34" spans="1:48" ht="14.25" customHeight="1" x14ac:dyDescent="0.15">
      <c r="F34" s="79"/>
      <c r="G34" s="79"/>
      <c r="H34" s="90"/>
      <c r="I34" s="91"/>
      <c r="L34" s="90"/>
      <c r="M34" s="92"/>
      <c r="P34" s="90"/>
      <c r="Q34" s="92"/>
      <c r="T34" s="90"/>
      <c r="U34" s="92"/>
      <c r="X34" s="90"/>
      <c r="Y34" s="92"/>
      <c r="AB34" s="90"/>
      <c r="AC34" s="92"/>
      <c r="AF34" s="90"/>
      <c r="AG34" s="92"/>
      <c r="AJ34" s="93"/>
      <c r="AK34" s="92"/>
      <c r="AL34" s="79"/>
    </row>
    <row r="35" spans="1:48" ht="14.25" customHeight="1" x14ac:dyDescent="0.15">
      <c r="A35" s="79"/>
      <c r="B35" s="79"/>
      <c r="C35" s="79"/>
      <c r="D35" s="79"/>
      <c r="E35" s="79"/>
      <c r="F35" s="79"/>
      <c r="G35" s="185" t="s">
        <v>347</v>
      </c>
      <c r="H35" s="185"/>
      <c r="I35" s="185" t="s">
        <v>294</v>
      </c>
      <c r="J35" s="185"/>
      <c r="K35" s="185" t="s">
        <v>295</v>
      </c>
      <c r="L35" s="185"/>
      <c r="M35" s="185" t="s">
        <v>296</v>
      </c>
      <c r="N35" s="185"/>
      <c r="O35" s="185" t="s">
        <v>297</v>
      </c>
      <c r="P35" s="185"/>
      <c r="Q35" s="185" t="s">
        <v>298</v>
      </c>
      <c r="R35" s="185"/>
      <c r="S35" s="185" t="s">
        <v>299</v>
      </c>
      <c r="T35" s="185"/>
      <c r="U35" s="185" t="s">
        <v>300</v>
      </c>
      <c r="V35" s="185"/>
      <c r="W35" s="185" t="s">
        <v>301</v>
      </c>
      <c r="X35" s="185"/>
      <c r="Y35" s="185" t="s">
        <v>302</v>
      </c>
      <c r="Z35" s="185"/>
      <c r="AA35" s="185" t="s">
        <v>303</v>
      </c>
      <c r="AB35" s="185"/>
      <c r="AC35" s="185" t="s">
        <v>304</v>
      </c>
      <c r="AD35" s="185"/>
      <c r="AE35" s="185" t="s">
        <v>305</v>
      </c>
      <c r="AF35" s="185"/>
      <c r="AG35" s="185" t="s">
        <v>306</v>
      </c>
      <c r="AH35" s="185"/>
      <c r="AI35" s="185" t="s">
        <v>307</v>
      </c>
      <c r="AJ35" s="185"/>
      <c r="AK35" s="185" t="s">
        <v>308</v>
      </c>
      <c r="AL35" s="185"/>
    </row>
    <row r="36" spans="1:48" ht="14.25" customHeight="1" x14ac:dyDescent="0.15">
      <c r="A36" s="79"/>
      <c r="B36" s="79"/>
      <c r="C36" s="79"/>
      <c r="D36" s="79"/>
      <c r="E36" s="79"/>
      <c r="F36" s="79"/>
      <c r="G36" s="186"/>
      <c r="H36" s="186"/>
      <c r="I36" s="186"/>
      <c r="J36" s="186"/>
      <c r="K36" s="186"/>
      <c r="L36" s="186"/>
      <c r="M36" s="186"/>
      <c r="N36" s="186"/>
      <c r="O36" s="186"/>
      <c r="P36" s="186"/>
      <c r="Q36" s="186"/>
      <c r="R36" s="186"/>
      <c r="S36" s="186"/>
      <c r="T36" s="186"/>
      <c r="U36" s="186"/>
      <c r="V36" s="186"/>
      <c r="W36" s="186"/>
      <c r="X36" s="186"/>
      <c r="Y36" s="186"/>
      <c r="Z36" s="186"/>
      <c r="AA36" s="186"/>
      <c r="AB36" s="186"/>
      <c r="AC36" s="186"/>
      <c r="AD36" s="186"/>
      <c r="AE36" s="186"/>
      <c r="AF36" s="186"/>
      <c r="AG36" s="186"/>
      <c r="AH36" s="186"/>
      <c r="AI36" s="186"/>
      <c r="AJ36" s="186"/>
      <c r="AK36" s="186"/>
      <c r="AL36" s="186"/>
    </row>
    <row r="37" spans="1:48" ht="7.5" customHeight="1" x14ac:dyDescent="0.15">
      <c r="A37" s="79"/>
      <c r="B37" s="79"/>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row>
    <row r="38" spans="1:48" ht="14.25" customHeight="1" x14ac:dyDescent="0.15">
      <c r="B38" s="75" t="s">
        <v>309</v>
      </c>
    </row>
    <row r="39" spans="1:48" ht="14.25" customHeight="1" x14ac:dyDescent="0.15">
      <c r="F39" s="75" t="s">
        <v>329</v>
      </c>
    </row>
    <row r="40" spans="1:48" ht="14.25" customHeight="1" x14ac:dyDescent="0.15">
      <c r="F40" s="75" t="s">
        <v>330</v>
      </c>
    </row>
    <row r="41" spans="1:48" ht="14.25" customHeight="1" x14ac:dyDescent="0.15">
      <c r="F41" s="75" t="s">
        <v>328</v>
      </c>
    </row>
    <row r="42" spans="1:48" ht="7.5" customHeight="1" x14ac:dyDescent="0.15"/>
    <row r="43" spans="1:48" ht="14.25" customHeight="1" x14ac:dyDescent="0.15">
      <c r="C43" s="187" t="s">
        <v>331</v>
      </c>
      <c r="D43" s="187"/>
      <c r="E43" s="187"/>
      <c r="F43" s="187"/>
      <c r="G43" s="187"/>
      <c r="H43" s="187"/>
      <c r="I43" s="187"/>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7"/>
      <c r="AJ43" s="187"/>
      <c r="AK43" s="187"/>
      <c r="AL43" s="187"/>
      <c r="AM43" s="187"/>
      <c r="AN43" s="187"/>
      <c r="AO43" s="187"/>
      <c r="AP43" s="187"/>
      <c r="AQ43" s="187"/>
      <c r="AR43" s="187"/>
      <c r="AS43" s="187"/>
      <c r="AT43" s="187"/>
      <c r="AU43" s="187"/>
      <c r="AV43" s="187"/>
    </row>
    <row r="44" spans="1:48" ht="14.25" customHeight="1" x14ac:dyDescent="0.15">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7"/>
      <c r="AL44" s="187"/>
      <c r="AM44" s="187"/>
      <c r="AN44" s="187"/>
      <c r="AO44" s="187"/>
      <c r="AP44" s="187"/>
      <c r="AQ44" s="187"/>
      <c r="AR44" s="187"/>
      <c r="AS44" s="187"/>
      <c r="AT44" s="187"/>
      <c r="AU44" s="187"/>
      <c r="AV44" s="187"/>
    </row>
    <row r="45" spans="1:48" ht="14.25" customHeight="1" x14ac:dyDescent="0.15">
      <c r="C45" s="187" t="s">
        <v>332</v>
      </c>
      <c r="D45" s="187"/>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c r="AG45" s="187"/>
      <c r="AH45" s="187"/>
      <c r="AI45" s="187"/>
      <c r="AJ45" s="187"/>
      <c r="AK45" s="187"/>
      <c r="AL45" s="187"/>
      <c r="AM45" s="187"/>
      <c r="AN45" s="187"/>
      <c r="AO45" s="187"/>
      <c r="AP45" s="187"/>
      <c r="AQ45" s="187"/>
      <c r="AR45" s="187"/>
      <c r="AS45" s="187"/>
      <c r="AT45" s="187"/>
      <c r="AU45" s="187"/>
      <c r="AV45" s="187"/>
    </row>
    <row r="46" spans="1:48" ht="14.25" customHeight="1" x14ac:dyDescent="0.15">
      <c r="C46" s="187"/>
      <c r="D46" s="187"/>
      <c r="E46" s="187"/>
      <c r="F46" s="187"/>
      <c r="G46" s="187"/>
      <c r="H46" s="187"/>
      <c r="I46" s="187"/>
      <c r="J46" s="187"/>
      <c r="K46" s="187"/>
      <c r="L46" s="187"/>
      <c r="M46" s="187"/>
      <c r="N46" s="187"/>
      <c r="O46" s="187"/>
      <c r="P46" s="187"/>
      <c r="Q46" s="187"/>
      <c r="R46" s="187"/>
      <c r="S46" s="187"/>
      <c r="T46" s="187"/>
      <c r="U46" s="187"/>
      <c r="V46" s="187"/>
      <c r="W46" s="187"/>
      <c r="X46" s="187"/>
      <c r="Y46" s="187"/>
      <c r="Z46" s="187"/>
      <c r="AA46" s="187"/>
      <c r="AB46" s="187"/>
      <c r="AC46" s="187"/>
      <c r="AD46" s="187"/>
      <c r="AE46" s="187"/>
      <c r="AF46" s="187"/>
      <c r="AG46" s="187"/>
      <c r="AH46" s="187"/>
      <c r="AI46" s="187"/>
      <c r="AJ46" s="187"/>
      <c r="AK46" s="187"/>
      <c r="AL46" s="187"/>
      <c r="AM46" s="187"/>
      <c r="AN46" s="187"/>
      <c r="AO46" s="187"/>
      <c r="AP46" s="187"/>
      <c r="AQ46" s="187"/>
      <c r="AR46" s="187"/>
      <c r="AS46" s="187"/>
      <c r="AT46" s="187"/>
      <c r="AU46" s="187"/>
      <c r="AV46" s="187"/>
    </row>
    <row r="47" spans="1:48" ht="14.25" customHeight="1" x14ac:dyDescent="0.15">
      <c r="B47" s="75" t="s">
        <v>333</v>
      </c>
    </row>
    <row r="48" spans="1:48" ht="14.25" customHeight="1" x14ac:dyDescent="0.15">
      <c r="D48" s="75" t="s">
        <v>341</v>
      </c>
    </row>
    <row r="49" spans="1:48" ht="14.25" customHeight="1" x14ac:dyDescent="0.15">
      <c r="D49" s="189" t="s">
        <v>338</v>
      </c>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89"/>
      <c r="AI49" s="189"/>
      <c r="AJ49" s="189"/>
      <c r="AK49" s="189"/>
      <c r="AL49" s="189"/>
      <c r="AM49" s="189"/>
      <c r="AN49" s="189"/>
      <c r="AO49" s="189"/>
      <c r="AP49" s="189"/>
      <c r="AQ49" s="189"/>
      <c r="AR49" s="189"/>
      <c r="AS49" s="189"/>
      <c r="AT49" s="189"/>
      <c r="AU49" s="189"/>
      <c r="AV49" s="189"/>
    </row>
    <row r="50" spans="1:48" ht="14.25" customHeight="1" x14ac:dyDescent="0.15">
      <c r="D50" s="189"/>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row>
    <row r="51" spans="1:48" ht="14.25" customHeight="1" x14ac:dyDescent="0.15">
      <c r="D51" s="189"/>
      <c r="E51" s="189"/>
      <c r="F51" s="189"/>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c r="AK51" s="189"/>
      <c r="AL51" s="189"/>
      <c r="AM51" s="189"/>
      <c r="AN51" s="189"/>
      <c r="AO51" s="189"/>
      <c r="AP51" s="189"/>
      <c r="AQ51" s="189"/>
      <c r="AR51" s="189"/>
      <c r="AS51" s="189"/>
      <c r="AT51" s="189"/>
      <c r="AU51" s="189"/>
      <c r="AV51" s="189"/>
    </row>
    <row r="52" spans="1:48" ht="14.25" customHeight="1" x14ac:dyDescent="0.15">
      <c r="D52" s="189"/>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189"/>
      <c r="AK52" s="189"/>
      <c r="AL52" s="189"/>
      <c r="AM52" s="189"/>
      <c r="AN52" s="189"/>
      <c r="AO52" s="189"/>
      <c r="AP52" s="189"/>
      <c r="AQ52" s="189"/>
      <c r="AR52" s="189"/>
      <c r="AS52" s="189"/>
      <c r="AT52" s="189"/>
      <c r="AU52" s="189"/>
      <c r="AV52" s="189"/>
    </row>
    <row r="53" spans="1:48" ht="14.25" customHeight="1" x14ac:dyDescent="0.15">
      <c r="C53" s="187" t="s">
        <v>342</v>
      </c>
      <c r="D53" s="187"/>
      <c r="E53" s="187"/>
      <c r="F53" s="187"/>
      <c r="G53" s="187"/>
      <c r="H53" s="187"/>
      <c r="I53" s="187"/>
      <c r="J53" s="187"/>
      <c r="K53" s="187"/>
      <c r="L53" s="187"/>
      <c r="M53" s="187"/>
      <c r="N53" s="187"/>
      <c r="O53" s="187"/>
      <c r="P53" s="187"/>
      <c r="Q53" s="187"/>
      <c r="R53" s="187"/>
      <c r="S53" s="187"/>
      <c r="T53" s="187"/>
      <c r="U53" s="187"/>
      <c r="V53" s="187"/>
      <c r="W53" s="187"/>
      <c r="X53" s="187"/>
      <c r="Y53" s="187"/>
      <c r="Z53" s="187"/>
      <c r="AA53" s="187"/>
      <c r="AB53" s="187"/>
      <c r="AC53" s="187"/>
      <c r="AD53" s="187"/>
      <c r="AE53" s="187"/>
      <c r="AF53" s="187"/>
      <c r="AG53" s="187"/>
      <c r="AH53" s="187"/>
      <c r="AI53" s="187"/>
      <c r="AJ53" s="187"/>
      <c r="AK53" s="187"/>
      <c r="AL53" s="187"/>
      <c r="AM53" s="187"/>
      <c r="AN53" s="187"/>
      <c r="AO53" s="187"/>
      <c r="AP53" s="187"/>
      <c r="AQ53" s="187"/>
      <c r="AR53" s="187"/>
      <c r="AS53" s="187"/>
      <c r="AT53" s="187"/>
      <c r="AU53" s="187"/>
      <c r="AV53" s="187"/>
    </row>
    <row r="54" spans="1:48" ht="14.25" customHeight="1" x14ac:dyDescent="0.15">
      <c r="B54" s="78"/>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c r="AA54" s="187"/>
      <c r="AB54" s="187"/>
      <c r="AC54" s="187"/>
      <c r="AD54" s="187"/>
      <c r="AE54" s="187"/>
      <c r="AF54" s="187"/>
      <c r="AG54" s="187"/>
      <c r="AH54" s="187"/>
      <c r="AI54" s="187"/>
      <c r="AJ54" s="187"/>
      <c r="AK54" s="187"/>
      <c r="AL54" s="187"/>
      <c r="AM54" s="187"/>
      <c r="AN54" s="187"/>
      <c r="AO54" s="187"/>
      <c r="AP54" s="187"/>
      <c r="AQ54" s="187"/>
      <c r="AR54" s="187"/>
      <c r="AS54" s="187"/>
      <c r="AT54" s="187"/>
      <c r="AU54" s="187"/>
      <c r="AV54" s="187"/>
    </row>
    <row r="55" spans="1:48" ht="14.25" customHeight="1" x14ac:dyDescent="0.15">
      <c r="B55" s="75" t="s">
        <v>334</v>
      </c>
    </row>
    <row r="56" spans="1:48" ht="14.25" customHeight="1" x14ac:dyDescent="0.15">
      <c r="D56" s="187" t="s">
        <v>343</v>
      </c>
      <c r="E56" s="187"/>
      <c r="F56" s="187"/>
      <c r="G56" s="187"/>
      <c r="H56" s="187"/>
      <c r="I56" s="187"/>
      <c r="J56" s="187"/>
      <c r="K56" s="187"/>
      <c r="L56" s="187"/>
      <c r="M56" s="187"/>
      <c r="N56" s="187"/>
      <c r="O56" s="187"/>
      <c r="P56" s="187"/>
      <c r="Q56" s="187"/>
      <c r="R56" s="187"/>
      <c r="S56" s="187"/>
      <c r="T56" s="187"/>
      <c r="U56" s="187"/>
      <c r="V56" s="187"/>
      <c r="W56" s="187"/>
      <c r="X56" s="187"/>
      <c r="Y56" s="187"/>
      <c r="Z56" s="187"/>
      <c r="AA56" s="187"/>
      <c r="AB56" s="187"/>
      <c r="AC56" s="187"/>
      <c r="AD56" s="187"/>
      <c r="AE56" s="187"/>
      <c r="AF56" s="187"/>
      <c r="AG56" s="187"/>
      <c r="AH56" s="187"/>
      <c r="AI56" s="187"/>
      <c r="AJ56" s="187"/>
      <c r="AK56" s="187"/>
      <c r="AL56" s="187"/>
      <c r="AM56" s="187"/>
      <c r="AN56" s="187"/>
      <c r="AO56" s="187"/>
      <c r="AP56" s="187"/>
      <c r="AQ56" s="187"/>
      <c r="AR56" s="187"/>
      <c r="AS56" s="187"/>
      <c r="AT56" s="187"/>
      <c r="AU56" s="187"/>
      <c r="AV56" s="187"/>
    </row>
    <row r="57" spans="1:48" ht="14.25" customHeight="1" x14ac:dyDescent="0.15">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c r="AL57" s="187"/>
      <c r="AM57" s="187"/>
      <c r="AN57" s="187"/>
      <c r="AO57" s="187"/>
      <c r="AP57" s="187"/>
      <c r="AQ57" s="187"/>
      <c r="AR57" s="187"/>
      <c r="AS57" s="187"/>
      <c r="AT57" s="187"/>
      <c r="AU57" s="187"/>
      <c r="AV57" s="187"/>
    </row>
    <row r="58" spans="1:48" ht="14.25" customHeight="1" x14ac:dyDescent="0.15">
      <c r="C58" s="75" t="s">
        <v>335</v>
      </c>
    </row>
    <row r="59" spans="1:48" ht="7.5" customHeight="1" x14ac:dyDescent="0.15"/>
    <row r="60" spans="1:48" ht="14.25" customHeight="1" x14ac:dyDescent="0.15">
      <c r="A60" s="75" t="s">
        <v>327</v>
      </c>
    </row>
  </sheetData>
  <mergeCells count="55">
    <mergeCell ref="D56:AV57"/>
    <mergeCell ref="A1:AV1"/>
    <mergeCell ref="M35:N36"/>
    <mergeCell ref="K35:L36"/>
    <mergeCell ref="I35:J36"/>
    <mergeCell ref="G35:H36"/>
    <mergeCell ref="C53:AV54"/>
    <mergeCell ref="D49:AV52"/>
    <mergeCell ref="C45:AV46"/>
    <mergeCell ref="C43:AV44"/>
    <mergeCell ref="AK35:AL36"/>
    <mergeCell ref="AI35:AJ36"/>
    <mergeCell ref="AG35:AH36"/>
    <mergeCell ref="AE35:AF36"/>
    <mergeCell ref="AC35:AD36"/>
    <mergeCell ref="AA35:AB36"/>
    <mergeCell ref="Y35:Z36"/>
    <mergeCell ref="W35:X36"/>
    <mergeCell ref="U35:V36"/>
    <mergeCell ref="S35:T36"/>
    <mergeCell ref="Q35:R36"/>
    <mergeCell ref="O35:P36"/>
    <mergeCell ref="F11:I11"/>
    <mergeCell ref="J11:L11"/>
    <mergeCell ref="O11:R11"/>
    <mergeCell ref="S11:U11"/>
    <mergeCell ref="O16:Q16"/>
    <mergeCell ref="O15:Q15"/>
    <mergeCell ref="K16:N16"/>
    <mergeCell ref="K15:N15"/>
    <mergeCell ref="K14:N14"/>
    <mergeCell ref="Q20:S20"/>
    <mergeCell ref="Q19:S19"/>
    <mergeCell ref="Q18:S18"/>
    <mergeCell ref="O14:Q14"/>
    <mergeCell ref="C27:AV28"/>
    <mergeCell ref="M20:P20"/>
    <mergeCell ref="M19:P19"/>
    <mergeCell ref="M18:P18"/>
    <mergeCell ref="Z18:AB18"/>
    <mergeCell ref="X11:AA11"/>
    <mergeCell ref="AB11:AD11"/>
    <mergeCell ref="X16:Z16"/>
    <mergeCell ref="X15:Z15"/>
    <mergeCell ref="T15:W15"/>
    <mergeCell ref="AC15:AF15"/>
    <mergeCell ref="AC16:AF16"/>
    <mergeCell ref="T16:W16"/>
    <mergeCell ref="AE18:AH18"/>
    <mergeCell ref="V18:Y18"/>
    <mergeCell ref="AO15:AQ15"/>
    <mergeCell ref="AG16:AI16"/>
    <mergeCell ref="AG15:AI15"/>
    <mergeCell ref="AI18:AK18"/>
    <mergeCell ref="AK15:AN15"/>
  </mergeCells>
  <phoneticPr fontId="3"/>
  <pageMargins left="0.39370078740157483" right="0.59055118110236227" top="0.59055118110236227" bottom="0.59055118110236227" header="0.31496062992125984" footer="0.31496062992125984"/>
  <pageSetup paperSize="9" orientation="portrait" horizontalDpi="4294967292"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1"/>
  <sheetViews>
    <sheetView topLeftCell="A14" workbookViewId="0">
      <selection activeCell="C24" sqref="C24"/>
    </sheetView>
  </sheetViews>
  <sheetFormatPr defaultRowHeight="13.5" x14ac:dyDescent="0.15"/>
  <cols>
    <col min="1" max="1" width="3.5" bestFit="1" customWidth="1"/>
    <col min="2" max="2" width="7.125" bestFit="1" customWidth="1"/>
    <col min="3" max="3" width="7.125" customWidth="1"/>
    <col min="4" max="4" width="14.25" bestFit="1" customWidth="1"/>
    <col min="5" max="9" width="9" hidden="1" customWidth="1"/>
    <col min="10" max="11" width="9.25" hidden="1" customWidth="1"/>
    <col min="12" max="16" width="9" hidden="1" customWidth="1"/>
    <col min="17" max="17" width="23.5" hidden="1" customWidth="1"/>
  </cols>
  <sheetData>
    <row r="1" spans="1:17" x14ac:dyDescent="0.15">
      <c r="A1" s="24" t="s">
        <v>23</v>
      </c>
      <c r="B1" s="24" t="s">
        <v>5</v>
      </c>
      <c r="C1" s="24" t="s">
        <v>8</v>
      </c>
      <c r="D1" s="24"/>
      <c r="K1" t="s">
        <v>361</v>
      </c>
      <c r="L1" t="s">
        <v>356</v>
      </c>
      <c r="M1" t="s">
        <v>357</v>
      </c>
      <c r="N1" t="s">
        <v>358</v>
      </c>
      <c r="O1" t="s">
        <v>359</v>
      </c>
      <c r="P1" t="s">
        <v>362</v>
      </c>
      <c r="Q1" t="s">
        <v>360</v>
      </c>
    </row>
    <row r="2" spans="1:17" x14ac:dyDescent="0.15">
      <c r="A2" s="25">
        <v>1</v>
      </c>
      <c r="B2" s="26" t="s">
        <v>35</v>
      </c>
      <c r="C2" s="26" t="s">
        <v>38</v>
      </c>
      <c r="D2" s="25" t="str">
        <f t="shared" ref="D2:D15" si="0">IF(B2="","",IF(E2=1,F2,IF(I2=1,J2&amp;"年連続",I2&amp;"年ぶり")&amp;F2))</f>
        <v>初優勝</v>
      </c>
      <c r="E2" s="2">
        <f>IF(B2="","",COUNTIF($B$2:B2,B2))</f>
        <v>1</v>
      </c>
      <c r="F2" s="2" t="str">
        <f t="shared" ref="F2:F33" si="1">IF(B2="","",IF(E2=1,"初優勝",E2&amp;"回目"))</f>
        <v>初優勝</v>
      </c>
      <c r="G2" s="2" t="str">
        <f t="shared" ref="G2:G33" si="2">IF(B2="","",B2&amp;E2)</f>
        <v>津幡南1</v>
      </c>
      <c r="H2" s="2">
        <f t="shared" ref="H2:H51" si="3">A2</f>
        <v>1</v>
      </c>
      <c r="I2" s="2" t="str">
        <f t="shared" ref="I2:I33" si="4">IF(OR(B2="",E2=1),"",A2-VLOOKUP(B2&amp;(E2-1),$G$2:$H$51,2,FALSE))</f>
        <v/>
      </c>
      <c r="J2" s="2" t="str">
        <f t="shared" ref="J2:J33" si="5">IF(B2="","",IF(I2=1,IF(I1=1,J1+1,2),""))</f>
        <v/>
      </c>
      <c r="K2" t="str">
        <f>IF(K$1=$C2,"中能登町立"&amp;$B2&amp;"中学校","")</f>
        <v/>
      </c>
      <c r="L2" t="str">
        <f>IF(L$1=$C2,IF($B2="宝達",$B2&amp;"志水町立",$B2&amp;"町立")&amp;$B2&amp;"中学校","")</f>
        <v/>
      </c>
      <c r="M2" t="str">
        <f>IF(M$1=$C2,LEFT($B2,2)&amp;"町立"&amp;$B2&amp;"中学校","")</f>
        <v>津幡町立津幡南中学校</v>
      </c>
      <c r="N2" t="str">
        <f>IF(N$1=$C2,IF(OR($B2="星稜",$B2="北陸学院"),"",IF($B2="附属","金沢大学",IF($B2="金沢錦丘","石川県立",$B2&amp;"市立")))&amp;$B2&amp;"中学校","")</f>
        <v/>
      </c>
      <c r="O2" t="str">
        <f>IF(O$1=$C2,"野々市町立"&amp;$B2&amp;"中学校","")</f>
        <v/>
      </c>
      <c r="P2" t="str">
        <f>IF(P$1=$C2,LEFT($B2,2)&amp;"町立"&amp;$B2&amp;"中学校","")</f>
        <v/>
      </c>
      <c r="Q2" t="str">
        <f>IF(B2="","",IF(K2&amp;L2&amp;M2&amp;N2&amp;O2&amp;P2="",C2&amp;"立"&amp;B2&amp;"中学校",K2&amp;L2&amp;M2&amp;N2&amp;O2&amp;P2))</f>
        <v>津幡町立津幡南中学校</v>
      </c>
    </row>
    <row r="3" spans="1:17" x14ac:dyDescent="0.15">
      <c r="A3" s="25">
        <v>2</v>
      </c>
      <c r="B3" s="26" t="s">
        <v>24</v>
      </c>
      <c r="C3" s="26" t="s">
        <v>39</v>
      </c>
      <c r="D3" s="25" t="str">
        <f t="shared" si="0"/>
        <v>初優勝</v>
      </c>
      <c r="E3" s="2">
        <f>IF(B3="","",COUNTIF($B$2:B3,B3))</f>
        <v>1</v>
      </c>
      <c r="F3" s="2" t="str">
        <f t="shared" si="1"/>
        <v>初優勝</v>
      </c>
      <c r="G3" s="2" t="str">
        <f t="shared" si="2"/>
        <v>松任1</v>
      </c>
      <c r="H3" s="2">
        <f t="shared" si="3"/>
        <v>2</v>
      </c>
      <c r="I3" s="2" t="str">
        <f t="shared" si="4"/>
        <v/>
      </c>
      <c r="J3" s="2" t="str">
        <f t="shared" si="5"/>
        <v/>
      </c>
      <c r="K3" t="str">
        <f t="shared" ref="K3:K51" si="6">IF(K$1=$C3,"中能登町立"&amp;$B3&amp;"中学校","")</f>
        <v/>
      </c>
      <c r="L3" t="str">
        <f t="shared" ref="L3:L51" si="7">IF(L$1=$C3,IF($B3="宝達",$B3&amp;"志水町立",$B3&amp;"町立")&amp;$B3&amp;"中学校","")</f>
        <v/>
      </c>
      <c r="M3" t="str">
        <f t="shared" ref="M3:M51" si="8">IF(M$1=$C3,LEFT($B3,2)&amp;"町立"&amp;$B3&amp;"中学校","")</f>
        <v/>
      </c>
      <c r="N3" t="str">
        <f t="shared" ref="N3:N51" si="9">IF(N$1=$C3,IF(OR($B3="星稜",$B3="北陸学院"),"",IF($B3="附属","金沢大学",IF($B3="金沢錦丘","石川県立",$B3&amp;"市立")))&amp;$B3&amp;"中学校","")</f>
        <v/>
      </c>
      <c r="O3" t="str">
        <f t="shared" ref="O3:O51" si="10">IF(O$1=$C3,"野々市町立"&amp;$B3&amp;"中学校","")</f>
        <v/>
      </c>
      <c r="P3" t="str">
        <f t="shared" ref="P3:P51" si="11">IF(P$1=$C3,LEFT($B3,2)&amp;"町立"&amp;$B3&amp;"中学校","")</f>
        <v/>
      </c>
      <c r="Q3" t="str">
        <f t="shared" ref="Q3:Q51" si="12">IF(B3="","",IF(K3&amp;L3&amp;M3&amp;N3&amp;O3&amp;P3="",C3&amp;"立"&amp;B3&amp;"中学校",K3&amp;L3&amp;M3&amp;N3&amp;O3&amp;P3))</f>
        <v>白山市立松任中学校</v>
      </c>
    </row>
    <row r="4" spans="1:17" x14ac:dyDescent="0.15">
      <c r="A4" s="25">
        <v>3</v>
      </c>
      <c r="B4" s="26" t="s">
        <v>36</v>
      </c>
      <c r="C4" s="26" t="s">
        <v>40</v>
      </c>
      <c r="D4" s="25" t="str">
        <f t="shared" si="0"/>
        <v>初優勝</v>
      </c>
      <c r="E4" s="2">
        <f>IF(B4="","",COUNTIF($B$2:B4,B4))</f>
        <v>1</v>
      </c>
      <c r="F4" s="2" t="str">
        <f t="shared" si="1"/>
        <v>初優勝</v>
      </c>
      <c r="G4" s="2" t="str">
        <f t="shared" si="2"/>
        <v>南部1</v>
      </c>
      <c r="H4" s="2">
        <f t="shared" si="3"/>
        <v>3</v>
      </c>
      <c r="I4" s="2" t="str">
        <f t="shared" si="4"/>
        <v/>
      </c>
      <c r="J4" s="2" t="str">
        <f t="shared" si="5"/>
        <v/>
      </c>
      <c r="K4" t="str">
        <f t="shared" si="6"/>
        <v/>
      </c>
      <c r="L4" t="str">
        <f t="shared" si="7"/>
        <v/>
      </c>
      <c r="M4" t="str">
        <f t="shared" si="8"/>
        <v/>
      </c>
      <c r="N4" t="str">
        <f t="shared" si="9"/>
        <v/>
      </c>
      <c r="O4" t="str">
        <f t="shared" si="10"/>
        <v/>
      </c>
      <c r="P4" t="str">
        <f t="shared" si="11"/>
        <v/>
      </c>
      <c r="Q4" t="str">
        <f t="shared" si="12"/>
        <v>小松市立南部中学校</v>
      </c>
    </row>
    <row r="5" spans="1:17" x14ac:dyDescent="0.15">
      <c r="A5" s="25">
        <v>4</v>
      </c>
      <c r="B5" s="26" t="s">
        <v>37</v>
      </c>
      <c r="C5" s="26" t="s">
        <v>41</v>
      </c>
      <c r="D5" s="25" t="str">
        <f t="shared" si="0"/>
        <v>初優勝</v>
      </c>
      <c r="E5" s="2">
        <f>IF(B5="","",COUNTIF($B$2:B5,B5))</f>
        <v>1</v>
      </c>
      <c r="F5" s="2" t="str">
        <f t="shared" si="1"/>
        <v>初優勝</v>
      </c>
      <c r="G5" s="2" t="str">
        <f t="shared" si="2"/>
        <v>野々市1</v>
      </c>
      <c r="H5" s="2">
        <f t="shared" si="3"/>
        <v>4</v>
      </c>
      <c r="I5" s="2" t="str">
        <f t="shared" si="4"/>
        <v/>
      </c>
      <c r="J5" s="2" t="str">
        <f t="shared" si="5"/>
        <v/>
      </c>
      <c r="K5" t="str">
        <f t="shared" si="6"/>
        <v/>
      </c>
      <c r="L5" t="str">
        <f t="shared" si="7"/>
        <v/>
      </c>
      <c r="M5" t="str">
        <f t="shared" si="8"/>
        <v/>
      </c>
      <c r="N5" t="str">
        <f t="shared" si="9"/>
        <v/>
      </c>
      <c r="O5" t="str">
        <f t="shared" si="10"/>
        <v>野々市町立野々市中学校</v>
      </c>
      <c r="P5" t="str">
        <f t="shared" si="11"/>
        <v/>
      </c>
      <c r="Q5" t="str">
        <f t="shared" si="12"/>
        <v>野々市町立野々市中学校</v>
      </c>
    </row>
    <row r="6" spans="1:17" x14ac:dyDescent="0.15">
      <c r="A6" s="25">
        <v>5</v>
      </c>
      <c r="B6" s="26" t="s">
        <v>2</v>
      </c>
      <c r="C6" s="26" t="s">
        <v>1</v>
      </c>
      <c r="D6" s="25" t="str">
        <f t="shared" si="0"/>
        <v>初優勝</v>
      </c>
      <c r="E6" s="2">
        <f>IF(B6="","",COUNTIF($B$2:B6,B6))</f>
        <v>1</v>
      </c>
      <c r="F6" s="2" t="str">
        <f t="shared" si="1"/>
        <v>初優勝</v>
      </c>
      <c r="G6" s="2" t="str">
        <f t="shared" si="2"/>
        <v>星稜1</v>
      </c>
      <c r="H6" s="2">
        <f t="shared" si="3"/>
        <v>5</v>
      </c>
      <c r="I6" s="2" t="str">
        <f t="shared" si="4"/>
        <v/>
      </c>
      <c r="J6" s="2" t="str">
        <f t="shared" si="5"/>
        <v/>
      </c>
      <c r="K6" t="str">
        <f t="shared" si="6"/>
        <v/>
      </c>
      <c r="L6" t="str">
        <f t="shared" si="7"/>
        <v/>
      </c>
      <c r="M6" t="str">
        <f t="shared" si="8"/>
        <v/>
      </c>
      <c r="N6" t="str">
        <f t="shared" si="9"/>
        <v>星稜中学校</v>
      </c>
      <c r="O6" t="str">
        <f t="shared" si="10"/>
        <v/>
      </c>
      <c r="P6" t="str">
        <f t="shared" si="11"/>
        <v/>
      </c>
      <c r="Q6" t="str">
        <f t="shared" si="12"/>
        <v>星稜中学校</v>
      </c>
    </row>
    <row r="7" spans="1:17" x14ac:dyDescent="0.15">
      <c r="A7" s="25">
        <v>6</v>
      </c>
      <c r="B7" s="26" t="s">
        <v>26</v>
      </c>
      <c r="C7" s="26" t="s">
        <v>9</v>
      </c>
      <c r="D7" s="25" t="str">
        <f t="shared" si="0"/>
        <v>初優勝</v>
      </c>
      <c r="E7" s="2">
        <f>IF(B7="","",COUNTIF($B$2:B7,B7))</f>
        <v>1</v>
      </c>
      <c r="F7" s="2" t="str">
        <f t="shared" si="1"/>
        <v>初優勝</v>
      </c>
      <c r="G7" s="2" t="str">
        <f t="shared" si="2"/>
        <v>押水1</v>
      </c>
      <c r="H7" s="2">
        <f t="shared" si="3"/>
        <v>6</v>
      </c>
      <c r="I7" s="2" t="str">
        <f t="shared" si="4"/>
        <v/>
      </c>
      <c r="J7" s="2" t="str">
        <f t="shared" si="5"/>
        <v/>
      </c>
      <c r="K7" t="str">
        <f t="shared" si="6"/>
        <v/>
      </c>
      <c r="L7" t="str">
        <f t="shared" si="7"/>
        <v>押水町立押水中学校</v>
      </c>
      <c r="M7" t="str">
        <f t="shared" si="8"/>
        <v/>
      </c>
      <c r="N7" t="str">
        <f t="shared" si="9"/>
        <v/>
      </c>
      <c r="O7" t="str">
        <f t="shared" si="10"/>
        <v/>
      </c>
      <c r="P7" t="str">
        <f t="shared" si="11"/>
        <v/>
      </c>
      <c r="Q7" t="str">
        <f t="shared" si="12"/>
        <v>押水町立押水中学校</v>
      </c>
    </row>
    <row r="8" spans="1:17" x14ac:dyDescent="0.15">
      <c r="A8" s="25">
        <v>7</v>
      </c>
      <c r="B8" s="26" t="s">
        <v>25</v>
      </c>
      <c r="C8" s="26" t="s">
        <v>1</v>
      </c>
      <c r="D8" s="25" t="str">
        <f t="shared" si="0"/>
        <v>初優勝</v>
      </c>
      <c r="E8" s="2">
        <f>IF(B8="","",COUNTIF($B$2:B8,B8))</f>
        <v>1</v>
      </c>
      <c r="F8" s="2" t="str">
        <f t="shared" si="1"/>
        <v>初優勝</v>
      </c>
      <c r="G8" s="2" t="str">
        <f t="shared" si="2"/>
        <v>附属1</v>
      </c>
      <c r="H8" s="2">
        <f t="shared" si="3"/>
        <v>7</v>
      </c>
      <c r="I8" s="2" t="str">
        <f t="shared" si="4"/>
        <v/>
      </c>
      <c r="J8" s="2" t="str">
        <f t="shared" si="5"/>
        <v/>
      </c>
      <c r="K8" t="str">
        <f t="shared" si="6"/>
        <v/>
      </c>
      <c r="L8" t="str">
        <f t="shared" si="7"/>
        <v/>
      </c>
      <c r="M8" t="str">
        <f t="shared" si="8"/>
        <v/>
      </c>
      <c r="N8" t="str">
        <f t="shared" si="9"/>
        <v>金沢大学附属中学校</v>
      </c>
      <c r="O8" t="str">
        <f t="shared" si="10"/>
        <v/>
      </c>
      <c r="P8" t="str">
        <f t="shared" si="11"/>
        <v/>
      </c>
      <c r="Q8" t="str">
        <f t="shared" si="12"/>
        <v>金沢大学附属中学校</v>
      </c>
    </row>
    <row r="9" spans="1:17" x14ac:dyDescent="0.15">
      <c r="A9" s="25">
        <v>8</v>
      </c>
      <c r="B9" s="26" t="s">
        <v>2</v>
      </c>
      <c r="C9" s="26" t="s">
        <v>1</v>
      </c>
      <c r="D9" s="25" t="str">
        <f t="shared" si="0"/>
        <v>3年ぶり2回目</v>
      </c>
      <c r="E9" s="2">
        <f>IF(B9="","",COUNTIF($B$2:B9,B9))</f>
        <v>2</v>
      </c>
      <c r="F9" s="2" t="str">
        <f t="shared" si="1"/>
        <v>2回目</v>
      </c>
      <c r="G9" s="2" t="str">
        <f t="shared" si="2"/>
        <v>星稜2</v>
      </c>
      <c r="H9" s="2">
        <f t="shared" si="3"/>
        <v>8</v>
      </c>
      <c r="I9" s="2">
        <f t="shared" si="4"/>
        <v>3</v>
      </c>
      <c r="J9" s="2" t="str">
        <f t="shared" si="5"/>
        <v/>
      </c>
      <c r="K9" t="str">
        <f t="shared" si="6"/>
        <v/>
      </c>
      <c r="L9" t="str">
        <f t="shared" si="7"/>
        <v/>
      </c>
      <c r="M9" t="str">
        <f t="shared" si="8"/>
        <v/>
      </c>
      <c r="N9" t="str">
        <f t="shared" si="9"/>
        <v>星稜中学校</v>
      </c>
      <c r="O9" t="str">
        <f t="shared" si="10"/>
        <v/>
      </c>
      <c r="P9" t="str">
        <f t="shared" si="11"/>
        <v/>
      </c>
      <c r="Q9" t="str">
        <f t="shared" si="12"/>
        <v>星稜中学校</v>
      </c>
    </row>
    <row r="10" spans="1:17" x14ac:dyDescent="0.15">
      <c r="A10" s="25">
        <v>9</v>
      </c>
      <c r="B10" s="26" t="s">
        <v>2</v>
      </c>
      <c r="C10" s="26" t="s">
        <v>1</v>
      </c>
      <c r="D10" s="25" t="str">
        <f t="shared" si="0"/>
        <v>2年連続3回目</v>
      </c>
      <c r="E10" s="2">
        <f>IF(B10="","",COUNTIF($B$2:B10,B10))</f>
        <v>3</v>
      </c>
      <c r="F10" s="2" t="str">
        <f t="shared" si="1"/>
        <v>3回目</v>
      </c>
      <c r="G10" s="2" t="str">
        <f t="shared" si="2"/>
        <v>星稜3</v>
      </c>
      <c r="H10" s="2">
        <f t="shared" si="3"/>
        <v>9</v>
      </c>
      <c r="I10" s="2">
        <f t="shared" si="4"/>
        <v>1</v>
      </c>
      <c r="J10" s="2">
        <f t="shared" si="5"/>
        <v>2</v>
      </c>
      <c r="K10" t="str">
        <f t="shared" si="6"/>
        <v/>
      </c>
      <c r="L10" t="str">
        <f t="shared" si="7"/>
        <v/>
      </c>
      <c r="M10" t="str">
        <f t="shared" si="8"/>
        <v/>
      </c>
      <c r="N10" t="str">
        <f t="shared" si="9"/>
        <v>星稜中学校</v>
      </c>
      <c r="O10" t="str">
        <f t="shared" si="10"/>
        <v/>
      </c>
      <c r="P10" t="str">
        <f t="shared" si="11"/>
        <v/>
      </c>
      <c r="Q10" t="str">
        <f t="shared" si="12"/>
        <v>星稜中学校</v>
      </c>
    </row>
    <row r="11" spans="1:17" x14ac:dyDescent="0.15">
      <c r="A11" s="25">
        <v>10</v>
      </c>
      <c r="B11" s="26" t="s">
        <v>2</v>
      </c>
      <c r="C11" s="26" t="s">
        <v>1</v>
      </c>
      <c r="D11" s="25" t="str">
        <f t="shared" si="0"/>
        <v>3年連続4回目</v>
      </c>
      <c r="E11" s="2">
        <f>IF(B11="","",COUNTIF($B$2:B11,B11))</f>
        <v>4</v>
      </c>
      <c r="F11" s="2" t="str">
        <f t="shared" si="1"/>
        <v>4回目</v>
      </c>
      <c r="G11" s="2" t="str">
        <f t="shared" si="2"/>
        <v>星稜4</v>
      </c>
      <c r="H11" s="2">
        <f t="shared" si="3"/>
        <v>10</v>
      </c>
      <c r="I11" s="2">
        <f t="shared" si="4"/>
        <v>1</v>
      </c>
      <c r="J11" s="2">
        <f t="shared" si="5"/>
        <v>3</v>
      </c>
      <c r="K11" t="str">
        <f t="shared" si="6"/>
        <v/>
      </c>
      <c r="L11" t="str">
        <f t="shared" si="7"/>
        <v/>
      </c>
      <c r="M11" t="str">
        <f t="shared" si="8"/>
        <v/>
      </c>
      <c r="N11" t="str">
        <f t="shared" si="9"/>
        <v>星稜中学校</v>
      </c>
      <c r="O11" t="str">
        <f t="shared" si="10"/>
        <v/>
      </c>
      <c r="P11" t="str">
        <f t="shared" si="11"/>
        <v/>
      </c>
      <c r="Q11" t="str">
        <f t="shared" si="12"/>
        <v>星稜中学校</v>
      </c>
    </row>
    <row r="12" spans="1:17" x14ac:dyDescent="0.15">
      <c r="A12" s="25">
        <v>11</v>
      </c>
      <c r="B12" s="25" t="s">
        <v>24</v>
      </c>
      <c r="C12" s="26" t="s">
        <v>39</v>
      </c>
      <c r="D12" s="25" t="str">
        <f t="shared" si="0"/>
        <v>9年ぶり2回目</v>
      </c>
      <c r="E12" s="2">
        <f>IF(B12="","",COUNTIF($B$2:B12,B12))</f>
        <v>2</v>
      </c>
      <c r="F12" s="2" t="str">
        <f t="shared" si="1"/>
        <v>2回目</v>
      </c>
      <c r="G12" s="2" t="str">
        <f t="shared" si="2"/>
        <v>松任2</v>
      </c>
      <c r="H12" s="2">
        <f t="shared" si="3"/>
        <v>11</v>
      </c>
      <c r="I12" s="2">
        <f t="shared" si="4"/>
        <v>9</v>
      </c>
      <c r="J12" s="2" t="str">
        <f t="shared" si="5"/>
        <v/>
      </c>
      <c r="K12" t="str">
        <f t="shared" si="6"/>
        <v/>
      </c>
      <c r="L12" t="str">
        <f t="shared" si="7"/>
        <v/>
      </c>
      <c r="M12" t="str">
        <f t="shared" si="8"/>
        <v/>
      </c>
      <c r="N12" t="str">
        <f t="shared" si="9"/>
        <v/>
      </c>
      <c r="O12" t="str">
        <f t="shared" si="10"/>
        <v/>
      </c>
      <c r="P12" t="str">
        <f t="shared" si="11"/>
        <v/>
      </c>
      <c r="Q12" t="str">
        <f t="shared" si="12"/>
        <v>白山市立松任中学校</v>
      </c>
    </row>
    <row r="13" spans="1:17" x14ac:dyDescent="0.15">
      <c r="A13" s="25">
        <v>12</v>
      </c>
      <c r="B13" s="24" t="s">
        <v>2</v>
      </c>
      <c r="C13" s="26" t="s">
        <v>1</v>
      </c>
      <c r="D13" s="25" t="str">
        <f t="shared" si="0"/>
        <v>2年ぶり5回目</v>
      </c>
      <c r="E13" s="2">
        <f>IF(B13="","",COUNTIF($B$2:B13,B13))</f>
        <v>5</v>
      </c>
      <c r="F13" s="2" t="str">
        <f t="shared" si="1"/>
        <v>5回目</v>
      </c>
      <c r="G13" s="2" t="str">
        <f t="shared" si="2"/>
        <v>星稜5</v>
      </c>
      <c r="H13" s="2">
        <f t="shared" si="3"/>
        <v>12</v>
      </c>
      <c r="I13" s="2">
        <f t="shared" si="4"/>
        <v>2</v>
      </c>
      <c r="J13" s="2" t="str">
        <f t="shared" si="5"/>
        <v/>
      </c>
      <c r="K13" t="str">
        <f t="shared" si="6"/>
        <v/>
      </c>
      <c r="L13" t="str">
        <f t="shared" si="7"/>
        <v/>
      </c>
      <c r="M13" t="str">
        <f t="shared" si="8"/>
        <v/>
      </c>
      <c r="N13" t="str">
        <f t="shared" si="9"/>
        <v>星稜中学校</v>
      </c>
      <c r="O13" t="str">
        <f t="shared" si="10"/>
        <v/>
      </c>
      <c r="P13" t="str">
        <f t="shared" si="11"/>
        <v/>
      </c>
      <c r="Q13" t="str">
        <f t="shared" si="12"/>
        <v>星稜中学校</v>
      </c>
    </row>
    <row r="14" spans="1:17" x14ac:dyDescent="0.15">
      <c r="A14" s="25">
        <v>13</v>
      </c>
      <c r="B14" s="25" t="s">
        <v>189</v>
      </c>
      <c r="C14" s="25" t="s">
        <v>190</v>
      </c>
      <c r="D14" s="25" t="str">
        <f t="shared" si="0"/>
        <v>2年連続6回目</v>
      </c>
      <c r="E14" s="2">
        <f>IF(B14="","",COUNTIF($B$2:B14,B14))</f>
        <v>6</v>
      </c>
      <c r="F14" s="2" t="str">
        <f t="shared" si="1"/>
        <v>6回目</v>
      </c>
      <c r="G14" s="2" t="str">
        <f t="shared" si="2"/>
        <v>星稜6</v>
      </c>
      <c r="H14" s="2">
        <f t="shared" si="3"/>
        <v>13</v>
      </c>
      <c r="I14" s="2">
        <f t="shared" si="4"/>
        <v>1</v>
      </c>
      <c r="J14" s="2">
        <f t="shared" si="5"/>
        <v>2</v>
      </c>
      <c r="K14" t="str">
        <f t="shared" si="6"/>
        <v/>
      </c>
      <c r="L14" t="str">
        <f t="shared" si="7"/>
        <v/>
      </c>
      <c r="M14" t="str">
        <f t="shared" si="8"/>
        <v/>
      </c>
      <c r="N14" t="str">
        <f t="shared" si="9"/>
        <v>星稜中学校</v>
      </c>
      <c r="O14" t="str">
        <f t="shared" si="10"/>
        <v/>
      </c>
      <c r="P14" t="str">
        <f t="shared" si="11"/>
        <v/>
      </c>
      <c r="Q14" t="str">
        <f t="shared" si="12"/>
        <v>星稜中学校</v>
      </c>
    </row>
    <row r="15" spans="1:17" x14ac:dyDescent="0.15">
      <c r="A15" s="25">
        <v>14</v>
      </c>
      <c r="B15" s="25" t="s">
        <v>189</v>
      </c>
      <c r="C15" s="25" t="s">
        <v>190</v>
      </c>
      <c r="D15" s="25" t="str">
        <f t="shared" si="0"/>
        <v>3年連続7回目</v>
      </c>
      <c r="E15" s="2">
        <f>IF(B15="","",COUNTIF($B$2:B15,B15))</f>
        <v>7</v>
      </c>
      <c r="F15" s="2" t="str">
        <f t="shared" si="1"/>
        <v>7回目</v>
      </c>
      <c r="G15" s="2" t="str">
        <f t="shared" si="2"/>
        <v>星稜7</v>
      </c>
      <c r="H15" s="2">
        <f t="shared" si="3"/>
        <v>14</v>
      </c>
      <c r="I15" s="2">
        <f t="shared" si="4"/>
        <v>1</v>
      </c>
      <c r="J15" s="2">
        <f t="shared" si="5"/>
        <v>3</v>
      </c>
      <c r="K15" t="str">
        <f t="shared" si="6"/>
        <v/>
      </c>
      <c r="L15" t="str">
        <f t="shared" si="7"/>
        <v/>
      </c>
      <c r="M15" t="str">
        <f t="shared" si="8"/>
        <v/>
      </c>
      <c r="N15" t="str">
        <f t="shared" si="9"/>
        <v>星稜中学校</v>
      </c>
      <c r="O15" t="str">
        <f t="shared" si="10"/>
        <v/>
      </c>
      <c r="P15" t="str">
        <f t="shared" si="11"/>
        <v/>
      </c>
      <c r="Q15" t="str">
        <f t="shared" si="12"/>
        <v>星稜中学校</v>
      </c>
    </row>
    <row r="16" spans="1:17" x14ac:dyDescent="0.15">
      <c r="A16" s="25">
        <v>15</v>
      </c>
      <c r="B16" s="25" t="s">
        <v>189</v>
      </c>
      <c r="C16" s="25" t="s">
        <v>190</v>
      </c>
      <c r="D16" s="25" t="str">
        <f t="shared" ref="D16" si="13">IF(B16="","",IF(E16=1,F16,IF(I16=1,J16&amp;"年連続",I16&amp;"年ぶり")&amp;F16))</f>
        <v>4年連続8回目</v>
      </c>
      <c r="E16" s="2">
        <f>IF(B16="","",COUNTIF($B$2:B16,B16))</f>
        <v>8</v>
      </c>
      <c r="F16" s="2" t="str">
        <f t="shared" si="1"/>
        <v>8回目</v>
      </c>
      <c r="G16" s="2" t="str">
        <f t="shared" si="2"/>
        <v>星稜8</v>
      </c>
      <c r="H16" s="2">
        <f t="shared" si="3"/>
        <v>15</v>
      </c>
      <c r="I16" s="2">
        <f t="shared" si="4"/>
        <v>1</v>
      </c>
      <c r="J16" s="2">
        <f t="shared" si="5"/>
        <v>4</v>
      </c>
      <c r="K16" t="str">
        <f t="shared" si="6"/>
        <v/>
      </c>
      <c r="L16" t="str">
        <f t="shared" si="7"/>
        <v/>
      </c>
      <c r="M16" t="str">
        <f t="shared" si="8"/>
        <v/>
      </c>
      <c r="N16" t="str">
        <f t="shared" si="9"/>
        <v>星稜中学校</v>
      </c>
      <c r="O16" t="str">
        <f t="shared" si="10"/>
        <v/>
      </c>
      <c r="P16" t="str">
        <f t="shared" si="11"/>
        <v/>
      </c>
      <c r="Q16" t="str">
        <f t="shared" si="12"/>
        <v>星稜中学校</v>
      </c>
    </row>
    <row r="17" spans="1:17" x14ac:dyDescent="0.15">
      <c r="A17" s="25">
        <v>16</v>
      </c>
      <c r="B17" s="25" t="s">
        <v>189</v>
      </c>
      <c r="C17" s="25" t="s">
        <v>190</v>
      </c>
      <c r="D17" s="25" t="s">
        <v>348</v>
      </c>
      <c r="E17" s="2">
        <f>IF(B17="","",COUNTIF($B$2:B17,B17))</f>
        <v>9</v>
      </c>
      <c r="F17" s="2" t="str">
        <f t="shared" si="1"/>
        <v>9回目</v>
      </c>
      <c r="G17" s="2" t="str">
        <f t="shared" si="2"/>
        <v>星稜9</v>
      </c>
      <c r="H17" s="2">
        <f t="shared" si="3"/>
        <v>16</v>
      </c>
      <c r="I17" s="2">
        <f t="shared" si="4"/>
        <v>1</v>
      </c>
      <c r="J17" s="2">
        <f t="shared" si="5"/>
        <v>5</v>
      </c>
      <c r="K17" t="str">
        <f t="shared" si="6"/>
        <v/>
      </c>
      <c r="L17" t="str">
        <f t="shared" si="7"/>
        <v/>
      </c>
      <c r="M17" t="str">
        <f t="shared" si="8"/>
        <v/>
      </c>
      <c r="N17" t="str">
        <f t="shared" si="9"/>
        <v>星稜中学校</v>
      </c>
      <c r="O17" t="str">
        <f t="shared" si="10"/>
        <v/>
      </c>
      <c r="P17" t="str">
        <f t="shared" si="11"/>
        <v/>
      </c>
      <c r="Q17" t="str">
        <f t="shared" si="12"/>
        <v>星稜中学校</v>
      </c>
    </row>
    <row r="18" spans="1:17" x14ac:dyDescent="0.15">
      <c r="A18" s="25">
        <v>17</v>
      </c>
      <c r="B18" s="25" t="s">
        <v>189</v>
      </c>
      <c r="C18" s="25" t="s">
        <v>190</v>
      </c>
      <c r="D18" s="25" t="str">
        <f t="shared" ref="D18:D19" si="14">IF(B18="","",IF(E18=1,F18,IF(I18=1,J18&amp;"年連続",I18&amp;"年ぶり")&amp;F18))</f>
        <v>6年連続10回目</v>
      </c>
      <c r="E18" s="2">
        <f>IF(B18="","",COUNTIF($B$2:B18,B18))</f>
        <v>10</v>
      </c>
      <c r="F18" s="2" t="str">
        <f t="shared" si="1"/>
        <v>10回目</v>
      </c>
      <c r="G18" s="2" t="str">
        <f t="shared" si="2"/>
        <v>星稜10</v>
      </c>
      <c r="H18" s="2">
        <f t="shared" si="3"/>
        <v>17</v>
      </c>
      <c r="I18" s="2">
        <f t="shared" si="4"/>
        <v>1</v>
      </c>
      <c r="J18" s="2">
        <f t="shared" si="5"/>
        <v>6</v>
      </c>
      <c r="K18" t="str">
        <f t="shared" si="6"/>
        <v/>
      </c>
      <c r="L18" t="str">
        <f t="shared" si="7"/>
        <v/>
      </c>
      <c r="M18" t="str">
        <f t="shared" si="8"/>
        <v/>
      </c>
      <c r="N18" t="str">
        <f t="shared" si="9"/>
        <v>星稜中学校</v>
      </c>
      <c r="O18" t="str">
        <f t="shared" si="10"/>
        <v/>
      </c>
      <c r="P18" t="str">
        <f t="shared" si="11"/>
        <v/>
      </c>
      <c r="Q18" t="str">
        <f t="shared" si="12"/>
        <v>星稜中学校</v>
      </c>
    </row>
    <row r="19" spans="1:17" x14ac:dyDescent="0.15">
      <c r="A19" s="25">
        <v>18</v>
      </c>
      <c r="B19" s="25" t="s">
        <v>373</v>
      </c>
      <c r="C19" s="25" t="s">
        <v>190</v>
      </c>
      <c r="D19" s="25" t="str">
        <f t="shared" si="14"/>
        <v>7年連続11回目</v>
      </c>
      <c r="E19" s="2">
        <f>IF(B19="","",COUNTIF($B$2:B19,B19))</f>
        <v>11</v>
      </c>
      <c r="F19" s="2" t="str">
        <f t="shared" si="1"/>
        <v>11回目</v>
      </c>
      <c r="G19" s="2" t="str">
        <f t="shared" si="2"/>
        <v>星稜11</v>
      </c>
      <c r="H19" s="2">
        <f t="shared" si="3"/>
        <v>18</v>
      </c>
      <c r="I19" s="2">
        <f t="shared" si="4"/>
        <v>1</v>
      </c>
      <c r="J19" s="2">
        <f t="shared" si="5"/>
        <v>7</v>
      </c>
      <c r="K19" t="str">
        <f t="shared" si="6"/>
        <v/>
      </c>
      <c r="L19" t="str">
        <f t="shared" si="7"/>
        <v/>
      </c>
      <c r="M19" t="str">
        <f t="shared" si="8"/>
        <v/>
      </c>
      <c r="N19" t="str">
        <f t="shared" si="9"/>
        <v>星稜中学校</v>
      </c>
      <c r="O19" t="str">
        <f t="shared" si="10"/>
        <v/>
      </c>
      <c r="P19" t="str">
        <f t="shared" si="11"/>
        <v/>
      </c>
      <c r="Q19" t="str">
        <f t="shared" si="12"/>
        <v>星稜中学校</v>
      </c>
    </row>
    <row r="20" spans="1:17" x14ac:dyDescent="0.15">
      <c r="A20" s="25">
        <v>19</v>
      </c>
      <c r="B20" s="25" t="s">
        <v>189</v>
      </c>
      <c r="C20" s="25" t="s">
        <v>190</v>
      </c>
      <c r="D20" s="25" t="str">
        <f t="shared" ref="D20:D51" si="15">IF(B20="","",IF(E20=1,F20,IF(I20=1,J20&amp;"年連続",I20&amp;"年ぶり")&amp;F20))</f>
        <v>8年連続12回目</v>
      </c>
      <c r="E20" s="2">
        <f>IF(B20="","",COUNTIF($B$2:B20,B20))</f>
        <v>12</v>
      </c>
      <c r="F20" s="2" t="str">
        <f t="shared" si="1"/>
        <v>12回目</v>
      </c>
      <c r="G20" s="2" t="str">
        <f t="shared" si="2"/>
        <v>星稜12</v>
      </c>
      <c r="H20" s="2">
        <f t="shared" si="3"/>
        <v>19</v>
      </c>
      <c r="I20" s="2">
        <f t="shared" si="4"/>
        <v>1</v>
      </c>
      <c r="J20" s="2">
        <f t="shared" si="5"/>
        <v>8</v>
      </c>
      <c r="K20" t="str">
        <f t="shared" si="6"/>
        <v/>
      </c>
      <c r="L20" t="str">
        <f t="shared" si="7"/>
        <v/>
      </c>
      <c r="M20" t="str">
        <f t="shared" si="8"/>
        <v/>
      </c>
      <c r="N20" t="str">
        <f t="shared" si="9"/>
        <v>星稜中学校</v>
      </c>
      <c r="O20" t="str">
        <f t="shared" si="10"/>
        <v/>
      </c>
      <c r="P20" t="str">
        <f t="shared" si="11"/>
        <v/>
      </c>
      <c r="Q20" t="str">
        <f t="shared" si="12"/>
        <v>星稜中学校</v>
      </c>
    </row>
    <row r="21" spans="1:17" x14ac:dyDescent="0.15">
      <c r="A21" s="25">
        <v>20</v>
      </c>
      <c r="B21" s="25" t="s">
        <v>189</v>
      </c>
      <c r="C21" s="25" t="s">
        <v>190</v>
      </c>
      <c r="D21" s="25" t="str">
        <f t="shared" ref="D21" si="16">IF(B21="","",IF(E21=1,F21,IF(I21=1,J21&amp;"年連続",I21&amp;"年ぶり")&amp;F21))</f>
        <v>9年連続13回目</v>
      </c>
      <c r="E21" s="2">
        <f>IF(B21="","",COUNTIF($B$2:B21,B21))</f>
        <v>13</v>
      </c>
      <c r="F21" s="2" t="str">
        <f t="shared" si="1"/>
        <v>13回目</v>
      </c>
      <c r="G21" s="2" t="str">
        <f t="shared" si="2"/>
        <v>星稜13</v>
      </c>
      <c r="H21" s="2">
        <f t="shared" si="3"/>
        <v>20</v>
      </c>
      <c r="I21" s="2">
        <f t="shared" si="4"/>
        <v>1</v>
      </c>
      <c r="J21" s="2">
        <f t="shared" si="5"/>
        <v>9</v>
      </c>
      <c r="K21" t="str">
        <f t="shared" si="6"/>
        <v/>
      </c>
      <c r="L21" t="str">
        <f t="shared" si="7"/>
        <v/>
      </c>
      <c r="M21" t="str">
        <f t="shared" si="8"/>
        <v/>
      </c>
      <c r="N21" t="str">
        <f t="shared" si="9"/>
        <v>星稜中学校</v>
      </c>
      <c r="O21" t="str">
        <f t="shared" si="10"/>
        <v/>
      </c>
      <c r="P21" t="str">
        <f t="shared" si="11"/>
        <v/>
      </c>
      <c r="Q21" t="str">
        <f t="shared" si="12"/>
        <v>星稜中学校</v>
      </c>
    </row>
    <row r="22" spans="1:17" x14ac:dyDescent="0.15">
      <c r="A22" s="25">
        <v>21</v>
      </c>
      <c r="B22" s="25" t="s">
        <v>189</v>
      </c>
      <c r="C22" s="25" t="s">
        <v>190</v>
      </c>
      <c r="D22" s="25" t="str">
        <f t="shared" si="15"/>
        <v>10年連続14回目</v>
      </c>
      <c r="E22" s="2">
        <f>IF(B22="","",COUNTIF($B$2:B22,B22))</f>
        <v>14</v>
      </c>
      <c r="F22" s="2" t="str">
        <f t="shared" si="1"/>
        <v>14回目</v>
      </c>
      <c r="G22" s="2" t="str">
        <f t="shared" si="2"/>
        <v>星稜14</v>
      </c>
      <c r="H22" s="2">
        <f t="shared" si="3"/>
        <v>21</v>
      </c>
      <c r="I22" s="2">
        <f t="shared" si="4"/>
        <v>1</v>
      </c>
      <c r="J22" s="2">
        <f t="shared" si="5"/>
        <v>10</v>
      </c>
      <c r="K22" t="str">
        <f t="shared" si="6"/>
        <v/>
      </c>
      <c r="L22" t="str">
        <f t="shared" si="7"/>
        <v/>
      </c>
      <c r="M22" t="str">
        <f t="shared" si="8"/>
        <v/>
      </c>
      <c r="N22" t="str">
        <f t="shared" si="9"/>
        <v>星稜中学校</v>
      </c>
      <c r="O22" t="str">
        <f t="shared" si="10"/>
        <v/>
      </c>
      <c r="P22" t="str">
        <f t="shared" si="11"/>
        <v/>
      </c>
      <c r="Q22" t="str">
        <f t="shared" si="12"/>
        <v>星稜中学校</v>
      </c>
    </row>
    <row r="23" spans="1:17" x14ac:dyDescent="0.15">
      <c r="A23" s="25">
        <v>22</v>
      </c>
      <c r="B23" s="25" t="s">
        <v>530</v>
      </c>
      <c r="C23" s="25" t="s">
        <v>1</v>
      </c>
      <c r="D23" s="25" t="str">
        <f t="shared" si="15"/>
        <v>11年連続15回目</v>
      </c>
      <c r="E23" s="2">
        <f>IF(B23="","",COUNTIF($B$2:B23,B23))</f>
        <v>15</v>
      </c>
      <c r="F23" s="2" t="str">
        <f t="shared" si="1"/>
        <v>15回目</v>
      </c>
      <c r="G23" s="2" t="str">
        <f t="shared" si="2"/>
        <v>星稜15</v>
      </c>
      <c r="H23" s="2">
        <f t="shared" si="3"/>
        <v>22</v>
      </c>
      <c r="I23" s="2">
        <f t="shared" si="4"/>
        <v>1</v>
      </c>
      <c r="J23" s="2">
        <f t="shared" si="5"/>
        <v>11</v>
      </c>
      <c r="K23" t="str">
        <f t="shared" si="6"/>
        <v/>
      </c>
      <c r="L23" t="str">
        <f t="shared" si="7"/>
        <v/>
      </c>
      <c r="M23" t="str">
        <f t="shared" si="8"/>
        <v/>
      </c>
      <c r="N23" t="str">
        <f t="shared" si="9"/>
        <v>星稜中学校</v>
      </c>
      <c r="O23" t="str">
        <f t="shared" si="10"/>
        <v/>
      </c>
      <c r="P23" t="str">
        <f t="shared" si="11"/>
        <v/>
      </c>
      <c r="Q23" t="str">
        <f t="shared" si="12"/>
        <v>星稜中学校</v>
      </c>
    </row>
    <row r="24" spans="1:17" x14ac:dyDescent="0.15">
      <c r="A24" s="25">
        <v>23</v>
      </c>
      <c r="B24" s="25" t="str">
        <f ca="1">IF(OR(YEAR(NOW())-2000&lt;$A24,ﾄｰﾅﾒﾝﾄ!$W$9=""),"",IF(ﾄｰﾅﾒﾝﾄ!$AE$13&gt;ﾄｰﾅﾒﾝﾄ!$AH$13,ﾄｰﾅﾒﾝﾄ!$N$15,ﾄｰﾅﾒﾝﾄ!$AX$15))</f>
        <v/>
      </c>
      <c r="C24" s="25" t="str">
        <f ca="1">IF(OR(YEAR(NOW())-2000&lt;$A24,ﾄｰﾅﾒﾝﾄ!$W$9=""),"",INDEX(抽選!$F$2:$R$17,MATCH(B24,抽選!$F$2:$F$17,0),3))</f>
        <v/>
      </c>
      <c r="D24" s="25" t="str">
        <f t="shared" ca="1" si="15"/>
        <v/>
      </c>
      <c r="E24" s="2" t="str">
        <f ca="1">IF(B24="","",COUNTIF($B$2:B24,B24))</f>
        <v/>
      </c>
      <c r="F24" s="2" t="str">
        <f t="shared" ca="1" si="1"/>
        <v/>
      </c>
      <c r="G24" s="2" t="str">
        <f t="shared" ca="1" si="2"/>
        <v/>
      </c>
      <c r="H24" s="2">
        <f t="shared" si="3"/>
        <v>23</v>
      </c>
      <c r="I24" s="2" t="str">
        <f t="shared" ca="1" si="4"/>
        <v/>
      </c>
      <c r="J24" s="2" t="str">
        <f t="shared" ca="1" si="5"/>
        <v/>
      </c>
      <c r="K24" t="str">
        <f t="shared" ca="1" si="6"/>
        <v/>
      </c>
      <c r="L24" t="str">
        <f t="shared" ca="1" si="7"/>
        <v/>
      </c>
      <c r="M24" t="str">
        <f t="shared" ca="1" si="8"/>
        <v/>
      </c>
      <c r="N24" t="str">
        <f t="shared" ca="1" si="9"/>
        <v/>
      </c>
      <c r="O24" t="str">
        <f t="shared" ca="1" si="10"/>
        <v/>
      </c>
      <c r="P24" t="str">
        <f t="shared" ca="1" si="11"/>
        <v/>
      </c>
      <c r="Q24" t="str">
        <f t="shared" ca="1" si="12"/>
        <v/>
      </c>
    </row>
    <row r="25" spans="1:17" x14ac:dyDescent="0.15">
      <c r="A25" s="25">
        <v>24</v>
      </c>
      <c r="B25" s="25" t="str">
        <f ca="1">IF(OR(YEAR(NOW())-2000&lt;$A25,ﾄｰﾅﾒﾝﾄ!$W$9=""),"",IF(ﾄｰﾅﾒﾝﾄ!$AE$13&gt;ﾄｰﾅﾒﾝﾄ!$AH$13,ﾄｰﾅﾒﾝﾄ!$N$15,ﾄｰﾅﾒﾝﾄ!$AX$15))</f>
        <v/>
      </c>
      <c r="C25" s="25" t="str">
        <f ca="1">IF(OR(YEAR(NOW())-2000&lt;$A25,ﾄｰﾅﾒﾝﾄ!$W$9=""),"",INDEX(抽選!$F$2:$R$17,MATCH(B25,抽選!$F$2:$F$17,0),3))</f>
        <v/>
      </c>
      <c r="D25" s="25" t="str">
        <f t="shared" ca="1" si="15"/>
        <v/>
      </c>
      <c r="E25" s="2" t="str">
        <f ca="1">IF(B25="","",COUNTIF($B$2:B25,B25))</f>
        <v/>
      </c>
      <c r="F25" s="2" t="str">
        <f t="shared" ca="1" si="1"/>
        <v/>
      </c>
      <c r="G25" s="2" t="str">
        <f t="shared" ca="1" si="2"/>
        <v/>
      </c>
      <c r="H25" s="2">
        <f t="shared" si="3"/>
        <v>24</v>
      </c>
      <c r="I25" s="2" t="str">
        <f t="shared" ca="1" si="4"/>
        <v/>
      </c>
      <c r="J25" s="2" t="str">
        <f t="shared" ca="1" si="5"/>
        <v/>
      </c>
      <c r="K25" t="str">
        <f t="shared" ca="1" si="6"/>
        <v/>
      </c>
      <c r="L25" t="str">
        <f t="shared" ca="1" si="7"/>
        <v/>
      </c>
      <c r="M25" t="str">
        <f t="shared" ca="1" si="8"/>
        <v/>
      </c>
      <c r="N25" t="str">
        <f t="shared" ca="1" si="9"/>
        <v/>
      </c>
      <c r="O25" t="str">
        <f t="shared" ca="1" si="10"/>
        <v/>
      </c>
      <c r="P25" t="str">
        <f t="shared" ca="1" si="11"/>
        <v/>
      </c>
      <c r="Q25" t="str">
        <f t="shared" ca="1" si="12"/>
        <v/>
      </c>
    </row>
    <row r="26" spans="1:17" x14ac:dyDescent="0.15">
      <c r="A26" s="25">
        <v>25</v>
      </c>
      <c r="B26" s="25" t="str">
        <f ca="1">IF(OR(YEAR(NOW())-2000&lt;$A26,ﾄｰﾅﾒﾝﾄ!$W$9=""),"",IF(ﾄｰﾅﾒﾝﾄ!$AE$13&gt;ﾄｰﾅﾒﾝﾄ!$AH$13,ﾄｰﾅﾒﾝﾄ!$N$15,ﾄｰﾅﾒﾝﾄ!$AX$15))</f>
        <v/>
      </c>
      <c r="C26" s="25" t="str">
        <f ca="1">IF(OR(YEAR(NOW())-2000&lt;$A26,ﾄｰﾅﾒﾝﾄ!$W$9=""),"",INDEX(抽選!$F$2:$R$17,MATCH(B26,抽選!$F$2:$F$17,0),3))</f>
        <v/>
      </c>
      <c r="D26" s="25" t="str">
        <f t="shared" ca="1" si="15"/>
        <v/>
      </c>
      <c r="E26" s="2" t="str">
        <f ca="1">IF(B26="","",COUNTIF($B$2:B26,B26))</f>
        <v/>
      </c>
      <c r="F26" s="2" t="str">
        <f t="shared" ca="1" si="1"/>
        <v/>
      </c>
      <c r="G26" s="2" t="str">
        <f t="shared" ca="1" si="2"/>
        <v/>
      </c>
      <c r="H26" s="2">
        <f t="shared" si="3"/>
        <v>25</v>
      </c>
      <c r="I26" s="2" t="str">
        <f t="shared" ca="1" si="4"/>
        <v/>
      </c>
      <c r="J26" s="2" t="str">
        <f t="shared" ca="1" si="5"/>
        <v/>
      </c>
      <c r="K26" t="str">
        <f t="shared" ca="1" si="6"/>
        <v/>
      </c>
      <c r="L26" t="str">
        <f t="shared" ca="1" si="7"/>
        <v/>
      </c>
      <c r="M26" t="str">
        <f t="shared" ca="1" si="8"/>
        <v/>
      </c>
      <c r="N26" t="str">
        <f t="shared" ca="1" si="9"/>
        <v/>
      </c>
      <c r="O26" t="str">
        <f t="shared" ca="1" si="10"/>
        <v/>
      </c>
      <c r="P26" t="str">
        <f t="shared" ca="1" si="11"/>
        <v/>
      </c>
      <c r="Q26" t="str">
        <f t="shared" ca="1" si="12"/>
        <v/>
      </c>
    </row>
    <row r="27" spans="1:17" x14ac:dyDescent="0.15">
      <c r="A27" s="25">
        <v>26</v>
      </c>
      <c r="B27" s="25" t="str">
        <f ca="1">IF(OR(YEAR(NOW())-2000&lt;$A27,ﾄｰﾅﾒﾝﾄ!$W$9=""),"",IF(ﾄｰﾅﾒﾝﾄ!$AE$13&gt;ﾄｰﾅﾒﾝﾄ!$AH$13,ﾄｰﾅﾒﾝﾄ!$N$15,ﾄｰﾅﾒﾝﾄ!$AX$15))</f>
        <v/>
      </c>
      <c r="C27" s="25" t="str">
        <f ca="1">IF(OR(YEAR(NOW())-2000&lt;$A27,ﾄｰﾅﾒﾝﾄ!$W$9=""),"",INDEX(抽選!$F$2:$R$17,MATCH(B27,抽選!$F$2:$F$17,0),3))</f>
        <v/>
      </c>
      <c r="D27" s="25" t="str">
        <f t="shared" ca="1" si="15"/>
        <v/>
      </c>
      <c r="E27" s="2" t="str">
        <f ca="1">IF(B27="","",COUNTIF($B$2:B27,B27))</f>
        <v/>
      </c>
      <c r="F27" s="2" t="str">
        <f t="shared" ca="1" si="1"/>
        <v/>
      </c>
      <c r="G27" s="2" t="str">
        <f t="shared" ca="1" si="2"/>
        <v/>
      </c>
      <c r="H27" s="2">
        <f t="shared" si="3"/>
        <v>26</v>
      </c>
      <c r="I27" s="2" t="str">
        <f t="shared" ca="1" si="4"/>
        <v/>
      </c>
      <c r="J27" s="2" t="str">
        <f t="shared" ca="1" si="5"/>
        <v/>
      </c>
      <c r="K27" t="str">
        <f t="shared" ca="1" si="6"/>
        <v/>
      </c>
      <c r="L27" t="str">
        <f t="shared" ca="1" si="7"/>
        <v/>
      </c>
      <c r="M27" t="str">
        <f t="shared" ca="1" si="8"/>
        <v/>
      </c>
      <c r="N27" t="str">
        <f t="shared" ca="1" si="9"/>
        <v/>
      </c>
      <c r="O27" t="str">
        <f t="shared" ca="1" si="10"/>
        <v/>
      </c>
      <c r="P27" t="str">
        <f t="shared" ca="1" si="11"/>
        <v/>
      </c>
      <c r="Q27" t="str">
        <f t="shared" ca="1" si="12"/>
        <v/>
      </c>
    </row>
    <row r="28" spans="1:17" x14ac:dyDescent="0.15">
      <c r="A28" s="25">
        <v>27</v>
      </c>
      <c r="B28" s="25" t="str">
        <f ca="1">IF(OR(YEAR(NOW())-2000&lt;$A28,ﾄｰﾅﾒﾝﾄ!$W$9=""),"",IF(ﾄｰﾅﾒﾝﾄ!$AE$13&gt;ﾄｰﾅﾒﾝﾄ!$AH$13,ﾄｰﾅﾒﾝﾄ!$N$15,ﾄｰﾅﾒﾝﾄ!$AX$15))</f>
        <v/>
      </c>
      <c r="C28" s="25" t="str">
        <f ca="1">IF(OR(YEAR(NOW())-2000&lt;$A28,ﾄｰﾅﾒﾝﾄ!$W$9=""),"",INDEX(抽選!$F$2:$R$17,MATCH(B28,抽選!$F$2:$F$17,0),3))</f>
        <v/>
      </c>
      <c r="D28" s="25" t="str">
        <f t="shared" ca="1" si="15"/>
        <v/>
      </c>
      <c r="E28" s="2" t="str">
        <f ca="1">IF(B28="","",COUNTIF($B$2:B28,B28))</f>
        <v/>
      </c>
      <c r="F28" s="2" t="str">
        <f t="shared" ca="1" si="1"/>
        <v/>
      </c>
      <c r="G28" s="2" t="str">
        <f t="shared" ca="1" si="2"/>
        <v/>
      </c>
      <c r="H28" s="2">
        <f t="shared" si="3"/>
        <v>27</v>
      </c>
      <c r="I28" s="2" t="str">
        <f t="shared" ca="1" si="4"/>
        <v/>
      </c>
      <c r="J28" s="2" t="str">
        <f t="shared" ca="1" si="5"/>
        <v/>
      </c>
      <c r="K28" t="str">
        <f t="shared" ca="1" si="6"/>
        <v/>
      </c>
      <c r="L28" t="str">
        <f t="shared" ca="1" si="7"/>
        <v/>
      </c>
      <c r="M28" t="str">
        <f t="shared" ca="1" si="8"/>
        <v/>
      </c>
      <c r="N28" t="str">
        <f t="shared" ca="1" si="9"/>
        <v/>
      </c>
      <c r="O28" t="str">
        <f t="shared" ca="1" si="10"/>
        <v/>
      </c>
      <c r="P28" t="str">
        <f t="shared" ca="1" si="11"/>
        <v/>
      </c>
      <c r="Q28" t="str">
        <f t="shared" ca="1" si="12"/>
        <v/>
      </c>
    </row>
    <row r="29" spans="1:17" x14ac:dyDescent="0.15">
      <c r="A29" s="25">
        <v>28</v>
      </c>
      <c r="B29" s="25" t="str">
        <f ca="1">IF(OR(YEAR(NOW())-2000&lt;$A29,ﾄｰﾅﾒﾝﾄ!$W$9=""),"",IF(ﾄｰﾅﾒﾝﾄ!$AE$13&gt;ﾄｰﾅﾒﾝﾄ!$AH$13,ﾄｰﾅﾒﾝﾄ!$N$15,ﾄｰﾅﾒﾝﾄ!$AX$15))</f>
        <v/>
      </c>
      <c r="C29" s="25" t="str">
        <f ca="1">IF(OR(YEAR(NOW())-2000&lt;$A29,ﾄｰﾅﾒﾝﾄ!$W$9=""),"",INDEX(抽選!$F$2:$R$17,MATCH(B29,抽選!$F$2:$F$17,0),3))</f>
        <v/>
      </c>
      <c r="D29" s="25" t="str">
        <f t="shared" ca="1" si="15"/>
        <v/>
      </c>
      <c r="E29" s="2" t="str">
        <f ca="1">IF(B29="","",COUNTIF($B$2:B29,B29))</f>
        <v/>
      </c>
      <c r="F29" s="2" t="str">
        <f t="shared" ca="1" si="1"/>
        <v/>
      </c>
      <c r="G29" s="2" t="str">
        <f t="shared" ca="1" si="2"/>
        <v/>
      </c>
      <c r="H29" s="2">
        <f t="shared" si="3"/>
        <v>28</v>
      </c>
      <c r="I29" s="2" t="str">
        <f t="shared" ca="1" si="4"/>
        <v/>
      </c>
      <c r="J29" s="2" t="str">
        <f t="shared" ca="1" si="5"/>
        <v/>
      </c>
      <c r="K29" t="str">
        <f t="shared" ca="1" si="6"/>
        <v/>
      </c>
      <c r="L29" t="str">
        <f t="shared" ca="1" si="7"/>
        <v/>
      </c>
      <c r="M29" t="str">
        <f t="shared" ca="1" si="8"/>
        <v/>
      </c>
      <c r="N29" t="str">
        <f t="shared" ca="1" si="9"/>
        <v/>
      </c>
      <c r="O29" t="str">
        <f t="shared" ca="1" si="10"/>
        <v/>
      </c>
      <c r="P29" t="str">
        <f t="shared" ca="1" si="11"/>
        <v/>
      </c>
      <c r="Q29" t="str">
        <f t="shared" ca="1" si="12"/>
        <v/>
      </c>
    </row>
    <row r="30" spans="1:17" x14ac:dyDescent="0.15">
      <c r="A30" s="25">
        <v>29</v>
      </c>
      <c r="B30" s="25" t="str">
        <f ca="1">IF(OR(YEAR(NOW())-2000&lt;$A30,ﾄｰﾅﾒﾝﾄ!$W$9=""),"",IF(ﾄｰﾅﾒﾝﾄ!$AE$13&gt;ﾄｰﾅﾒﾝﾄ!$AH$13,ﾄｰﾅﾒﾝﾄ!$N$15,ﾄｰﾅﾒﾝﾄ!$AX$15))</f>
        <v/>
      </c>
      <c r="C30" s="25" t="str">
        <f ca="1">IF(OR(YEAR(NOW())-2000&lt;$A30,ﾄｰﾅﾒﾝﾄ!$W$9=""),"",INDEX(抽選!$F$2:$R$17,MATCH(B30,抽選!$F$2:$F$17,0),3))</f>
        <v/>
      </c>
      <c r="D30" s="25" t="str">
        <f t="shared" ca="1" si="15"/>
        <v/>
      </c>
      <c r="E30" s="2" t="str">
        <f ca="1">IF(B30="","",COUNTIF($B$2:B30,B30))</f>
        <v/>
      </c>
      <c r="F30" s="2" t="str">
        <f t="shared" ca="1" si="1"/>
        <v/>
      </c>
      <c r="G30" s="2" t="str">
        <f t="shared" ca="1" si="2"/>
        <v/>
      </c>
      <c r="H30" s="2">
        <f t="shared" si="3"/>
        <v>29</v>
      </c>
      <c r="I30" s="2" t="str">
        <f t="shared" ca="1" si="4"/>
        <v/>
      </c>
      <c r="J30" s="2" t="str">
        <f t="shared" ca="1" si="5"/>
        <v/>
      </c>
      <c r="K30" t="str">
        <f t="shared" ca="1" si="6"/>
        <v/>
      </c>
      <c r="L30" t="str">
        <f t="shared" ca="1" si="7"/>
        <v/>
      </c>
      <c r="M30" t="str">
        <f t="shared" ca="1" si="8"/>
        <v/>
      </c>
      <c r="N30" t="str">
        <f t="shared" ca="1" si="9"/>
        <v/>
      </c>
      <c r="O30" t="str">
        <f t="shared" ca="1" si="10"/>
        <v/>
      </c>
      <c r="P30" t="str">
        <f t="shared" ca="1" si="11"/>
        <v/>
      </c>
      <c r="Q30" t="str">
        <f t="shared" ca="1" si="12"/>
        <v/>
      </c>
    </row>
    <row r="31" spans="1:17" x14ac:dyDescent="0.15">
      <c r="A31" s="25">
        <v>30</v>
      </c>
      <c r="B31" s="25" t="str">
        <f ca="1">IF(OR(YEAR(NOW())-2000&lt;$A31,ﾄｰﾅﾒﾝﾄ!$W$9=""),"",IF(ﾄｰﾅﾒﾝﾄ!$AE$13&gt;ﾄｰﾅﾒﾝﾄ!$AH$13,ﾄｰﾅﾒﾝﾄ!$N$15,ﾄｰﾅﾒﾝﾄ!$AX$15))</f>
        <v/>
      </c>
      <c r="C31" s="25" t="str">
        <f ca="1">IF(OR(YEAR(NOW())-2000&lt;$A31,ﾄｰﾅﾒﾝﾄ!$W$9=""),"",INDEX(抽選!$F$2:$R$17,MATCH(B31,抽選!$F$2:$F$17,0),3))</f>
        <v/>
      </c>
      <c r="D31" s="25" t="str">
        <f t="shared" ca="1" si="15"/>
        <v/>
      </c>
      <c r="E31" s="2" t="str">
        <f ca="1">IF(B31="","",COUNTIF($B$2:B31,B31))</f>
        <v/>
      </c>
      <c r="F31" s="2" t="str">
        <f t="shared" ca="1" si="1"/>
        <v/>
      </c>
      <c r="G31" s="2" t="str">
        <f t="shared" ca="1" si="2"/>
        <v/>
      </c>
      <c r="H31" s="2">
        <f t="shared" si="3"/>
        <v>30</v>
      </c>
      <c r="I31" s="2" t="str">
        <f t="shared" ca="1" si="4"/>
        <v/>
      </c>
      <c r="J31" s="2" t="str">
        <f t="shared" ca="1" si="5"/>
        <v/>
      </c>
      <c r="K31" t="str">
        <f t="shared" ca="1" si="6"/>
        <v/>
      </c>
      <c r="L31" t="str">
        <f t="shared" ca="1" si="7"/>
        <v/>
      </c>
      <c r="M31" t="str">
        <f t="shared" ca="1" si="8"/>
        <v/>
      </c>
      <c r="N31" t="str">
        <f t="shared" ca="1" si="9"/>
        <v/>
      </c>
      <c r="O31" t="str">
        <f t="shared" ca="1" si="10"/>
        <v/>
      </c>
      <c r="P31" t="str">
        <f t="shared" ca="1" si="11"/>
        <v/>
      </c>
      <c r="Q31" t="str">
        <f t="shared" ca="1" si="12"/>
        <v/>
      </c>
    </row>
    <row r="32" spans="1:17" x14ac:dyDescent="0.15">
      <c r="A32" s="25">
        <v>31</v>
      </c>
      <c r="B32" s="25" t="str">
        <f ca="1">IF(OR(YEAR(NOW())-2000&lt;$A32,ﾄｰﾅﾒﾝﾄ!$W$9=""),"",IF(ﾄｰﾅﾒﾝﾄ!$AE$13&gt;ﾄｰﾅﾒﾝﾄ!$AH$13,ﾄｰﾅﾒﾝﾄ!$N$15,ﾄｰﾅﾒﾝﾄ!$AX$15))</f>
        <v/>
      </c>
      <c r="C32" s="25" t="str">
        <f ca="1">IF(OR(YEAR(NOW())-2000&lt;$A32,ﾄｰﾅﾒﾝﾄ!$W$9=""),"",INDEX(抽選!$F$2:$R$17,MATCH(B32,抽選!$F$2:$F$17,0),3))</f>
        <v/>
      </c>
      <c r="D32" s="25" t="str">
        <f t="shared" ca="1" si="15"/>
        <v/>
      </c>
      <c r="E32" s="2" t="str">
        <f ca="1">IF(B32="","",COUNTIF($B$2:B32,B32))</f>
        <v/>
      </c>
      <c r="F32" s="2" t="str">
        <f t="shared" ca="1" si="1"/>
        <v/>
      </c>
      <c r="G32" s="2" t="str">
        <f t="shared" ca="1" si="2"/>
        <v/>
      </c>
      <c r="H32" s="2">
        <f t="shared" si="3"/>
        <v>31</v>
      </c>
      <c r="I32" s="2" t="str">
        <f t="shared" ca="1" si="4"/>
        <v/>
      </c>
      <c r="J32" s="2" t="str">
        <f t="shared" ca="1" si="5"/>
        <v/>
      </c>
      <c r="K32" t="str">
        <f t="shared" ca="1" si="6"/>
        <v/>
      </c>
      <c r="L32" t="str">
        <f t="shared" ca="1" si="7"/>
        <v/>
      </c>
      <c r="M32" t="str">
        <f t="shared" ca="1" si="8"/>
        <v/>
      </c>
      <c r="N32" t="str">
        <f t="shared" ca="1" si="9"/>
        <v/>
      </c>
      <c r="O32" t="str">
        <f t="shared" ca="1" si="10"/>
        <v/>
      </c>
      <c r="P32" t="str">
        <f t="shared" ca="1" si="11"/>
        <v/>
      </c>
      <c r="Q32" t="str">
        <f t="shared" ca="1" si="12"/>
        <v/>
      </c>
    </row>
    <row r="33" spans="1:17" x14ac:dyDescent="0.15">
      <c r="A33" s="25">
        <v>32</v>
      </c>
      <c r="B33" s="25" t="str">
        <f ca="1">IF(OR(YEAR(NOW())-2000&lt;$A33,ﾄｰﾅﾒﾝﾄ!$W$9=""),"",IF(ﾄｰﾅﾒﾝﾄ!$AE$13&gt;ﾄｰﾅﾒﾝﾄ!$AH$13,ﾄｰﾅﾒﾝﾄ!$N$15,ﾄｰﾅﾒﾝﾄ!$AX$15))</f>
        <v/>
      </c>
      <c r="C33" s="25" t="str">
        <f ca="1">IF(OR(YEAR(NOW())-2000&lt;$A33,ﾄｰﾅﾒﾝﾄ!$W$9=""),"",INDEX(抽選!$F$2:$R$17,MATCH(B33,抽選!$F$2:$F$17,0),3))</f>
        <v/>
      </c>
      <c r="D33" s="25" t="str">
        <f t="shared" ca="1" si="15"/>
        <v/>
      </c>
      <c r="E33" s="2" t="str">
        <f ca="1">IF(B33="","",COUNTIF($B$2:B33,B33))</f>
        <v/>
      </c>
      <c r="F33" s="2" t="str">
        <f t="shared" ca="1" si="1"/>
        <v/>
      </c>
      <c r="G33" s="2" t="str">
        <f t="shared" ca="1" si="2"/>
        <v/>
      </c>
      <c r="H33" s="2">
        <f t="shared" si="3"/>
        <v>32</v>
      </c>
      <c r="I33" s="2" t="str">
        <f t="shared" ca="1" si="4"/>
        <v/>
      </c>
      <c r="J33" s="2" t="str">
        <f t="shared" ca="1" si="5"/>
        <v/>
      </c>
      <c r="K33" t="str">
        <f t="shared" ca="1" si="6"/>
        <v/>
      </c>
      <c r="L33" t="str">
        <f t="shared" ca="1" si="7"/>
        <v/>
      </c>
      <c r="M33" t="str">
        <f t="shared" ca="1" si="8"/>
        <v/>
      </c>
      <c r="N33" t="str">
        <f t="shared" ca="1" si="9"/>
        <v/>
      </c>
      <c r="O33" t="str">
        <f t="shared" ca="1" si="10"/>
        <v/>
      </c>
      <c r="P33" t="str">
        <f t="shared" ca="1" si="11"/>
        <v/>
      </c>
      <c r="Q33" t="str">
        <f t="shared" ca="1" si="12"/>
        <v/>
      </c>
    </row>
    <row r="34" spans="1:17" x14ac:dyDescent="0.15">
      <c r="A34" s="25">
        <v>33</v>
      </c>
      <c r="B34" s="25" t="str">
        <f ca="1">IF(OR(YEAR(NOW())-2000&lt;$A34,ﾄｰﾅﾒﾝﾄ!$W$9=""),"",IF(ﾄｰﾅﾒﾝﾄ!$AE$13&gt;ﾄｰﾅﾒﾝﾄ!$AH$13,ﾄｰﾅﾒﾝﾄ!$N$15,ﾄｰﾅﾒﾝﾄ!$AX$15))</f>
        <v/>
      </c>
      <c r="C34" s="25" t="str">
        <f ca="1">IF(OR(YEAR(NOW())-2000&lt;$A34,ﾄｰﾅﾒﾝﾄ!$W$9=""),"",INDEX(抽選!$F$2:$R$17,MATCH(B34,抽選!$F$2:$F$17,0),3))</f>
        <v/>
      </c>
      <c r="D34" s="25" t="str">
        <f t="shared" ca="1" si="15"/>
        <v/>
      </c>
      <c r="E34" s="2" t="str">
        <f ca="1">IF(B34="","",COUNTIF($B$2:B34,B34))</f>
        <v/>
      </c>
      <c r="F34" s="2" t="str">
        <f t="shared" ref="F34:F51" ca="1" si="17">IF(B34="","",IF(E34=1,"初優勝",E34&amp;"回目"))</f>
        <v/>
      </c>
      <c r="G34" s="2" t="str">
        <f t="shared" ref="G34:G51" ca="1" si="18">IF(B34="","",B34&amp;E34)</f>
        <v/>
      </c>
      <c r="H34" s="2">
        <f t="shared" si="3"/>
        <v>33</v>
      </c>
      <c r="I34" s="2" t="str">
        <f t="shared" ref="I34:I51" ca="1" si="19">IF(OR(B34="",E34=1),"",A34-VLOOKUP(B34&amp;(E34-1),$G$2:$H$51,2,FALSE))</f>
        <v/>
      </c>
      <c r="J34" s="2" t="str">
        <f t="shared" ref="J34:J51" ca="1" si="20">IF(B34="","",IF(I34=1,IF(I33=1,J33+1,2),""))</f>
        <v/>
      </c>
      <c r="K34" t="str">
        <f t="shared" ca="1" si="6"/>
        <v/>
      </c>
      <c r="L34" t="str">
        <f t="shared" ca="1" si="7"/>
        <v/>
      </c>
      <c r="M34" t="str">
        <f t="shared" ca="1" si="8"/>
        <v/>
      </c>
      <c r="N34" t="str">
        <f t="shared" ca="1" si="9"/>
        <v/>
      </c>
      <c r="O34" t="str">
        <f t="shared" ca="1" si="10"/>
        <v/>
      </c>
      <c r="P34" t="str">
        <f t="shared" ca="1" si="11"/>
        <v/>
      </c>
      <c r="Q34" t="str">
        <f t="shared" ca="1" si="12"/>
        <v/>
      </c>
    </row>
    <row r="35" spans="1:17" x14ac:dyDescent="0.15">
      <c r="A35" s="25">
        <v>34</v>
      </c>
      <c r="B35" s="25" t="str">
        <f ca="1">IF(OR(YEAR(NOW())-2000&lt;$A35,ﾄｰﾅﾒﾝﾄ!$W$9=""),"",IF(ﾄｰﾅﾒﾝﾄ!$AE$13&gt;ﾄｰﾅﾒﾝﾄ!$AH$13,ﾄｰﾅﾒﾝﾄ!$N$15,ﾄｰﾅﾒﾝﾄ!$AX$15))</f>
        <v/>
      </c>
      <c r="C35" s="25" t="str">
        <f ca="1">IF(OR(YEAR(NOW())-2000&lt;$A35,ﾄｰﾅﾒﾝﾄ!$W$9=""),"",INDEX(抽選!$F$2:$R$17,MATCH(B35,抽選!$F$2:$F$17,0),3))</f>
        <v/>
      </c>
      <c r="D35" s="25" t="str">
        <f t="shared" ca="1" si="15"/>
        <v/>
      </c>
      <c r="E35" s="2" t="str">
        <f ca="1">IF(B35="","",COUNTIF($B$2:B35,B35))</f>
        <v/>
      </c>
      <c r="F35" s="2" t="str">
        <f t="shared" ca="1" si="17"/>
        <v/>
      </c>
      <c r="G35" s="2" t="str">
        <f t="shared" ca="1" si="18"/>
        <v/>
      </c>
      <c r="H35" s="2">
        <f t="shared" si="3"/>
        <v>34</v>
      </c>
      <c r="I35" s="2" t="str">
        <f t="shared" ca="1" si="19"/>
        <v/>
      </c>
      <c r="J35" s="2" t="str">
        <f t="shared" ca="1" si="20"/>
        <v/>
      </c>
      <c r="K35" t="str">
        <f t="shared" ca="1" si="6"/>
        <v/>
      </c>
      <c r="L35" t="str">
        <f t="shared" ca="1" si="7"/>
        <v/>
      </c>
      <c r="M35" t="str">
        <f t="shared" ca="1" si="8"/>
        <v/>
      </c>
      <c r="N35" t="str">
        <f t="shared" ca="1" si="9"/>
        <v/>
      </c>
      <c r="O35" t="str">
        <f t="shared" ca="1" si="10"/>
        <v/>
      </c>
      <c r="P35" t="str">
        <f t="shared" ca="1" si="11"/>
        <v/>
      </c>
      <c r="Q35" t="str">
        <f t="shared" ca="1" si="12"/>
        <v/>
      </c>
    </row>
    <row r="36" spans="1:17" x14ac:dyDescent="0.15">
      <c r="A36" s="25">
        <v>35</v>
      </c>
      <c r="B36" s="25" t="str">
        <f ca="1">IF(OR(YEAR(NOW())-2000&lt;$A36,ﾄｰﾅﾒﾝﾄ!$W$9=""),"",IF(ﾄｰﾅﾒﾝﾄ!$AE$13&gt;ﾄｰﾅﾒﾝﾄ!$AH$13,ﾄｰﾅﾒﾝﾄ!$N$15,ﾄｰﾅﾒﾝﾄ!$AX$15))</f>
        <v/>
      </c>
      <c r="C36" s="25" t="str">
        <f ca="1">IF(OR(YEAR(NOW())-2000&lt;$A36,ﾄｰﾅﾒﾝﾄ!$W$9=""),"",INDEX(抽選!$F$2:$R$17,MATCH(B36,抽選!$F$2:$F$17,0),3))</f>
        <v/>
      </c>
      <c r="D36" s="25" t="str">
        <f t="shared" ca="1" si="15"/>
        <v/>
      </c>
      <c r="E36" s="2" t="str">
        <f ca="1">IF(B36="","",COUNTIF($B$2:B36,B36))</f>
        <v/>
      </c>
      <c r="F36" s="2" t="str">
        <f t="shared" ca="1" si="17"/>
        <v/>
      </c>
      <c r="G36" s="2" t="str">
        <f t="shared" ca="1" si="18"/>
        <v/>
      </c>
      <c r="H36" s="2">
        <f t="shared" si="3"/>
        <v>35</v>
      </c>
      <c r="I36" s="2" t="str">
        <f t="shared" ca="1" si="19"/>
        <v/>
      </c>
      <c r="J36" s="2" t="str">
        <f t="shared" ca="1" si="20"/>
        <v/>
      </c>
      <c r="K36" t="str">
        <f t="shared" ca="1" si="6"/>
        <v/>
      </c>
      <c r="L36" t="str">
        <f t="shared" ca="1" si="7"/>
        <v/>
      </c>
      <c r="M36" t="str">
        <f t="shared" ca="1" si="8"/>
        <v/>
      </c>
      <c r="N36" t="str">
        <f t="shared" ca="1" si="9"/>
        <v/>
      </c>
      <c r="O36" t="str">
        <f t="shared" ca="1" si="10"/>
        <v/>
      </c>
      <c r="P36" t="str">
        <f t="shared" ca="1" si="11"/>
        <v/>
      </c>
      <c r="Q36" t="str">
        <f t="shared" ca="1" si="12"/>
        <v/>
      </c>
    </row>
    <row r="37" spans="1:17" x14ac:dyDescent="0.15">
      <c r="A37" s="25">
        <v>36</v>
      </c>
      <c r="B37" s="25" t="str">
        <f ca="1">IF(OR(YEAR(NOW())-2000&lt;$A37,ﾄｰﾅﾒﾝﾄ!$W$9=""),"",IF(ﾄｰﾅﾒﾝﾄ!$AE$13&gt;ﾄｰﾅﾒﾝﾄ!$AH$13,ﾄｰﾅﾒﾝﾄ!$N$15,ﾄｰﾅﾒﾝﾄ!$AX$15))</f>
        <v/>
      </c>
      <c r="C37" s="25" t="str">
        <f ca="1">IF(OR(YEAR(NOW())-2000&lt;$A37,ﾄｰﾅﾒﾝﾄ!$W$9=""),"",INDEX(抽選!$F$2:$R$17,MATCH(B37,抽選!$F$2:$F$17,0),3))</f>
        <v/>
      </c>
      <c r="D37" s="25" t="str">
        <f t="shared" ca="1" si="15"/>
        <v/>
      </c>
      <c r="E37" s="2" t="str">
        <f ca="1">IF(B37="","",COUNTIF($B$2:B37,B37))</f>
        <v/>
      </c>
      <c r="F37" s="2" t="str">
        <f t="shared" ca="1" si="17"/>
        <v/>
      </c>
      <c r="G37" s="2" t="str">
        <f t="shared" ca="1" si="18"/>
        <v/>
      </c>
      <c r="H37" s="2">
        <f t="shared" si="3"/>
        <v>36</v>
      </c>
      <c r="I37" s="2" t="str">
        <f t="shared" ca="1" si="19"/>
        <v/>
      </c>
      <c r="J37" s="2" t="str">
        <f t="shared" ca="1" si="20"/>
        <v/>
      </c>
      <c r="K37" t="str">
        <f t="shared" ca="1" si="6"/>
        <v/>
      </c>
      <c r="L37" t="str">
        <f t="shared" ca="1" si="7"/>
        <v/>
      </c>
      <c r="M37" t="str">
        <f t="shared" ca="1" si="8"/>
        <v/>
      </c>
      <c r="N37" t="str">
        <f t="shared" ca="1" si="9"/>
        <v/>
      </c>
      <c r="O37" t="str">
        <f t="shared" ca="1" si="10"/>
        <v/>
      </c>
      <c r="P37" t="str">
        <f t="shared" ca="1" si="11"/>
        <v/>
      </c>
      <c r="Q37" t="str">
        <f t="shared" ca="1" si="12"/>
        <v/>
      </c>
    </row>
    <row r="38" spans="1:17" x14ac:dyDescent="0.15">
      <c r="A38" s="25">
        <v>37</v>
      </c>
      <c r="B38" s="25" t="str">
        <f ca="1">IF(OR(YEAR(NOW())-2000&lt;$A38,ﾄｰﾅﾒﾝﾄ!$W$9=""),"",IF(ﾄｰﾅﾒﾝﾄ!$AE$13&gt;ﾄｰﾅﾒﾝﾄ!$AH$13,ﾄｰﾅﾒﾝﾄ!$N$15,ﾄｰﾅﾒﾝﾄ!$AX$15))</f>
        <v/>
      </c>
      <c r="C38" s="25" t="str">
        <f ca="1">IF(OR(YEAR(NOW())-2000&lt;$A38,ﾄｰﾅﾒﾝﾄ!$W$9=""),"",INDEX(抽選!$F$2:$R$17,MATCH(B38,抽選!$F$2:$F$17,0),3))</f>
        <v/>
      </c>
      <c r="D38" s="25" t="str">
        <f t="shared" ca="1" si="15"/>
        <v/>
      </c>
      <c r="E38" s="2" t="str">
        <f ca="1">IF(B38="","",COUNTIF($B$2:B38,B38))</f>
        <v/>
      </c>
      <c r="F38" s="2" t="str">
        <f t="shared" ca="1" si="17"/>
        <v/>
      </c>
      <c r="G38" s="2" t="str">
        <f t="shared" ca="1" si="18"/>
        <v/>
      </c>
      <c r="H38" s="2">
        <f t="shared" si="3"/>
        <v>37</v>
      </c>
      <c r="I38" s="2" t="str">
        <f t="shared" ca="1" si="19"/>
        <v/>
      </c>
      <c r="J38" s="2" t="str">
        <f t="shared" ca="1" si="20"/>
        <v/>
      </c>
      <c r="K38" t="str">
        <f t="shared" ca="1" si="6"/>
        <v/>
      </c>
      <c r="L38" t="str">
        <f t="shared" ca="1" si="7"/>
        <v/>
      </c>
      <c r="M38" t="str">
        <f t="shared" ca="1" si="8"/>
        <v/>
      </c>
      <c r="N38" t="str">
        <f t="shared" ca="1" si="9"/>
        <v/>
      </c>
      <c r="O38" t="str">
        <f t="shared" ca="1" si="10"/>
        <v/>
      </c>
      <c r="P38" t="str">
        <f t="shared" ca="1" si="11"/>
        <v/>
      </c>
      <c r="Q38" t="str">
        <f t="shared" ca="1" si="12"/>
        <v/>
      </c>
    </row>
    <row r="39" spans="1:17" x14ac:dyDescent="0.15">
      <c r="A39" s="25">
        <v>38</v>
      </c>
      <c r="B39" s="25" t="str">
        <f ca="1">IF(OR(YEAR(NOW())-2000&lt;$A39,ﾄｰﾅﾒﾝﾄ!$W$9=""),"",IF(ﾄｰﾅﾒﾝﾄ!$AE$13&gt;ﾄｰﾅﾒﾝﾄ!$AH$13,ﾄｰﾅﾒﾝﾄ!$N$15,ﾄｰﾅﾒﾝﾄ!$AX$15))</f>
        <v/>
      </c>
      <c r="C39" s="25" t="str">
        <f ca="1">IF(OR(YEAR(NOW())-2000&lt;$A39,ﾄｰﾅﾒﾝﾄ!$W$9=""),"",INDEX(抽選!$F$2:$R$17,MATCH(B39,抽選!$F$2:$F$17,0),3))</f>
        <v/>
      </c>
      <c r="D39" s="25" t="str">
        <f t="shared" ca="1" si="15"/>
        <v/>
      </c>
      <c r="E39" s="2" t="str">
        <f ca="1">IF(B39="","",COUNTIF($B$2:B39,B39))</f>
        <v/>
      </c>
      <c r="F39" s="2" t="str">
        <f t="shared" ca="1" si="17"/>
        <v/>
      </c>
      <c r="G39" s="2" t="str">
        <f t="shared" ca="1" si="18"/>
        <v/>
      </c>
      <c r="H39" s="2">
        <f t="shared" si="3"/>
        <v>38</v>
      </c>
      <c r="I39" s="2" t="str">
        <f t="shared" ca="1" si="19"/>
        <v/>
      </c>
      <c r="J39" s="2" t="str">
        <f t="shared" ca="1" si="20"/>
        <v/>
      </c>
      <c r="K39" t="str">
        <f t="shared" ca="1" si="6"/>
        <v/>
      </c>
      <c r="L39" t="str">
        <f t="shared" ca="1" si="7"/>
        <v/>
      </c>
      <c r="M39" t="str">
        <f t="shared" ca="1" si="8"/>
        <v/>
      </c>
      <c r="N39" t="str">
        <f t="shared" ca="1" si="9"/>
        <v/>
      </c>
      <c r="O39" t="str">
        <f t="shared" ca="1" si="10"/>
        <v/>
      </c>
      <c r="P39" t="str">
        <f t="shared" ca="1" si="11"/>
        <v/>
      </c>
      <c r="Q39" t="str">
        <f t="shared" ca="1" si="12"/>
        <v/>
      </c>
    </row>
    <row r="40" spans="1:17" x14ac:dyDescent="0.15">
      <c r="A40" s="25">
        <v>39</v>
      </c>
      <c r="B40" s="25" t="str">
        <f ca="1">IF(OR(YEAR(NOW())-2000&lt;$A40,ﾄｰﾅﾒﾝﾄ!$W$9=""),"",IF(ﾄｰﾅﾒﾝﾄ!$AE$13&gt;ﾄｰﾅﾒﾝﾄ!$AH$13,ﾄｰﾅﾒﾝﾄ!$N$15,ﾄｰﾅﾒﾝﾄ!$AX$15))</f>
        <v/>
      </c>
      <c r="C40" s="25" t="str">
        <f ca="1">IF(OR(YEAR(NOW())-2000&lt;$A40,ﾄｰﾅﾒﾝﾄ!$W$9=""),"",INDEX(抽選!$F$2:$R$17,MATCH(B40,抽選!$F$2:$F$17,0),3))</f>
        <v/>
      </c>
      <c r="D40" s="25" t="str">
        <f t="shared" ca="1" si="15"/>
        <v/>
      </c>
      <c r="E40" s="2" t="str">
        <f ca="1">IF(B40="","",COUNTIF($B$2:B40,B40))</f>
        <v/>
      </c>
      <c r="F40" s="2" t="str">
        <f t="shared" ca="1" si="17"/>
        <v/>
      </c>
      <c r="G40" s="2" t="str">
        <f t="shared" ca="1" si="18"/>
        <v/>
      </c>
      <c r="H40" s="2">
        <f t="shared" si="3"/>
        <v>39</v>
      </c>
      <c r="I40" s="2" t="str">
        <f t="shared" ca="1" si="19"/>
        <v/>
      </c>
      <c r="J40" s="2" t="str">
        <f t="shared" ca="1" si="20"/>
        <v/>
      </c>
      <c r="K40" t="str">
        <f t="shared" ca="1" si="6"/>
        <v/>
      </c>
      <c r="L40" t="str">
        <f t="shared" ca="1" si="7"/>
        <v/>
      </c>
      <c r="M40" t="str">
        <f t="shared" ca="1" si="8"/>
        <v/>
      </c>
      <c r="N40" t="str">
        <f t="shared" ca="1" si="9"/>
        <v/>
      </c>
      <c r="O40" t="str">
        <f t="shared" ca="1" si="10"/>
        <v/>
      </c>
      <c r="P40" t="str">
        <f t="shared" ca="1" si="11"/>
        <v/>
      </c>
      <c r="Q40" t="str">
        <f t="shared" ca="1" si="12"/>
        <v/>
      </c>
    </row>
    <row r="41" spans="1:17" x14ac:dyDescent="0.15">
      <c r="A41" s="25">
        <v>40</v>
      </c>
      <c r="B41" s="25" t="str">
        <f ca="1">IF(OR(YEAR(NOW())-2000&lt;$A41,ﾄｰﾅﾒﾝﾄ!$W$9=""),"",IF(ﾄｰﾅﾒﾝﾄ!$AE$13&gt;ﾄｰﾅﾒﾝﾄ!$AH$13,ﾄｰﾅﾒﾝﾄ!$N$15,ﾄｰﾅﾒﾝﾄ!$AX$15))</f>
        <v/>
      </c>
      <c r="C41" s="25" t="str">
        <f ca="1">IF(OR(YEAR(NOW())-2000&lt;$A41,ﾄｰﾅﾒﾝﾄ!$W$9=""),"",INDEX(抽選!$F$2:$R$17,MATCH(B41,抽選!$F$2:$F$17,0),3))</f>
        <v/>
      </c>
      <c r="D41" s="25" t="str">
        <f t="shared" ca="1" si="15"/>
        <v/>
      </c>
      <c r="E41" s="2" t="str">
        <f ca="1">IF(B41="","",COUNTIF($B$2:B41,B41))</f>
        <v/>
      </c>
      <c r="F41" s="2" t="str">
        <f t="shared" ca="1" si="17"/>
        <v/>
      </c>
      <c r="G41" s="2" t="str">
        <f t="shared" ca="1" si="18"/>
        <v/>
      </c>
      <c r="H41" s="2">
        <f t="shared" si="3"/>
        <v>40</v>
      </c>
      <c r="I41" s="2" t="str">
        <f t="shared" ca="1" si="19"/>
        <v/>
      </c>
      <c r="J41" s="2" t="str">
        <f t="shared" ca="1" si="20"/>
        <v/>
      </c>
      <c r="K41" t="str">
        <f t="shared" ca="1" si="6"/>
        <v/>
      </c>
      <c r="L41" t="str">
        <f t="shared" ca="1" si="7"/>
        <v/>
      </c>
      <c r="M41" t="str">
        <f t="shared" ca="1" si="8"/>
        <v/>
      </c>
      <c r="N41" t="str">
        <f t="shared" ca="1" si="9"/>
        <v/>
      </c>
      <c r="O41" t="str">
        <f t="shared" ca="1" si="10"/>
        <v/>
      </c>
      <c r="P41" t="str">
        <f t="shared" ca="1" si="11"/>
        <v/>
      </c>
      <c r="Q41" t="str">
        <f t="shared" ca="1" si="12"/>
        <v/>
      </c>
    </row>
    <row r="42" spans="1:17" x14ac:dyDescent="0.15">
      <c r="A42" s="25">
        <v>41</v>
      </c>
      <c r="B42" s="25" t="str">
        <f ca="1">IF(OR(YEAR(NOW())-2000&lt;$A42,ﾄｰﾅﾒﾝﾄ!$W$9=""),"",IF(ﾄｰﾅﾒﾝﾄ!$AE$13&gt;ﾄｰﾅﾒﾝﾄ!$AH$13,ﾄｰﾅﾒﾝﾄ!$N$15,ﾄｰﾅﾒﾝﾄ!$AX$15))</f>
        <v/>
      </c>
      <c r="C42" s="25" t="str">
        <f ca="1">IF(OR(YEAR(NOW())-2000&lt;$A42,ﾄｰﾅﾒﾝﾄ!$W$9=""),"",INDEX(抽選!$F$2:$R$17,MATCH(B42,抽選!$F$2:$F$17,0),3))</f>
        <v/>
      </c>
      <c r="D42" s="25" t="str">
        <f t="shared" ca="1" si="15"/>
        <v/>
      </c>
      <c r="E42" s="2" t="str">
        <f ca="1">IF(B42="","",COUNTIF($B$2:B42,B42))</f>
        <v/>
      </c>
      <c r="F42" s="2" t="str">
        <f t="shared" ca="1" si="17"/>
        <v/>
      </c>
      <c r="G42" s="2" t="str">
        <f t="shared" ca="1" si="18"/>
        <v/>
      </c>
      <c r="H42" s="2">
        <f t="shared" si="3"/>
        <v>41</v>
      </c>
      <c r="I42" s="2" t="str">
        <f t="shared" ca="1" si="19"/>
        <v/>
      </c>
      <c r="J42" s="2" t="str">
        <f t="shared" ca="1" si="20"/>
        <v/>
      </c>
      <c r="K42" t="str">
        <f t="shared" ca="1" si="6"/>
        <v/>
      </c>
      <c r="L42" t="str">
        <f t="shared" ca="1" si="7"/>
        <v/>
      </c>
      <c r="M42" t="str">
        <f t="shared" ca="1" si="8"/>
        <v/>
      </c>
      <c r="N42" t="str">
        <f t="shared" ca="1" si="9"/>
        <v/>
      </c>
      <c r="O42" t="str">
        <f t="shared" ca="1" si="10"/>
        <v/>
      </c>
      <c r="P42" t="str">
        <f t="shared" ca="1" si="11"/>
        <v/>
      </c>
      <c r="Q42" t="str">
        <f t="shared" ca="1" si="12"/>
        <v/>
      </c>
    </row>
    <row r="43" spans="1:17" x14ac:dyDescent="0.15">
      <c r="A43" s="25">
        <v>42</v>
      </c>
      <c r="B43" s="25" t="str">
        <f ca="1">IF(OR(YEAR(NOW())-2000&lt;$A43,ﾄｰﾅﾒﾝﾄ!$W$9=""),"",IF(ﾄｰﾅﾒﾝﾄ!$AE$13&gt;ﾄｰﾅﾒﾝﾄ!$AH$13,ﾄｰﾅﾒﾝﾄ!$N$15,ﾄｰﾅﾒﾝﾄ!$AX$15))</f>
        <v/>
      </c>
      <c r="C43" s="25" t="str">
        <f ca="1">IF(OR(YEAR(NOW())-2000&lt;$A43,ﾄｰﾅﾒﾝﾄ!$W$9=""),"",INDEX(抽選!$F$2:$R$17,MATCH(B43,抽選!$F$2:$F$17,0),3))</f>
        <v/>
      </c>
      <c r="D43" s="25" t="str">
        <f t="shared" ca="1" si="15"/>
        <v/>
      </c>
      <c r="E43" s="2" t="str">
        <f ca="1">IF(B43="","",COUNTIF($B$2:B43,B43))</f>
        <v/>
      </c>
      <c r="F43" s="2" t="str">
        <f t="shared" ca="1" si="17"/>
        <v/>
      </c>
      <c r="G43" s="2" t="str">
        <f t="shared" ca="1" si="18"/>
        <v/>
      </c>
      <c r="H43" s="2">
        <f t="shared" si="3"/>
        <v>42</v>
      </c>
      <c r="I43" s="2" t="str">
        <f t="shared" ca="1" si="19"/>
        <v/>
      </c>
      <c r="J43" s="2" t="str">
        <f t="shared" ca="1" si="20"/>
        <v/>
      </c>
      <c r="K43" t="str">
        <f t="shared" ca="1" si="6"/>
        <v/>
      </c>
      <c r="L43" t="str">
        <f t="shared" ca="1" si="7"/>
        <v/>
      </c>
      <c r="M43" t="str">
        <f t="shared" ca="1" si="8"/>
        <v/>
      </c>
      <c r="N43" t="str">
        <f t="shared" ca="1" si="9"/>
        <v/>
      </c>
      <c r="O43" t="str">
        <f t="shared" ca="1" si="10"/>
        <v/>
      </c>
      <c r="P43" t="str">
        <f t="shared" ca="1" si="11"/>
        <v/>
      </c>
      <c r="Q43" t="str">
        <f t="shared" ca="1" si="12"/>
        <v/>
      </c>
    </row>
    <row r="44" spans="1:17" x14ac:dyDescent="0.15">
      <c r="A44" s="25">
        <v>43</v>
      </c>
      <c r="B44" s="25" t="str">
        <f ca="1">IF(OR(YEAR(NOW())-2000&lt;$A44,ﾄｰﾅﾒﾝﾄ!$W$9=""),"",IF(ﾄｰﾅﾒﾝﾄ!$AE$13&gt;ﾄｰﾅﾒﾝﾄ!$AH$13,ﾄｰﾅﾒﾝﾄ!$N$15,ﾄｰﾅﾒﾝﾄ!$AX$15))</f>
        <v/>
      </c>
      <c r="C44" s="25" t="str">
        <f ca="1">IF(OR(YEAR(NOW())-2000&lt;$A44,ﾄｰﾅﾒﾝﾄ!$W$9=""),"",INDEX(抽選!$F$2:$R$17,MATCH(B44,抽選!$F$2:$F$17,0),3))</f>
        <v/>
      </c>
      <c r="D44" s="25" t="str">
        <f t="shared" ca="1" si="15"/>
        <v/>
      </c>
      <c r="E44" s="2" t="str">
        <f ca="1">IF(B44="","",COUNTIF($B$2:B44,B44))</f>
        <v/>
      </c>
      <c r="F44" s="2" t="str">
        <f t="shared" ca="1" si="17"/>
        <v/>
      </c>
      <c r="G44" s="2" t="str">
        <f t="shared" ca="1" si="18"/>
        <v/>
      </c>
      <c r="H44" s="2">
        <f t="shared" si="3"/>
        <v>43</v>
      </c>
      <c r="I44" s="2" t="str">
        <f t="shared" ca="1" si="19"/>
        <v/>
      </c>
      <c r="J44" s="2" t="str">
        <f t="shared" ca="1" si="20"/>
        <v/>
      </c>
      <c r="K44" t="str">
        <f t="shared" ca="1" si="6"/>
        <v/>
      </c>
      <c r="L44" t="str">
        <f t="shared" ca="1" si="7"/>
        <v/>
      </c>
      <c r="M44" t="str">
        <f t="shared" ca="1" si="8"/>
        <v/>
      </c>
      <c r="N44" t="str">
        <f t="shared" ca="1" si="9"/>
        <v/>
      </c>
      <c r="O44" t="str">
        <f t="shared" ca="1" si="10"/>
        <v/>
      </c>
      <c r="P44" t="str">
        <f t="shared" ca="1" si="11"/>
        <v/>
      </c>
      <c r="Q44" t="str">
        <f t="shared" ca="1" si="12"/>
        <v/>
      </c>
    </row>
    <row r="45" spans="1:17" x14ac:dyDescent="0.15">
      <c r="A45" s="25">
        <v>44</v>
      </c>
      <c r="B45" s="25" t="str">
        <f ca="1">IF(OR(YEAR(NOW())-2000&lt;$A45,ﾄｰﾅﾒﾝﾄ!$W$9=""),"",IF(ﾄｰﾅﾒﾝﾄ!$AE$13&gt;ﾄｰﾅﾒﾝﾄ!$AH$13,ﾄｰﾅﾒﾝﾄ!$N$15,ﾄｰﾅﾒﾝﾄ!$AX$15))</f>
        <v/>
      </c>
      <c r="C45" s="25" t="str">
        <f ca="1">IF(OR(YEAR(NOW())-2000&lt;$A45,ﾄｰﾅﾒﾝﾄ!$W$9=""),"",INDEX(抽選!$F$2:$R$17,MATCH(B45,抽選!$F$2:$F$17,0),3))</f>
        <v/>
      </c>
      <c r="D45" s="25" t="str">
        <f t="shared" ca="1" si="15"/>
        <v/>
      </c>
      <c r="E45" s="2" t="str">
        <f ca="1">IF(B45="","",COUNTIF($B$2:B45,B45))</f>
        <v/>
      </c>
      <c r="F45" s="2" t="str">
        <f t="shared" ca="1" si="17"/>
        <v/>
      </c>
      <c r="G45" s="2" t="str">
        <f t="shared" ca="1" si="18"/>
        <v/>
      </c>
      <c r="H45" s="2">
        <f t="shared" si="3"/>
        <v>44</v>
      </c>
      <c r="I45" s="2" t="str">
        <f t="shared" ca="1" si="19"/>
        <v/>
      </c>
      <c r="J45" s="2" t="str">
        <f t="shared" ca="1" si="20"/>
        <v/>
      </c>
      <c r="K45" t="str">
        <f t="shared" ca="1" si="6"/>
        <v/>
      </c>
      <c r="L45" t="str">
        <f t="shared" ca="1" si="7"/>
        <v/>
      </c>
      <c r="M45" t="str">
        <f t="shared" ca="1" si="8"/>
        <v/>
      </c>
      <c r="N45" t="str">
        <f t="shared" ca="1" si="9"/>
        <v/>
      </c>
      <c r="O45" t="str">
        <f t="shared" ca="1" si="10"/>
        <v/>
      </c>
      <c r="P45" t="str">
        <f t="shared" ca="1" si="11"/>
        <v/>
      </c>
      <c r="Q45" t="str">
        <f t="shared" ca="1" si="12"/>
        <v/>
      </c>
    </row>
    <row r="46" spans="1:17" x14ac:dyDescent="0.15">
      <c r="A46" s="25">
        <v>45</v>
      </c>
      <c r="B46" s="25" t="str">
        <f ca="1">IF(OR(YEAR(NOW())-2000&lt;$A46,ﾄｰﾅﾒﾝﾄ!$W$9=""),"",IF(ﾄｰﾅﾒﾝﾄ!$AE$13&gt;ﾄｰﾅﾒﾝﾄ!$AH$13,ﾄｰﾅﾒﾝﾄ!$N$15,ﾄｰﾅﾒﾝﾄ!$AX$15))</f>
        <v/>
      </c>
      <c r="C46" s="25" t="str">
        <f ca="1">IF(OR(YEAR(NOW())-2000&lt;$A46,ﾄｰﾅﾒﾝﾄ!$W$9=""),"",INDEX(抽選!$F$2:$R$17,MATCH(B46,抽選!$F$2:$F$17,0),3))</f>
        <v/>
      </c>
      <c r="D46" s="25" t="str">
        <f t="shared" ca="1" si="15"/>
        <v/>
      </c>
      <c r="E46" s="2" t="str">
        <f ca="1">IF(B46="","",COUNTIF($B$2:B46,B46))</f>
        <v/>
      </c>
      <c r="F46" s="2" t="str">
        <f t="shared" ca="1" si="17"/>
        <v/>
      </c>
      <c r="G46" s="2" t="str">
        <f t="shared" ca="1" si="18"/>
        <v/>
      </c>
      <c r="H46" s="2">
        <f t="shared" si="3"/>
        <v>45</v>
      </c>
      <c r="I46" s="2" t="str">
        <f t="shared" ca="1" si="19"/>
        <v/>
      </c>
      <c r="J46" s="2" t="str">
        <f t="shared" ca="1" si="20"/>
        <v/>
      </c>
      <c r="K46" t="str">
        <f t="shared" ca="1" si="6"/>
        <v/>
      </c>
      <c r="L46" t="str">
        <f t="shared" ca="1" si="7"/>
        <v/>
      </c>
      <c r="M46" t="str">
        <f t="shared" ca="1" si="8"/>
        <v/>
      </c>
      <c r="N46" t="str">
        <f t="shared" ca="1" si="9"/>
        <v/>
      </c>
      <c r="O46" t="str">
        <f t="shared" ca="1" si="10"/>
        <v/>
      </c>
      <c r="P46" t="str">
        <f t="shared" ca="1" si="11"/>
        <v/>
      </c>
      <c r="Q46" t="str">
        <f t="shared" ca="1" si="12"/>
        <v/>
      </c>
    </row>
    <row r="47" spans="1:17" x14ac:dyDescent="0.15">
      <c r="A47" s="25">
        <v>46</v>
      </c>
      <c r="B47" s="25" t="str">
        <f ca="1">IF(OR(YEAR(NOW())-2000&lt;$A47,ﾄｰﾅﾒﾝﾄ!$W$9=""),"",IF(ﾄｰﾅﾒﾝﾄ!$AE$13&gt;ﾄｰﾅﾒﾝﾄ!$AH$13,ﾄｰﾅﾒﾝﾄ!$N$15,ﾄｰﾅﾒﾝﾄ!$AX$15))</f>
        <v/>
      </c>
      <c r="C47" s="25" t="str">
        <f ca="1">IF(OR(YEAR(NOW())-2000&lt;$A47,ﾄｰﾅﾒﾝﾄ!$W$9=""),"",INDEX(抽選!$F$2:$R$17,MATCH(B47,抽選!$F$2:$F$17,0),3))</f>
        <v/>
      </c>
      <c r="D47" s="25" t="str">
        <f t="shared" ca="1" si="15"/>
        <v/>
      </c>
      <c r="E47" s="2" t="str">
        <f ca="1">IF(B47="","",COUNTIF($B$2:B47,B47))</f>
        <v/>
      </c>
      <c r="F47" s="2" t="str">
        <f t="shared" ca="1" si="17"/>
        <v/>
      </c>
      <c r="G47" s="2" t="str">
        <f t="shared" ca="1" si="18"/>
        <v/>
      </c>
      <c r="H47" s="2">
        <f t="shared" si="3"/>
        <v>46</v>
      </c>
      <c r="I47" s="2" t="str">
        <f t="shared" ca="1" si="19"/>
        <v/>
      </c>
      <c r="J47" s="2" t="str">
        <f t="shared" ca="1" si="20"/>
        <v/>
      </c>
      <c r="K47" t="str">
        <f t="shared" ca="1" si="6"/>
        <v/>
      </c>
      <c r="L47" t="str">
        <f t="shared" ca="1" si="7"/>
        <v/>
      </c>
      <c r="M47" t="str">
        <f t="shared" ca="1" si="8"/>
        <v/>
      </c>
      <c r="N47" t="str">
        <f t="shared" ca="1" si="9"/>
        <v/>
      </c>
      <c r="O47" t="str">
        <f t="shared" ca="1" si="10"/>
        <v/>
      </c>
      <c r="P47" t="str">
        <f t="shared" ca="1" si="11"/>
        <v/>
      </c>
      <c r="Q47" t="str">
        <f t="shared" ca="1" si="12"/>
        <v/>
      </c>
    </row>
    <row r="48" spans="1:17" x14ac:dyDescent="0.15">
      <c r="A48" s="25">
        <v>47</v>
      </c>
      <c r="B48" s="25" t="str">
        <f ca="1">IF(OR(YEAR(NOW())-2000&lt;$A48,ﾄｰﾅﾒﾝﾄ!$W$9=""),"",IF(ﾄｰﾅﾒﾝﾄ!$AE$13&gt;ﾄｰﾅﾒﾝﾄ!$AH$13,ﾄｰﾅﾒﾝﾄ!$N$15,ﾄｰﾅﾒﾝﾄ!$AX$15))</f>
        <v/>
      </c>
      <c r="C48" s="25" t="str">
        <f ca="1">IF(OR(YEAR(NOW())-2000&lt;$A48,ﾄｰﾅﾒﾝﾄ!$W$9=""),"",INDEX(抽選!$F$2:$R$17,MATCH(B48,抽選!$F$2:$F$17,0),3))</f>
        <v/>
      </c>
      <c r="D48" s="25" t="str">
        <f t="shared" ca="1" si="15"/>
        <v/>
      </c>
      <c r="E48" s="2" t="str">
        <f ca="1">IF(B48="","",COUNTIF($B$2:B48,B48))</f>
        <v/>
      </c>
      <c r="F48" s="2" t="str">
        <f t="shared" ca="1" si="17"/>
        <v/>
      </c>
      <c r="G48" s="2" t="str">
        <f t="shared" ca="1" si="18"/>
        <v/>
      </c>
      <c r="H48" s="2">
        <f t="shared" si="3"/>
        <v>47</v>
      </c>
      <c r="I48" s="2" t="str">
        <f t="shared" ca="1" si="19"/>
        <v/>
      </c>
      <c r="J48" s="2" t="str">
        <f t="shared" ca="1" si="20"/>
        <v/>
      </c>
      <c r="K48" t="str">
        <f t="shared" ca="1" si="6"/>
        <v/>
      </c>
      <c r="L48" t="str">
        <f t="shared" ca="1" si="7"/>
        <v/>
      </c>
      <c r="M48" t="str">
        <f t="shared" ca="1" si="8"/>
        <v/>
      </c>
      <c r="N48" t="str">
        <f t="shared" ca="1" si="9"/>
        <v/>
      </c>
      <c r="O48" t="str">
        <f t="shared" ca="1" si="10"/>
        <v/>
      </c>
      <c r="P48" t="str">
        <f t="shared" ca="1" si="11"/>
        <v/>
      </c>
      <c r="Q48" t="str">
        <f t="shared" ca="1" si="12"/>
        <v/>
      </c>
    </row>
    <row r="49" spans="1:17" x14ac:dyDescent="0.15">
      <c r="A49" s="25">
        <v>48</v>
      </c>
      <c r="B49" s="25" t="str">
        <f ca="1">IF(OR(YEAR(NOW())-2000&lt;$A49,ﾄｰﾅﾒﾝﾄ!$W$9=""),"",IF(ﾄｰﾅﾒﾝﾄ!$AE$13&gt;ﾄｰﾅﾒﾝﾄ!$AH$13,ﾄｰﾅﾒﾝﾄ!$N$15,ﾄｰﾅﾒﾝﾄ!$AX$15))</f>
        <v/>
      </c>
      <c r="C49" s="25" t="str">
        <f ca="1">IF(OR(YEAR(NOW())-2000&lt;$A49,ﾄｰﾅﾒﾝﾄ!$W$9=""),"",INDEX(抽選!$F$2:$R$17,MATCH(B49,抽選!$F$2:$F$17,0),3))</f>
        <v/>
      </c>
      <c r="D49" s="25" t="str">
        <f t="shared" ca="1" si="15"/>
        <v/>
      </c>
      <c r="E49" s="2" t="str">
        <f ca="1">IF(B49="","",COUNTIF($B$2:B49,B49))</f>
        <v/>
      </c>
      <c r="F49" s="2" t="str">
        <f t="shared" ca="1" si="17"/>
        <v/>
      </c>
      <c r="G49" s="2" t="str">
        <f t="shared" ca="1" si="18"/>
        <v/>
      </c>
      <c r="H49" s="2">
        <f t="shared" si="3"/>
        <v>48</v>
      </c>
      <c r="I49" s="2" t="str">
        <f t="shared" ca="1" si="19"/>
        <v/>
      </c>
      <c r="J49" s="2" t="str">
        <f t="shared" ca="1" si="20"/>
        <v/>
      </c>
      <c r="K49" t="str">
        <f t="shared" ca="1" si="6"/>
        <v/>
      </c>
      <c r="L49" t="str">
        <f t="shared" ca="1" si="7"/>
        <v/>
      </c>
      <c r="M49" t="str">
        <f t="shared" ca="1" si="8"/>
        <v/>
      </c>
      <c r="N49" t="str">
        <f t="shared" ca="1" si="9"/>
        <v/>
      </c>
      <c r="O49" t="str">
        <f t="shared" ca="1" si="10"/>
        <v/>
      </c>
      <c r="P49" t="str">
        <f t="shared" ca="1" si="11"/>
        <v/>
      </c>
      <c r="Q49" t="str">
        <f t="shared" ca="1" si="12"/>
        <v/>
      </c>
    </row>
    <row r="50" spans="1:17" x14ac:dyDescent="0.15">
      <c r="A50" s="25">
        <v>49</v>
      </c>
      <c r="B50" s="25" t="str">
        <f ca="1">IF(OR(YEAR(NOW())-2000&lt;$A50,ﾄｰﾅﾒﾝﾄ!$W$9=""),"",IF(ﾄｰﾅﾒﾝﾄ!$AE$13&gt;ﾄｰﾅﾒﾝﾄ!$AH$13,ﾄｰﾅﾒﾝﾄ!$N$15,ﾄｰﾅﾒﾝﾄ!$AX$15))</f>
        <v/>
      </c>
      <c r="C50" s="25" t="str">
        <f ca="1">IF(OR(YEAR(NOW())-2000&lt;$A50,ﾄｰﾅﾒﾝﾄ!$W$9=""),"",INDEX(抽選!$F$2:$R$17,MATCH(B50,抽選!$F$2:$F$17,0),3))</f>
        <v/>
      </c>
      <c r="D50" s="25" t="str">
        <f t="shared" ca="1" si="15"/>
        <v/>
      </c>
      <c r="E50" s="2" t="str">
        <f ca="1">IF(B50="","",COUNTIF($B$2:B50,B50))</f>
        <v/>
      </c>
      <c r="F50" s="2" t="str">
        <f t="shared" ca="1" si="17"/>
        <v/>
      </c>
      <c r="G50" s="2" t="str">
        <f t="shared" ca="1" si="18"/>
        <v/>
      </c>
      <c r="H50" s="2">
        <f t="shared" si="3"/>
        <v>49</v>
      </c>
      <c r="I50" s="2" t="str">
        <f t="shared" ca="1" si="19"/>
        <v/>
      </c>
      <c r="J50" s="2" t="str">
        <f t="shared" ca="1" si="20"/>
        <v/>
      </c>
      <c r="K50" t="str">
        <f t="shared" ca="1" si="6"/>
        <v/>
      </c>
      <c r="L50" t="str">
        <f t="shared" ca="1" si="7"/>
        <v/>
      </c>
      <c r="M50" t="str">
        <f t="shared" ca="1" si="8"/>
        <v/>
      </c>
      <c r="N50" t="str">
        <f t="shared" ca="1" si="9"/>
        <v/>
      </c>
      <c r="O50" t="str">
        <f t="shared" ca="1" si="10"/>
        <v/>
      </c>
      <c r="P50" t="str">
        <f t="shared" ca="1" si="11"/>
        <v/>
      </c>
      <c r="Q50" t="str">
        <f t="shared" ca="1" si="12"/>
        <v/>
      </c>
    </row>
    <row r="51" spans="1:17" x14ac:dyDescent="0.15">
      <c r="A51" s="25">
        <v>50</v>
      </c>
      <c r="B51" s="25" t="str">
        <f ca="1">IF(OR(YEAR(NOW())-2000&lt;$A51,ﾄｰﾅﾒﾝﾄ!$W$9=""),"",IF(ﾄｰﾅﾒﾝﾄ!$AE$13&gt;ﾄｰﾅﾒﾝﾄ!$AH$13,ﾄｰﾅﾒﾝﾄ!$N$15,ﾄｰﾅﾒﾝﾄ!$AX$15))</f>
        <v/>
      </c>
      <c r="C51" s="25" t="str">
        <f ca="1">IF(OR(YEAR(NOW())-2000&lt;$A51,ﾄｰﾅﾒﾝﾄ!$W$9=""),"",INDEX(抽選!$F$2:$R$17,MATCH(B51,抽選!$F$2:$F$17,0),3))</f>
        <v/>
      </c>
      <c r="D51" s="25" t="str">
        <f t="shared" ca="1" si="15"/>
        <v/>
      </c>
      <c r="E51" s="2" t="str">
        <f ca="1">IF(B51="","",COUNTIF($B$2:B51,B51))</f>
        <v/>
      </c>
      <c r="F51" s="2" t="str">
        <f t="shared" ca="1" si="17"/>
        <v/>
      </c>
      <c r="G51" s="2" t="str">
        <f t="shared" ca="1" si="18"/>
        <v/>
      </c>
      <c r="H51" s="2">
        <f t="shared" si="3"/>
        <v>50</v>
      </c>
      <c r="I51" s="2" t="str">
        <f t="shared" ca="1" si="19"/>
        <v/>
      </c>
      <c r="J51" s="2" t="str">
        <f t="shared" ca="1" si="20"/>
        <v/>
      </c>
      <c r="K51" t="str">
        <f t="shared" ca="1" si="6"/>
        <v/>
      </c>
      <c r="L51" t="str">
        <f t="shared" ca="1" si="7"/>
        <v/>
      </c>
      <c r="M51" t="str">
        <f t="shared" ca="1" si="8"/>
        <v/>
      </c>
      <c r="N51" t="str">
        <f t="shared" ca="1" si="9"/>
        <v/>
      </c>
      <c r="O51" t="str">
        <f t="shared" ca="1" si="10"/>
        <v/>
      </c>
      <c r="P51" t="str">
        <f t="shared" ca="1" si="11"/>
        <v/>
      </c>
      <c r="Q51" t="str">
        <f t="shared" ca="1" si="12"/>
        <v/>
      </c>
    </row>
  </sheetData>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52"/>
  <sheetViews>
    <sheetView workbookViewId="0">
      <selection activeCell="I10" sqref="I10:J10"/>
    </sheetView>
  </sheetViews>
  <sheetFormatPr defaultColWidth="2.5" defaultRowHeight="15.6" customHeight="1" x14ac:dyDescent="0.15"/>
  <cols>
    <col min="1" max="1" width="4.625" style="105" customWidth="1"/>
    <col min="2" max="2" width="15" style="105" customWidth="1"/>
    <col min="3" max="3" width="9.25" style="105" bestFit="1" customWidth="1"/>
    <col min="4" max="4" width="4" style="105" bestFit="1" customWidth="1"/>
    <col min="5" max="5" width="9.75" style="105" customWidth="1"/>
    <col min="6" max="6" width="10" style="105" customWidth="1"/>
    <col min="7" max="7" width="11.875" style="105" customWidth="1"/>
    <col min="8" max="8" width="4.125" style="105" bestFit="1" customWidth="1"/>
    <col min="9" max="9" width="5.875" style="105" customWidth="1"/>
    <col min="10" max="10" width="13.75" style="105" customWidth="1"/>
    <col min="11" max="16384" width="2.5" style="105"/>
  </cols>
  <sheetData>
    <row r="1" spans="1:10" ht="18.75" x14ac:dyDescent="0.15">
      <c r="B1" s="106"/>
      <c r="C1" s="260" t="s">
        <v>91</v>
      </c>
      <c r="D1" s="261"/>
      <c r="E1" s="261"/>
      <c r="F1" s="261"/>
      <c r="G1" s="261"/>
      <c r="H1" s="262"/>
      <c r="I1" s="106"/>
      <c r="J1" s="106"/>
    </row>
    <row r="2" spans="1:10" ht="9" customHeight="1" x14ac:dyDescent="0.15"/>
    <row r="3" spans="1:10" ht="17.25" customHeight="1" x14ac:dyDescent="0.15">
      <c r="G3" s="107" t="s">
        <v>139</v>
      </c>
      <c r="H3" s="265"/>
      <c r="I3" s="265"/>
      <c r="J3" s="265"/>
    </row>
    <row r="4" spans="1:10" ht="9" customHeight="1" x14ac:dyDescent="0.15"/>
    <row r="5" spans="1:10" ht="22.5" customHeight="1" x14ac:dyDescent="0.15">
      <c r="B5" s="108" t="s">
        <v>172</v>
      </c>
      <c r="C5" s="242" t="str">
        <f ca="1">"令和"&amp;IF(YEAR(NOW())=2019,"元",YEAR(NOW())-2018)&amp;"年度 第"&amp;YEAR(NOW())-2000&amp;"回 石川県中学校新人サッカー大会 "</f>
        <v xml:space="preserve">令和5年度 第23回 石川県中学校新人サッカー大会 </v>
      </c>
      <c r="D5" s="242"/>
      <c r="E5" s="242"/>
      <c r="F5" s="242"/>
      <c r="G5" s="242"/>
      <c r="H5" s="242"/>
      <c r="I5" s="242"/>
      <c r="J5" s="242"/>
    </row>
    <row r="6" spans="1:10" ht="9" customHeight="1" x14ac:dyDescent="0.15">
      <c r="H6" s="280" t="s">
        <v>179</v>
      </c>
      <c r="I6" s="280"/>
      <c r="J6" s="280"/>
    </row>
    <row r="7" spans="1:10" ht="17.25" customHeight="1" x14ac:dyDescent="0.15">
      <c r="A7" s="263" t="s">
        <v>140</v>
      </c>
      <c r="B7" s="264"/>
      <c r="H7" s="281"/>
      <c r="I7" s="281"/>
      <c r="J7" s="281"/>
    </row>
    <row r="8" spans="1:10" ht="3.75" customHeight="1" thickBot="1" x14ac:dyDescent="0.2"/>
    <row r="9" spans="1:10" ht="17.25" customHeight="1" x14ac:dyDescent="0.15">
      <c r="A9" s="240" t="s">
        <v>141</v>
      </c>
      <c r="B9" s="241"/>
      <c r="C9" s="268" t="str">
        <f ca="1">"令和"&amp;IF(YEAR(NOW())=2019,"元",YEAR(NOW())-2018)&amp;"年11月"&amp;DAY(ﾄｰﾅﾒﾝﾄ!$A$23)&amp;"日"&amp;ﾄｰﾅﾒﾝﾄ!$A$24</f>
        <v>令和5年11月9日(月)</v>
      </c>
      <c r="D9" s="269"/>
      <c r="E9" s="269"/>
      <c r="F9" s="269"/>
      <c r="G9" s="109">
        <v>0.375</v>
      </c>
      <c r="H9" s="282" t="s">
        <v>171</v>
      </c>
      <c r="I9" s="282"/>
      <c r="J9" s="283"/>
    </row>
    <row r="10" spans="1:10" ht="26.25" customHeight="1" x14ac:dyDescent="0.15">
      <c r="A10" s="236" t="s">
        <v>168</v>
      </c>
      <c r="B10" s="237"/>
      <c r="C10" s="110" t="s">
        <v>154</v>
      </c>
      <c r="D10" s="111" t="s">
        <v>157</v>
      </c>
      <c r="E10" s="251" t="str">
        <f>IF(ﾄｰﾅﾒﾝﾄ!F27="","",INDEX(ﾄｰﾅﾒﾝﾄ!$B$69:$BK$72,2,MATCH(ﾄｰﾅﾒﾝﾄ!F27,ﾄｰﾅﾒﾝﾄ!$B$69:$BK$69,0))&amp;CHAR(10)&amp;"サッカー部")</f>
        <v/>
      </c>
      <c r="F10" s="251"/>
      <c r="G10" s="112" t="s">
        <v>166</v>
      </c>
      <c r="H10" s="113" t="s">
        <v>165</v>
      </c>
      <c r="I10" s="251" t="str">
        <f>IF(ﾄｰﾅﾒﾝﾄ!Z27="","",INDEX(ﾄｰﾅﾒﾝﾄ!$B$69:$BK$72,2,MATCH(ﾄｰﾅﾒﾝﾄ!Z27,ﾄｰﾅﾒﾝﾄ!$B$69:$BK$69,0))&amp;CHAR(10)&amp;"サッカー部")</f>
        <v/>
      </c>
      <c r="J10" s="252"/>
    </row>
    <row r="11" spans="1:10" ht="17.25" customHeight="1" x14ac:dyDescent="0.15">
      <c r="A11" s="236"/>
      <c r="B11" s="237"/>
      <c r="C11" s="255" t="s">
        <v>167</v>
      </c>
      <c r="D11" s="255"/>
      <c r="E11" s="255"/>
      <c r="F11" s="114"/>
      <c r="G11" s="115" t="s">
        <v>158</v>
      </c>
      <c r="H11" s="250"/>
      <c r="I11" s="250"/>
      <c r="J11" s="253"/>
    </row>
    <row r="12" spans="1:10" ht="17.25" customHeight="1" x14ac:dyDescent="0.15">
      <c r="A12" s="236"/>
      <c r="B12" s="237"/>
      <c r="C12" s="255"/>
      <c r="D12" s="255"/>
      <c r="E12" s="255"/>
      <c r="F12" s="116"/>
      <c r="G12" s="117" t="s">
        <v>159</v>
      </c>
      <c r="H12" s="249"/>
      <c r="I12" s="249"/>
      <c r="J12" s="253"/>
    </row>
    <row r="13" spans="1:10" ht="17.25" customHeight="1" x14ac:dyDescent="0.15">
      <c r="A13" s="236"/>
      <c r="B13" s="237"/>
      <c r="C13" s="255"/>
      <c r="D13" s="255"/>
      <c r="E13" s="255"/>
      <c r="F13" s="114"/>
      <c r="G13" s="115" t="s">
        <v>160</v>
      </c>
      <c r="H13" s="250"/>
      <c r="I13" s="250"/>
      <c r="J13" s="253"/>
    </row>
    <row r="14" spans="1:10" ht="17.25" customHeight="1" x14ac:dyDescent="0.15">
      <c r="A14" s="236"/>
      <c r="B14" s="237"/>
      <c r="C14" s="255"/>
      <c r="D14" s="255"/>
      <c r="E14" s="255"/>
      <c r="F14" s="116"/>
      <c r="G14" s="117" t="s">
        <v>161</v>
      </c>
      <c r="H14" s="249"/>
      <c r="I14" s="249"/>
      <c r="J14" s="253"/>
    </row>
    <row r="15" spans="1:10" ht="17.25" customHeight="1" x14ac:dyDescent="0.15">
      <c r="A15" s="236"/>
      <c r="B15" s="237"/>
      <c r="C15" s="255"/>
      <c r="D15" s="255"/>
      <c r="E15" s="255"/>
      <c r="F15" s="114"/>
      <c r="G15" s="115" t="s">
        <v>162</v>
      </c>
      <c r="H15" s="250"/>
      <c r="I15" s="250"/>
      <c r="J15" s="253"/>
    </row>
    <row r="16" spans="1:10" ht="17.25" customHeight="1" x14ac:dyDescent="0.15">
      <c r="A16" s="236"/>
      <c r="B16" s="237"/>
      <c r="C16" s="255"/>
      <c r="D16" s="255"/>
      <c r="E16" s="255"/>
      <c r="F16" s="116"/>
      <c r="G16" s="117" t="s">
        <v>163</v>
      </c>
      <c r="H16" s="249"/>
      <c r="I16" s="249"/>
      <c r="J16" s="253"/>
    </row>
    <row r="17" spans="1:10" ht="17.25" customHeight="1" x14ac:dyDescent="0.15">
      <c r="A17" s="238"/>
      <c r="B17" s="239"/>
      <c r="C17" s="256"/>
      <c r="D17" s="256"/>
      <c r="E17" s="256"/>
      <c r="F17" s="118"/>
      <c r="G17" s="119" t="s">
        <v>164</v>
      </c>
      <c r="H17" s="256"/>
      <c r="I17" s="256"/>
      <c r="J17" s="254"/>
    </row>
    <row r="18" spans="1:10" ht="17.25" customHeight="1" thickBot="1" x14ac:dyDescent="0.2">
      <c r="A18" s="247" t="s">
        <v>142</v>
      </c>
      <c r="B18" s="248"/>
      <c r="C18" s="284" t="str">
        <f>プロ表紙!B38</f>
        <v>松任総合運動公園陸上競技場</v>
      </c>
      <c r="D18" s="285"/>
      <c r="E18" s="285"/>
      <c r="F18" s="285"/>
      <c r="G18" s="285"/>
      <c r="H18" s="285"/>
      <c r="I18" s="285"/>
      <c r="J18" s="286"/>
    </row>
    <row r="19" spans="1:10" ht="9" customHeight="1" x14ac:dyDescent="0.15"/>
    <row r="20" spans="1:10" ht="17.25" customHeight="1" x14ac:dyDescent="0.15">
      <c r="A20" s="263" t="s">
        <v>143</v>
      </c>
      <c r="B20" s="264"/>
    </row>
    <row r="21" spans="1:10" ht="3.75" customHeight="1" thickBot="1" x14ac:dyDescent="0.2"/>
    <row r="22" spans="1:10" ht="17.25" customHeight="1" x14ac:dyDescent="0.15">
      <c r="A22" s="245" t="s">
        <v>144</v>
      </c>
      <c r="B22" s="246"/>
      <c r="C22" s="272" t="s">
        <v>170</v>
      </c>
      <c r="D22" s="272"/>
      <c r="E22" s="272"/>
      <c r="F22" s="272"/>
      <c r="G22" s="272"/>
      <c r="H22" s="272"/>
      <c r="I22" s="272"/>
      <c r="J22" s="273"/>
    </row>
    <row r="23" spans="1:10" ht="17.25" customHeight="1" x14ac:dyDescent="0.15">
      <c r="A23" s="243" t="s">
        <v>145</v>
      </c>
      <c r="B23" s="244"/>
      <c r="C23" s="257" t="s">
        <v>170</v>
      </c>
      <c r="D23" s="258"/>
      <c r="E23" s="258"/>
      <c r="F23" s="258"/>
      <c r="G23" s="258"/>
      <c r="H23" s="258"/>
      <c r="I23" s="258"/>
      <c r="J23" s="259"/>
    </row>
    <row r="24" spans="1:10" ht="17.25" customHeight="1" x14ac:dyDescent="0.15">
      <c r="A24" s="243" t="s">
        <v>153</v>
      </c>
      <c r="B24" s="244"/>
      <c r="C24" s="257" t="s">
        <v>170</v>
      </c>
      <c r="D24" s="258"/>
      <c r="E24" s="258"/>
      <c r="F24" s="258"/>
      <c r="G24" s="258"/>
      <c r="H24" s="258"/>
      <c r="I24" s="258"/>
      <c r="J24" s="259"/>
    </row>
    <row r="25" spans="1:10" ht="17.25" customHeight="1" x14ac:dyDescent="0.15">
      <c r="A25" s="243" t="s">
        <v>146</v>
      </c>
      <c r="B25" s="244"/>
      <c r="C25" s="257" t="s">
        <v>170</v>
      </c>
      <c r="D25" s="258"/>
      <c r="E25" s="258"/>
      <c r="F25" s="258"/>
      <c r="G25" s="258"/>
      <c r="H25" s="258"/>
      <c r="I25" s="258"/>
      <c r="J25" s="259"/>
    </row>
    <row r="26" spans="1:10" ht="17.25" customHeight="1" x14ac:dyDescent="0.15">
      <c r="A26" s="243" t="s">
        <v>147</v>
      </c>
      <c r="B26" s="244"/>
      <c r="C26" s="257" t="s">
        <v>170</v>
      </c>
      <c r="D26" s="258"/>
      <c r="E26" s="258"/>
      <c r="F26" s="258"/>
      <c r="G26" s="258"/>
      <c r="H26" s="258"/>
      <c r="I26" s="258"/>
      <c r="J26" s="259"/>
    </row>
    <row r="27" spans="1:10" ht="17.25" customHeight="1" x14ac:dyDescent="0.15">
      <c r="A27" s="243" t="s">
        <v>148</v>
      </c>
      <c r="B27" s="244"/>
      <c r="C27" s="120" t="s">
        <v>155</v>
      </c>
      <c r="D27" s="267" t="str">
        <f>IF(E10="","",E10)</f>
        <v/>
      </c>
      <c r="E27" s="267"/>
      <c r="F27" s="267"/>
      <c r="G27" s="267"/>
      <c r="H27" s="121" t="s">
        <v>169</v>
      </c>
      <c r="I27" s="121"/>
      <c r="J27" s="122"/>
    </row>
    <row r="28" spans="1:10" ht="17.25" customHeight="1" x14ac:dyDescent="0.15">
      <c r="A28" s="243"/>
      <c r="B28" s="244"/>
      <c r="C28" s="277" t="s">
        <v>170</v>
      </c>
      <c r="D28" s="266"/>
      <c r="E28" s="266"/>
      <c r="F28" s="266"/>
      <c r="G28" s="266"/>
      <c r="H28" s="266"/>
      <c r="I28" s="266"/>
      <c r="J28" s="278"/>
    </row>
    <row r="29" spans="1:10" ht="17.25" customHeight="1" x14ac:dyDescent="0.15">
      <c r="A29" s="243"/>
      <c r="B29" s="244"/>
      <c r="C29" s="123" t="s">
        <v>156</v>
      </c>
      <c r="D29" s="266" t="str">
        <f>IF(I10="","",I10)</f>
        <v/>
      </c>
      <c r="E29" s="266"/>
      <c r="F29" s="266"/>
      <c r="G29" s="266"/>
      <c r="H29" s="105" t="s">
        <v>169</v>
      </c>
      <c r="J29" s="124"/>
    </row>
    <row r="30" spans="1:10" ht="17.25" customHeight="1" thickBot="1" x14ac:dyDescent="0.2">
      <c r="A30" s="270"/>
      <c r="B30" s="271"/>
      <c r="C30" s="274" t="s">
        <v>170</v>
      </c>
      <c r="D30" s="275"/>
      <c r="E30" s="275"/>
      <c r="F30" s="275"/>
      <c r="G30" s="275"/>
      <c r="H30" s="275"/>
      <c r="I30" s="275"/>
      <c r="J30" s="276"/>
    </row>
    <row r="31" spans="1:10" ht="9" customHeight="1" x14ac:dyDescent="0.15"/>
    <row r="32" spans="1:10" ht="17.25" customHeight="1" x14ac:dyDescent="0.15">
      <c r="A32" s="105" t="s">
        <v>149</v>
      </c>
    </row>
    <row r="33" spans="1:10" ht="18.75" customHeight="1" x14ac:dyDescent="0.15">
      <c r="B33" s="265"/>
      <c r="C33" s="265"/>
      <c r="D33" s="265"/>
      <c r="E33" s="265"/>
      <c r="F33" s="265"/>
      <c r="G33" s="265"/>
      <c r="H33" s="265"/>
      <c r="I33" s="265"/>
      <c r="J33" s="265"/>
    </row>
    <row r="34" spans="1:10" ht="18.75" customHeight="1" x14ac:dyDescent="0.15">
      <c r="B34" s="265"/>
      <c r="C34" s="265"/>
      <c r="D34" s="265"/>
      <c r="E34" s="265"/>
      <c r="F34" s="265"/>
      <c r="G34" s="265"/>
      <c r="H34" s="265"/>
      <c r="I34" s="265"/>
      <c r="J34" s="265"/>
    </row>
    <row r="35" spans="1:10" ht="18.75" customHeight="1" x14ac:dyDescent="0.15">
      <c r="B35" s="265"/>
      <c r="C35" s="265"/>
      <c r="D35" s="265"/>
      <c r="E35" s="265"/>
      <c r="F35" s="265"/>
      <c r="G35" s="265"/>
      <c r="H35" s="265"/>
      <c r="I35" s="265"/>
      <c r="J35" s="265"/>
    </row>
    <row r="36" spans="1:10" ht="18.75" customHeight="1" x14ac:dyDescent="0.15">
      <c r="B36" s="265"/>
      <c r="C36" s="265"/>
      <c r="D36" s="265"/>
      <c r="E36" s="265"/>
      <c r="F36" s="265"/>
      <c r="G36" s="265"/>
      <c r="H36" s="265"/>
      <c r="I36" s="265"/>
      <c r="J36" s="265"/>
    </row>
    <row r="37" spans="1:10" ht="18.75" customHeight="1" x14ac:dyDescent="0.15">
      <c r="B37" s="265"/>
      <c r="C37" s="265"/>
      <c r="D37" s="265"/>
      <c r="E37" s="265"/>
      <c r="F37" s="265"/>
      <c r="G37" s="265"/>
      <c r="H37" s="265"/>
      <c r="I37" s="265"/>
      <c r="J37" s="265"/>
    </row>
    <row r="38" spans="1:10" ht="18.75" customHeight="1" x14ac:dyDescent="0.15">
      <c r="B38" s="265"/>
      <c r="C38" s="265"/>
      <c r="D38" s="265"/>
      <c r="E38" s="265"/>
      <c r="F38" s="265"/>
      <c r="G38" s="265"/>
      <c r="H38" s="265"/>
      <c r="I38" s="265"/>
      <c r="J38" s="265"/>
    </row>
    <row r="39" spans="1:10" ht="9" customHeight="1" x14ac:dyDescent="0.15"/>
    <row r="40" spans="1:10" ht="17.25" customHeight="1" x14ac:dyDescent="0.15">
      <c r="A40" s="263" t="s">
        <v>150</v>
      </c>
      <c r="B40" s="264"/>
    </row>
    <row r="41" spans="1:10" ht="3.75" customHeight="1" x14ac:dyDescent="0.15"/>
    <row r="42" spans="1:10" ht="17.25" customHeight="1" x14ac:dyDescent="0.15">
      <c r="A42" s="105" t="s">
        <v>173</v>
      </c>
    </row>
    <row r="43" spans="1:10" ht="18.75" customHeight="1" x14ac:dyDescent="0.15">
      <c r="B43" s="265"/>
      <c r="C43" s="265"/>
      <c r="D43" s="265"/>
      <c r="E43" s="265"/>
      <c r="F43" s="265"/>
      <c r="G43" s="265"/>
      <c r="H43" s="265"/>
      <c r="I43" s="265"/>
      <c r="J43" s="265"/>
    </row>
    <row r="44" spans="1:10" ht="18.75" customHeight="1" x14ac:dyDescent="0.15">
      <c r="B44" s="265"/>
      <c r="C44" s="265"/>
      <c r="D44" s="265"/>
      <c r="E44" s="265"/>
      <c r="F44" s="265"/>
      <c r="G44" s="265"/>
      <c r="H44" s="265"/>
      <c r="I44" s="265"/>
      <c r="J44" s="265"/>
    </row>
    <row r="45" spans="1:10" ht="18.75" customHeight="1" x14ac:dyDescent="0.15">
      <c r="B45" s="265"/>
      <c r="C45" s="265"/>
      <c r="D45" s="265"/>
      <c r="E45" s="265"/>
      <c r="F45" s="265"/>
      <c r="G45" s="265"/>
      <c r="H45" s="265"/>
      <c r="I45" s="265"/>
      <c r="J45" s="265"/>
    </row>
    <row r="46" spans="1:10" ht="18.75" customHeight="1" x14ac:dyDescent="0.15">
      <c r="B46" s="265"/>
      <c r="C46" s="265"/>
      <c r="D46" s="265"/>
      <c r="E46" s="265"/>
      <c r="F46" s="265"/>
      <c r="G46" s="265"/>
      <c r="H46" s="265"/>
      <c r="I46" s="265"/>
      <c r="J46" s="265"/>
    </row>
    <row r="47" spans="1:10" ht="18.75" customHeight="1" x14ac:dyDescent="0.15">
      <c r="B47" s="265"/>
      <c r="C47" s="265"/>
      <c r="D47" s="265"/>
      <c r="E47" s="265"/>
      <c r="F47" s="265"/>
      <c r="G47" s="265"/>
      <c r="H47" s="265"/>
      <c r="I47" s="265"/>
      <c r="J47" s="265"/>
    </row>
    <row r="48" spans="1:10" ht="18.75" customHeight="1" x14ac:dyDescent="0.15">
      <c r="B48" s="265"/>
      <c r="C48" s="265"/>
      <c r="D48" s="265"/>
      <c r="E48" s="265"/>
      <c r="F48" s="265"/>
      <c r="G48" s="265"/>
      <c r="H48" s="265"/>
      <c r="I48" s="265"/>
      <c r="J48" s="265"/>
    </row>
    <row r="49" spans="2:9" ht="9" customHeight="1" x14ac:dyDescent="0.15"/>
    <row r="50" spans="2:9" ht="15.6" customHeight="1" x14ac:dyDescent="0.15">
      <c r="B50" s="125" t="s">
        <v>151</v>
      </c>
    </row>
    <row r="51" spans="2:9" ht="9" customHeight="1" x14ac:dyDescent="0.15"/>
    <row r="52" spans="2:9" ht="15.6" customHeight="1" x14ac:dyDescent="0.15">
      <c r="C52" s="257" t="s">
        <v>152</v>
      </c>
      <c r="D52" s="258"/>
      <c r="E52" s="258"/>
      <c r="F52" s="258"/>
      <c r="G52" s="258"/>
      <c r="H52" s="258"/>
      <c r="I52" s="279"/>
    </row>
  </sheetData>
  <mergeCells count="53">
    <mergeCell ref="C52:I52"/>
    <mergeCell ref="H6:J7"/>
    <mergeCell ref="H9:J9"/>
    <mergeCell ref="B43:J43"/>
    <mergeCell ref="B44:J44"/>
    <mergeCell ref="B45:J45"/>
    <mergeCell ref="C18:J18"/>
    <mergeCell ref="H13:I13"/>
    <mergeCell ref="C11:C17"/>
    <mergeCell ref="B46:J46"/>
    <mergeCell ref="B47:J47"/>
    <mergeCell ref="B48:J48"/>
    <mergeCell ref="B35:J35"/>
    <mergeCell ref="B34:J34"/>
    <mergeCell ref="B33:J33"/>
    <mergeCell ref="H14:I14"/>
    <mergeCell ref="C1:H1"/>
    <mergeCell ref="A40:B40"/>
    <mergeCell ref="A20:B20"/>
    <mergeCell ref="A7:B7"/>
    <mergeCell ref="B38:J38"/>
    <mergeCell ref="B37:J37"/>
    <mergeCell ref="B36:J36"/>
    <mergeCell ref="D29:G29"/>
    <mergeCell ref="D27:G27"/>
    <mergeCell ref="H3:J3"/>
    <mergeCell ref="C9:F9"/>
    <mergeCell ref="A27:B30"/>
    <mergeCell ref="C22:J22"/>
    <mergeCell ref="C30:J30"/>
    <mergeCell ref="C28:J28"/>
    <mergeCell ref="C26:J26"/>
    <mergeCell ref="C25:J25"/>
    <mergeCell ref="C24:J24"/>
    <mergeCell ref="C23:J23"/>
    <mergeCell ref="A26:B26"/>
    <mergeCell ref="A25:B25"/>
    <mergeCell ref="A10:B17"/>
    <mergeCell ref="A9:B9"/>
    <mergeCell ref="C5:J5"/>
    <mergeCell ref="A24:B24"/>
    <mergeCell ref="A23:B23"/>
    <mergeCell ref="A22:B22"/>
    <mergeCell ref="A18:B18"/>
    <mergeCell ref="H12:I12"/>
    <mergeCell ref="H11:I11"/>
    <mergeCell ref="I10:J10"/>
    <mergeCell ref="J11:J17"/>
    <mergeCell ref="D11:E17"/>
    <mergeCell ref="E10:F10"/>
    <mergeCell ref="H17:I17"/>
    <mergeCell ref="H16:I16"/>
    <mergeCell ref="H15:I15"/>
  </mergeCells>
  <phoneticPr fontId="3"/>
  <printOptions horizontalCentered="1" verticalCentered="1"/>
  <pageMargins left="0.59055118110236227" right="0.59055118110236227" top="0.39370078740157483" bottom="0.3937007874015748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38"/>
  <sheetViews>
    <sheetView workbookViewId="0">
      <selection activeCell="I35" sqref="I35"/>
    </sheetView>
  </sheetViews>
  <sheetFormatPr defaultRowHeight="13.5" x14ac:dyDescent="0.15"/>
  <cols>
    <col min="1" max="10" width="9.375" customWidth="1"/>
  </cols>
  <sheetData>
    <row r="1" spans="1:10" ht="24" x14ac:dyDescent="0.15">
      <c r="A1" s="290" t="str">
        <f ca="1">"令和"&amp;IF(YEAR(NOW())=2019,"元",YEAR(NOW())-2018)&amp;"年度 第"&amp;YEAR(NOW())-2000&amp;"回 石川県中学校新人サッカー大会 "</f>
        <v xml:space="preserve">令和5年度 第23回 石川県中学校新人サッカー大会 </v>
      </c>
      <c r="B1" s="290"/>
      <c r="C1" s="290"/>
      <c r="D1" s="290"/>
      <c r="E1" s="290"/>
      <c r="F1" s="290"/>
      <c r="G1" s="290"/>
      <c r="H1" s="290"/>
      <c r="I1" s="290"/>
      <c r="J1" s="290"/>
    </row>
    <row r="2" spans="1:10" ht="23.45" customHeight="1" x14ac:dyDescent="0.15">
      <c r="A2" s="290" t="s">
        <v>409</v>
      </c>
      <c r="B2" s="290"/>
      <c r="C2" s="290"/>
      <c r="D2" s="290"/>
      <c r="E2" s="290"/>
      <c r="F2" s="290"/>
      <c r="G2" s="290"/>
      <c r="H2" s="290"/>
      <c r="I2" s="290"/>
      <c r="J2" s="290"/>
    </row>
    <row r="3" spans="1:10" ht="14.25" thickBot="1" x14ac:dyDescent="0.2"/>
    <row r="4" spans="1:10" ht="35.1" customHeight="1" thickBot="1" x14ac:dyDescent="0.2">
      <c r="B4" s="291" t="str">
        <f>IF(ﾄｰﾅﾒﾝﾄ!F27="","",INDEX(ﾄｰﾅﾒﾝﾄ!$B$69:$BK$72,2,MATCH(ﾄｰﾅﾒﾝﾄ!F27,ﾄｰﾅﾒﾝﾄ!$B$69:$BK$69,0))&amp;CHAR(10)&amp;"サッカー部")</f>
        <v/>
      </c>
      <c r="C4" s="292"/>
      <c r="D4" s="293"/>
      <c r="E4" s="162" t="s">
        <v>378</v>
      </c>
      <c r="F4" s="291" t="str">
        <f>IF(ﾄｰﾅﾒﾝﾄ!Z27="","",INDEX(ﾄｰﾅﾒﾝﾄ!$B$69:$BK$72,2,MATCH(ﾄｰﾅﾒﾝﾄ!Z27,ﾄｰﾅﾒﾝﾄ!$B$69:$BK$69,0))&amp;CHAR(10)&amp;"サッカー部")</f>
        <v/>
      </c>
      <c r="G4" s="292"/>
      <c r="H4" s="293"/>
    </row>
    <row r="6" spans="1:10" ht="18.95" customHeight="1" x14ac:dyDescent="0.15">
      <c r="B6" s="165" t="s">
        <v>376</v>
      </c>
      <c r="C6" s="299" t="str">
        <f ca="1">"令和"&amp;IF(YEAR(NOW())=2019,"元",YEAR(NOW())-2018)&amp;"年11月"&amp;DAY(ﾄｰﾅﾒﾝﾄ!$A$23)&amp;"日"&amp;ﾄｰﾅﾒﾝﾄ!$A$24</f>
        <v>令和5年11月9日(月)</v>
      </c>
      <c r="D6" s="299"/>
      <c r="E6" s="299"/>
      <c r="F6" s="163" t="s">
        <v>408</v>
      </c>
    </row>
    <row r="7" spans="1:10" ht="18.75" x14ac:dyDescent="0.15">
      <c r="B7" s="165" t="s">
        <v>377</v>
      </c>
      <c r="C7" s="300" t="str">
        <f>プロ表紙!B38</f>
        <v>松任総合運動公園陸上競技場</v>
      </c>
      <c r="D7" s="300"/>
      <c r="E7" s="300"/>
      <c r="F7" s="300"/>
      <c r="G7" s="300"/>
      <c r="H7" s="300"/>
      <c r="I7" s="300"/>
      <c r="J7" s="300"/>
    </row>
    <row r="8" spans="1:10" ht="5.0999999999999996" customHeight="1" x14ac:dyDescent="0.15"/>
    <row r="9" spans="1:10" ht="18" thickBot="1" x14ac:dyDescent="0.2">
      <c r="A9" s="163" t="s">
        <v>379</v>
      </c>
    </row>
    <row r="10" spans="1:10" ht="14.25" x14ac:dyDescent="0.15">
      <c r="A10" s="294" t="s">
        <v>380</v>
      </c>
      <c r="B10" s="295"/>
      <c r="C10" s="295"/>
      <c r="D10" s="295"/>
      <c r="E10" s="295" t="s">
        <v>381</v>
      </c>
      <c r="F10" s="295"/>
      <c r="G10" s="295"/>
      <c r="H10" s="295"/>
      <c r="I10" s="295"/>
      <c r="J10" s="296"/>
    </row>
    <row r="11" spans="1:10" ht="21" customHeight="1" x14ac:dyDescent="0.15">
      <c r="A11" s="297">
        <v>0.3125</v>
      </c>
      <c r="B11" s="298"/>
      <c r="C11" s="168">
        <v>90</v>
      </c>
      <c r="D11" s="166" t="s">
        <v>382</v>
      </c>
      <c r="E11" s="288" t="s">
        <v>383</v>
      </c>
      <c r="F11" s="288"/>
      <c r="G11" s="288"/>
      <c r="H11" s="288"/>
      <c r="I11" s="288"/>
      <c r="J11" s="289"/>
    </row>
    <row r="12" spans="1:10" ht="34.5" customHeight="1" x14ac:dyDescent="0.15">
      <c r="A12" s="297">
        <v>0.3263888888888889</v>
      </c>
      <c r="B12" s="298"/>
      <c r="C12" s="168">
        <v>70</v>
      </c>
      <c r="D12" s="166" t="s">
        <v>382</v>
      </c>
      <c r="E12" s="287" t="s">
        <v>391</v>
      </c>
      <c r="F12" s="288"/>
      <c r="G12" s="288"/>
      <c r="H12" s="288"/>
      <c r="I12" s="288"/>
      <c r="J12" s="289"/>
    </row>
    <row r="13" spans="1:10" ht="34.5" customHeight="1" x14ac:dyDescent="0.15">
      <c r="A13" s="297">
        <v>0.33333333333333331</v>
      </c>
      <c r="B13" s="298"/>
      <c r="C13" s="168">
        <v>60</v>
      </c>
      <c r="D13" s="166" t="s">
        <v>382</v>
      </c>
      <c r="E13" s="287" t="s">
        <v>392</v>
      </c>
      <c r="F13" s="288"/>
      <c r="G13" s="288"/>
      <c r="H13" s="288"/>
      <c r="I13" s="288"/>
      <c r="J13" s="289"/>
    </row>
    <row r="14" spans="1:10" ht="21" customHeight="1" x14ac:dyDescent="0.15">
      <c r="A14" s="297">
        <v>0.33333333333333331</v>
      </c>
      <c r="B14" s="298"/>
      <c r="C14" s="168">
        <v>60</v>
      </c>
      <c r="D14" s="166" t="s">
        <v>382</v>
      </c>
      <c r="E14" s="288" t="s">
        <v>384</v>
      </c>
      <c r="F14" s="288"/>
      <c r="G14" s="288"/>
      <c r="H14" s="288"/>
      <c r="I14" s="288"/>
      <c r="J14" s="289"/>
    </row>
    <row r="15" spans="1:10" ht="21" customHeight="1" x14ac:dyDescent="0.15">
      <c r="A15" s="297">
        <v>0.36805555555555558</v>
      </c>
      <c r="B15" s="298"/>
      <c r="C15" s="168">
        <v>10</v>
      </c>
      <c r="D15" s="166" t="s">
        <v>382</v>
      </c>
      <c r="E15" s="288" t="s">
        <v>385</v>
      </c>
      <c r="F15" s="288"/>
      <c r="G15" s="288"/>
      <c r="H15" s="288"/>
      <c r="I15" s="288"/>
      <c r="J15" s="289"/>
    </row>
    <row r="16" spans="1:10" ht="21" customHeight="1" x14ac:dyDescent="0.15">
      <c r="A16" s="301">
        <v>0.37152777777777773</v>
      </c>
      <c r="B16" s="302"/>
      <c r="C16" s="168">
        <v>5</v>
      </c>
      <c r="D16" s="166" t="s">
        <v>382</v>
      </c>
      <c r="E16" s="288" t="s">
        <v>386</v>
      </c>
      <c r="F16" s="288"/>
      <c r="G16" s="288"/>
      <c r="H16" s="288"/>
      <c r="I16" s="288"/>
      <c r="J16" s="289"/>
    </row>
    <row r="17" spans="1:10" ht="21" customHeight="1" x14ac:dyDescent="0.15">
      <c r="A17" s="306">
        <v>0.37291666666666662</v>
      </c>
      <c r="B17" s="307"/>
      <c r="C17" s="168">
        <v>3</v>
      </c>
      <c r="D17" s="166" t="s">
        <v>382</v>
      </c>
      <c r="E17" s="303" t="s">
        <v>416</v>
      </c>
      <c r="F17" s="304"/>
      <c r="G17" s="304"/>
      <c r="H17" s="304"/>
      <c r="I17" s="304"/>
      <c r="J17" s="305"/>
    </row>
    <row r="18" spans="1:10" ht="21" customHeight="1" x14ac:dyDescent="0.15">
      <c r="A18" s="297">
        <v>0.375</v>
      </c>
      <c r="B18" s="298"/>
      <c r="C18" s="167"/>
      <c r="D18" s="166"/>
      <c r="E18" s="288" t="s">
        <v>387</v>
      </c>
      <c r="F18" s="288"/>
      <c r="G18" s="288"/>
      <c r="H18" s="288"/>
      <c r="I18" s="288"/>
      <c r="J18" s="289"/>
    </row>
    <row r="19" spans="1:10" ht="21" customHeight="1" x14ac:dyDescent="0.15">
      <c r="A19" s="297">
        <v>0.39583333333333331</v>
      </c>
      <c r="B19" s="298"/>
      <c r="C19" s="313" t="s">
        <v>388</v>
      </c>
      <c r="D19" s="314"/>
      <c r="E19" s="288" t="s">
        <v>389</v>
      </c>
      <c r="F19" s="288"/>
      <c r="G19" s="288"/>
      <c r="H19" s="288"/>
      <c r="I19" s="288"/>
      <c r="J19" s="289"/>
    </row>
    <row r="20" spans="1:10" ht="21" customHeight="1" x14ac:dyDescent="0.15">
      <c r="A20" s="297">
        <v>0.40277777777777773</v>
      </c>
      <c r="B20" s="298"/>
      <c r="C20" s="313" t="s">
        <v>388</v>
      </c>
      <c r="D20" s="314"/>
      <c r="E20" s="288" t="s">
        <v>390</v>
      </c>
      <c r="F20" s="288"/>
      <c r="G20" s="288"/>
      <c r="H20" s="288"/>
      <c r="I20" s="288"/>
      <c r="J20" s="289"/>
    </row>
    <row r="21" spans="1:10" ht="57" customHeight="1" thickBot="1" x14ac:dyDescent="0.2">
      <c r="A21" s="308">
        <v>0.4236111111111111</v>
      </c>
      <c r="B21" s="309"/>
      <c r="C21" s="315" t="s">
        <v>388</v>
      </c>
      <c r="D21" s="316"/>
      <c r="E21" s="310" t="s">
        <v>417</v>
      </c>
      <c r="F21" s="311"/>
      <c r="G21" s="311"/>
      <c r="H21" s="311"/>
      <c r="I21" s="311"/>
      <c r="J21" s="312"/>
    </row>
    <row r="22" spans="1:10" ht="20.100000000000001" customHeight="1" x14ac:dyDescent="0.15">
      <c r="A22" s="164" t="s">
        <v>393</v>
      </c>
      <c r="B22" s="164"/>
      <c r="C22" s="164"/>
      <c r="D22" s="164"/>
      <c r="E22" s="164"/>
      <c r="F22" s="164"/>
      <c r="G22" s="164"/>
      <c r="H22" s="164"/>
      <c r="I22" s="164"/>
      <c r="J22" s="164"/>
    </row>
    <row r="23" spans="1:10" ht="18.95" customHeight="1" x14ac:dyDescent="0.15">
      <c r="A23" s="164" t="s">
        <v>394</v>
      </c>
      <c r="B23" s="164"/>
      <c r="C23" s="164"/>
      <c r="D23" s="164"/>
      <c r="E23" s="164"/>
      <c r="F23" s="164"/>
      <c r="G23" s="164"/>
      <c r="H23" s="164"/>
      <c r="I23" s="164"/>
      <c r="J23" s="164"/>
    </row>
    <row r="24" spans="1:10" ht="18.95" customHeight="1" x14ac:dyDescent="0.15">
      <c r="A24" s="164" t="s">
        <v>395</v>
      </c>
      <c r="B24" s="164"/>
      <c r="C24" s="164"/>
      <c r="D24" s="164"/>
      <c r="E24" s="164"/>
      <c r="F24" s="164"/>
      <c r="G24" s="164"/>
      <c r="H24" s="164"/>
      <c r="I24" s="164"/>
      <c r="J24" s="164"/>
    </row>
    <row r="25" spans="1:10" ht="18.95" customHeight="1" x14ac:dyDescent="0.15">
      <c r="A25" s="164" t="s">
        <v>396</v>
      </c>
      <c r="B25" s="164"/>
      <c r="C25" s="164"/>
      <c r="D25" s="164"/>
      <c r="E25" s="164"/>
      <c r="F25" s="164"/>
      <c r="G25" s="164"/>
      <c r="H25" s="164"/>
      <c r="I25" s="164"/>
      <c r="J25" s="164"/>
    </row>
    <row r="26" spans="1:10" ht="6" customHeight="1" x14ac:dyDescent="0.15">
      <c r="A26" s="164"/>
      <c r="B26" s="164"/>
      <c r="C26" s="164"/>
      <c r="D26" s="164"/>
      <c r="E26" s="164"/>
      <c r="F26" s="164"/>
      <c r="G26" s="164"/>
      <c r="H26" s="164"/>
      <c r="I26" s="164"/>
      <c r="J26" s="164"/>
    </row>
    <row r="27" spans="1:10" ht="18" thickBot="1" x14ac:dyDescent="0.2">
      <c r="A27" s="163" t="s">
        <v>397</v>
      </c>
      <c r="B27" s="164"/>
      <c r="C27" s="164"/>
      <c r="D27" s="164"/>
      <c r="E27" s="164"/>
      <c r="F27" s="164"/>
      <c r="G27" s="164"/>
      <c r="H27" s="164"/>
      <c r="I27" s="164"/>
      <c r="J27" s="164"/>
    </row>
    <row r="28" spans="1:10" ht="15" thickBot="1" x14ac:dyDescent="0.2">
      <c r="A28" s="323" t="s">
        <v>154</v>
      </c>
      <c r="B28" s="324"/>
      <c r="C28" s="325"/>
      <c r="D28" s="326" t="s">
        <v>400</v>
      </c>
      <c r="E28" s="324"/>
      <c r="F28" s="327"/>
      <c r="G28" s="323" t="s">
        <v>399</v>
      </c>
      <c r="H28" s="324"/>
      <c r="I28" s="325"/>
      <c r="J28" s="171" t="s">
        <v>398</v>
      </c>
    </row>
    <row r="29" spans="1:10" ht="34.5" customHeight="1" x14ac:dyDescent="0.15">
      <c r="A29" s="317" t="str">
        <f>IF(ﾄｰﾅﾒﾝﾄ!F27="","",INDEX(ﾄｰﾅﾒﾝﾄ!$B$69:$BK$72,2,MATCH(ﾄｰﾅﾒﾝﾄ!F27,ﾄｰﾅﾒﾝﾄ!$B$69:$BK$69,0))&amp;CHAR(10)&amp;"サッカー部")</f>
        <v/>
      </c>
      <c r="B29" s="318"/>
      <c r="C29" s="319"/>
      <c r="D29" s="328" t="s">
        <v>506</v>
      </c>
      <c r="E29" s="329"/>
      <c r="F29" s="330"/>
      <c r="G29" s="328" t="s">
        <v>507</v>
      </c>
      <c r="H29" s="329"/>
      <c r="I29" s="330"/>
      <c r="J29" s="169"/>
    </row>
    <row r="30" spans="1:10" ht="34.5" customHeight="1" thickBot="1" x14ac:dyDescent="0.2">
      <c r="A30" s="320" t="str">
        <f>IF(ﾄｰﾅﾒﾝﾄ!Z27="","",INDEX(ﾄｰﾅﾒﾝﾄ!$B$69:$BK$72,2,MATCH(ﾄｰﾅﾒﾝﾄ!Z27,ﾄｰﾅﾒﾝﾄ!$B$69:$BK$69,0))&amp;CHAR(10)&amp;"サッカー部")</f>
        <v/>
      </c>
      <c r="B30" s="321"/>
      <c r="C30" s="322"/>
      <c r="D30" s="331" t="s">
        <v>439</v>
      </c>
      <c r="E30" s="332"/>
      <c r="F30" s="333"/>
      <c r="G30" s="331" t="s">
        <v>508</v>
      </c>
      <c r="H30" s="332"/>
      <c r="I30" s="333"/>
      <c r="J30" s="170"/>
    </row>
    <row r="31" spans="1:10" ht="6" customHeight="1" x14ac:dyDescent="0.15">
      <c r="A31" s="164"/>
      <c r="B31" s="164"/>
      <c r="C31" s="164"/>
      <c r="D31" s="164"/>
      <c r="E31" s="164"/>
      <c r="F31" s="164"/>
      <c r="G31" s="164"/>
      <c r="H31" s="164"/>
      <c r="I31" s="164"/>
      <c r="J31" s="164"/>
    </row>
    <row r="32" spans="1:10" ht="18" thickBot="1" x14ac:dyDescent="0.2">
      <c r="A32" s="163" t="s">
        <v>401</v>
      </c>
      <c r="B32" s="164"/>
      <c r="C32" s="164"/>
      <c r="D32" s="164"/>
      <c r="E32" s="164"/>
      <c r="F32" s="164"/>
      <c r="G32" s="164"/>
      <c r="H32" s="164"/>
      <c r="I32" s="164"/>
      <c r="J32" s="164"/>
    </row>
    <row r="33" spans="1:10" ht="20.45" customHeight="1" x14ac:dyDescent="0.15">
      <c r="A33" s="340" t="s">
        <v>402</v>
      </c>
      <c r="B33" s="341"/>
      <c r="C33" s="336" t="s">
        <v>352</v>
      </c>
      <c r="D33" s="337"/>
      <c r="E33" s="164"/>
      <c r="F33" s="164"/>
      <c r="G33" s="164"/>
      <c r="H33" s="164"/>
      <c r="I33" s="164"/>
      <c r="J33" s="164"/>
    </row>
    <row r="34" spans="1:10" ht="20.45" customHeight="1" x14ac:dyDescent="0.15">
      <c r="A34" s="334" t="s">
        <v>405</v>
      </c>
      <c r="B34" s="313"/>
      <c r="C34" s="334" t="s">
        <v>502</v>
      </c>
      <c r="D34" s="338"/>
      <c r="E34" s="164"/>
      <c r="F34" s="164"/>
      <c r="G34" s="164"/>
      <c r="H34" s="164"/>
      <c r="I34" s="164"/>
      <c r="J34" s="164"/>
    </row>
    <row r="35" spans="1:10" ht="20.45" customHeight="1" x14ac:dyDescent="0.15">
      <c r="A35" s="334" t="s">
        <v>406</v>
      </c>
      <c r="B35" s="313"/>
      <c r="C35" s="334" t="s">
        <v>500</v>
      </c>
      <c r="D35" s="338"/>
      <c r="E35" s="164"/>
      <c r="F35" s="164"/>
      <c r="G35" s="164"/>
      <c r="H35" s="164"/>
      <c r="I35" s="164"/>
      <c r="J35" s="164"/>
    </row>
    <row r="36" spans="1:10" ht="20.45" customHeight="1" x14ac:dyDescent="0.15">
      <c r="A36" s="334" t="s">
        <v>407</v>
      </c>
      <c r="B36" s="313"/>
      <c r="C36" s="334" t="s">
        <v>374</v>
      </c>
      <c r="D36" s="338"/>
      <c r="E36" s="164"/>
      <c r="F36" s="164"/>
      <c r="G36" s="164"/>
      <c r="H36" s="164"/>
      <c r="I36" s="164"/>
      <c r="J36" s="164"/>
    </row>
    <row r="37" spans="1:10" ht="20.45" customHeight="1" x14ac:dyDescent="0.15">
      <c r="A37" s="334" t="s">
        <v>404</v>
      </c>
      <c r="B37" s="313"/>
      <c r="C37" s="334" t="s">
        <v>413</v>
      </c>
      <c r="D37" s="338"/>
      <c r="E37" s="164"/>
      <c r="F37" s="164"/>
      <c r="G37" s="164"/>
      <c r="H37" s="164"/>
      <c r="I37" s="164"/>
      <c r="J37" s="164"/>
    </row>
    <row r="38" spans="1:10" ht="20.45" customHeight="1" thickBot="1" x14ac:dyDescent="0.2">
      <c r="A38" s="335" t="s">
        <v>403</v>
      </c>
      <c r="B38" s="315"/>
      <c r="C38" s="335" t="s">
        <v>499</v>
      </c>
      <c r="D38" s="339"/>
    </row>
  </sheetData>
  <mergeCells count="54">
    <mergeCell ref="A36:B36"/>
    <mergeCell ref="A37:B37"/>
    <mergeCell ref="A38:B38"/>
    <mergeCell ref="C33:D33"/>
    <mergeCell ref="C34:D34"/>
    <mergeCell ref="C35:D35"/>
    <mergeCell ref="C36:D36"/>
    <mergeCell ref="C37:D37"/>
    <mergeCell ref="C38:D38"/>
    <mergeCell ref="A33:B33"/>
    <mergeCell ref="A34:B34"/>
    <mergeCell ref="A35:B35"/>
    <mergeCell ref="A29:C29"/>
    <mergeCell ref="A30:C30"/>
    <mergeCell ref="A28:C28"/>
    <mergeCell ref="D28:F28"/>
    <mergeCell ref="G28:I28"/>
    <mergeCell ref="D29:F29"/>
    <mergeCell ref="D30:F30"/>
    <mergeCell ref="G29:I29"/>
    <mergeCell ref="G30:I30"/>
    <mergeCell ref="A20:B20"/>
    <mergeCell ref="E20:J20"/>
    <mergeCell ref="A21:B21"/>
    <mergeCell ref="E21:J21"/>
    <mergeCell ref="C19:D19"/>
    <mergeCell ref="C20:D20"/>
    <mergeCell ref="C21:D21"/>
    <mergeCell ref="E17:J17"/>
    <mergeCell ref="E18:J18"/>
    <mergeCell ref="A17:B17"/>
    <mergeCell ref="A18:B18"/>
    <mergeCell ref="A19:B19"/>
    <mergeCell ref="E19:J19"/>
    <mergeCell ref="A14:B14"/>
    <mergeCell ref="A15:B15"/>
    <mergeCell ref="A16:B16"/>
    <mergeCell ref="E14:J14"/>
    <mergeCell ref="E15:J15"/>
    <mergeCell ref="E16:J16"/>
    <mergeCell ref="E13:J13"/>
    <mergeCell ref="A1:J1"/>
    <mergeCell ref="A2:J2"/>
    <mergeCell ref="B4:D4"/>
    <mergeCell ref="F4:H4"/>
    <mergeCell ref="A10:D10"/>
    <mergeCell ref="E10:J10"/>
    <mergeCell ref="A11:B11"/>
    <mergeCell ref="E11:J11"/>
    <mergeCell ref="E12:J12"/>
    <mergeCell ref="A12:B12"/>
    <mergeCell ref="A13:B13"/>
    <mergeCell ref="C6:E6"/>
    <mergeCell ref="C7:J7"/>
  </mergeCells>
  <phoneticPr fontId="3"/>
  <pageMargins left="0.31496062992125984" right="0.31496062992125984" top="0.55118110236220474" bottom="0.55118110236220474"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52"/>
  <sheetViews>
    <sheetView workbookViewId="0">
      <selection activeCell="E10" sqref="E10:F10"/>
    </sheetView>
  </sheetViews>
  <sheetFormatPr defaultColWidth="2.5" defaultRowHeight="15.6" customHeight="1" x14ac:dyDescent="0.15"/>
  <cols>
    <col min="1" max="1" width="4.625" customWidth="1"/>
    <col min="2" max="2" width="15" customWidth="1"/>
    <col min="3" max="3" width="9.25" bestFit="1" customWidth="1"/>
    <col min="4" max="4" width="4" bestFit="1" customWidth="1"/>
    <col min="5" max="5" width="9.75" customWidth="1"/>
    <col min="6" max="6" width="10" customWidth="1"/>
    <col min="7" max="7" width="11.875" customWidth="1"/>
    <col min="8" max="8" width="4.125" bestFit="1" customWidth="1"/>
    <col min="9" max="9" width="5.875" customWidth="1"/>
    <col min="10" max="10" width="13.75" customWidth="1"/>
  </cols>
  <sheetData>
    <row r="1" spans="1:10" ht="18.75" x14ac:dyDescent="0.15">
      <c r="B1" s="49"/>
      <c r="C1" s="373" t="s">
        <v>91</v>
      </c>
      <c r="D1" s="374"/>
      <c r="E1" s="374"/>
      <c r="F1" s="374"/>
      <c r="G1" s="374"/>
      <c r="H1" s="375"/>
      <c r="I1" s="49"/>
      <c r="J1" s="49"/>
    </row>
    <row r="2" spans="1:10" ht="9" customHeight="1" x14ac:dyDescent="0.15"/>
    <row r="3" spans="1:10" ht="17.25" customHeight="1" x14ac:dyDescent="0.15">
      <c r="G3" s="48" t="s">
        <v>139</v>
      </c>
      <c r="H3" s="372"/>
      <c r="I3" s="372"/>
      <c r="J3" s="372"/>
    </row>
    <row r="4" spans="1:10" ht="9" customHeight="1" x14ac:dyDescent="0.15"/>
    <row r="5" spans="1:10" ht="22.5" customHeight="1" x14ac:dyDescent="0.15">
      <c r="B5" s="35" t="s">
        <v>172</v>
      </c>
      <c r="C5" s="346" t="str">
        <f ca="1">"令和"&amp;IF(YEAR(NOW())=2019,"元",YEAR(NOW())-2018)&amp;"年度 第"&amp;YEAR(NOW())-2000&amp;"回 石川県中学校新人サッカー大会 "</f>
        <v xml:space="preserve">令和5年度 第23回 石川県中学校新人サッカー大会 </v>
      </c>
      <c r="D5" s="346"/>
      <c r="E5" s="346"/>
      <c r="F5" s="346"/>
      <c r="G5" s="346"/>
      <c r="H5" s="346"/>
      <c r="I5" s="346"/>
      <c r="J5" s="346"/>
    </row>
    <row r="6" spans="1:10" ht="9" customHeight="1" x14ac:dyDescent="0.15">
      <c r="H6" s="381" t="s">
        <v>179</v>
      </c>
      <c r="I6" s="381"/>
      <c r="J6" s="381"/>
    </row>
    <row r="7" spans="1:10" ht="17.25" customHeight="1" x14ac:dyDescent="0.15">
      <c r="A7" s="342" t="s">
        <v>140</v>
      </c>
      <c r="B7" s="343"/>
      <c r="H7" s="382"/>
      <c r="I7" s="382"/>
      <c r="J7" s="382"/>
    </row>
    <row r="8" spans="1:10" ht="3.75" customHeight="1" thickBot="1" x14ac:dyDescent="0.2"/>
    <row r="9" spans="1:10" ht="17.25" customHeight="1" x14ac:dyDescent="0.15">
      <c r="A9" s="344" t="s">
        <v>141</v>
      </c>
      <c r="B9" s="345"/>
      <c r="C9" s="383" t="str">
        <f ca="1">"令和"&amp;IF(YEAR(NOW())=2019,"元",YEAR(NOW())-2018)&amp;"年11月"&amp;DAY(ﾄｰﾅﾒﾝﾄ!$A$23)&amp;"日"&amp;ﾄｰﾅﾒﾝﾄ!$A$24</f>
        <v>令和5年11月9日(月)</v>
      </c>
      <c r="D9" s="384"/>
      <c r="E9" s="384"/>
      <c r="F9" s="384"/>
      <c r="G9" s="50">
        <v>0.44444444444444442</v>
      </c>
      <c r="H9" s="391" t="s">
        <v>185</v>
      </c>
      <c r="I9" s="391"/>
      <c r="J9" s="392"/>
    </row>
    <row r="10" spans="1:10" ht="26.25" customHeight="1" x14ac:dyDescent="0.15">
      <c r="A10" s="357" t="s">
        <v>168</v>
      </c>
      <c r="B10" s="358"/>
      <c r="C10" s="1" t="s">
        <v>154</v>
      </c>
      <c r="D10" s="36" t="s">
        <v>186</v>
      </c>
      <c r="E10" s="355" t="str">
        <f>IF(ﾄｰﾅﾒﾝﾄ!AL27="","",INDEX(ﾄｰﾅﾒﾝﾄ!$B$69:$BK$72,2,MATCH(ﾄｰﾅﾒﾝﾄ!AL27,ﾄｰﾅﾒﾝﾄ!$B$69:$BK$69,0))&amp;CHAR(10)&amp;"サッカー部")</f>
        <v/>
      </c>
      <c r="F10" s="355"/>
      <c r="G10" s="32" t="s">
        <v>187</v>
      </c>
      <c r="H10" s="37" t="s">
        <v>188</v>
      </c>
      <c r="I10" s="355" t="str">
        <f>IF(ﾄｰﾅﾒﾝﾄ!BF27="","",INDEX(ﾄｰﾅﾒﾝﾄ!$B$69:$BK$72,2,MATCH(ﾄｰﾅﾒﾝﾄ!BF27,ﾄｰﾅﾒﾝﾄ!$B$69:$BK$69,0))&amp;CHAR(10)&amp;"サッカー部")</f>
        <v/>
      </c>
      <c r="J10" s="356"/>
    </row>
    <row r="11" spans="1:10" ht="17.25" customHeight="1" x14ac:dyDescent="0.15">
      <c r="A11" s="357"/>
      <c r="B11" s="358"/>
      <c r="C11" s="361" t="s">
        <v>167</v>
      </c>
      <c r="D11" s="361"/>
      <c r="E11" s="361"/>
      <c r="F11" s="44"/>
      <c r="G11" s="45" t="s">
        <v>158</v>
      </c>
      <c r="H11" s="354"/>
      <c r="I11" s="354"/>
      <c r="J11" s="377"/>
    </row>
    <row r="12" spans="1:10" ht="17.25" customHeight="1" x14ac:dyDescent="0.15">
      <c r="A12" s="357"/>
      <c r="B12" s="358"/>
      <c r="C12" s="361"/>
      <c r="D12" s="361"/>
      <c r="E12" s="361"/>
      <c r="F12" s="46"/>
      <c r="G12" s="47" t="s">
        <v>159</v>
      </c>
      <c r="H12" s="353"/>
      <c r="I12" s="353"/>
      <c r="J12" s="377"/>
    </row>
    <row r="13" spans="1:10" ht="17.25" customHeight="1" x14ac:dyDescent="0.15">
      <c r="A13" s="357"/>
      <c r="B13" s="358"/>
      <c r="C13" s="361"/>
      <c r="D13" s="361"/>
      <c r="E13" s="361"/>
      <c r="F13" s="44"/>
      <c r="G13" s="45" t="s">
        <v>160</v>
      </c>
      <c r="H13" s="354"/>
      <c r="I13" s="354"/>
      <c r="J13" s="377"/>
    </row>
    <row r="14" spans="1:10" ht="17.25" customHeight="1" x14ac:dyDescent="0.15">
      <c r="A14" s="357"/>
      <c r="B14" s="358"/>
      <c r="C14" s="361"/>
      <c r="D14" s="361"/>
      <c r="E14" s="361"/>
      <c r="F14" s="46"/>
      <c r="G14" s="47" t="s">
        <v>161</v>
      </c>
      <c r="H14" s="353"/>
      <c r="I14" s="353"/>
      <c r="J14" s="377"/>
    </row>
    <row r="15" spans="1:10" ht="17.25" customHeight="1" x14ac:dyDescent="0.15">
      <c r="A15" s="357"/>
      <c r="B15" s="358"/>
      <c r="C15" s="361"/>
      <c r="D15" s="361"/>
      <c r="E15" s="361"/>
      <c r="F15" s="44"/>
      <c r="G15" s="45" t="s">
        <v>162</v>
      </c>
      <c r="H15" s="354"/>
      <c r="I15" s="354"/>
      <c r="J15" s="377"/>
    </row>
    <row r="16" spans="1:10" ht="17.25" customHeight="1" x14ac:dyDescent="0.15">
      <c r="A16" s="357"/>
      <c r="B16" s="358"/>
      <c r="C16" s="361"/>
      <c r="D16" s="361"/>
      <c r="E16" s="361"/>
      <c r="F16" s="46"/>
      <c r="G16" s="47" t="s">
        <v>163</v>
      </c>
      <c r="H16" s="353"/>
      <c r="I16" s="353"/>
      <c r="J16" s="377"/>
    </row>
    <row r="17" spans="1:10" ht="17.25" customHeight="1" x14ac:dyDescent="0.15">
      <c r="A17" s="359"/>
      <c r="B17" s="360"/>
      <c r="C17" s="362"/>
      <c r="D17" s="362"/>
      <c r="E17" s="362"/>
      <c r="F17" s="39"/>
      <c r="G17" s="38" t="s">
        <v>174</v>
      </c>
      <c r="H17" s="362"/>
      <c r="I17" s="362"/>
      <c r="J17" s="378"/>
    </row>
    <row r="18" spans="1:10" ht="17.25" customHeight="1" thickBot="1" x14ac:dyDescent="0.2">
      <c r="A18" s="351" t="s">
        <v>142</v>
      </c>
      <c r="B18" s="352"/>
      <c r="C18" s="385" t="str">
        <f>プロ表紙!B38</f>
        <v>松任総合運動公園陸上競技場</v>
      </c>
      <c r="D18" s="386"/>
      <c r="E18" s="386"/>
      <c r="F18" s="386"/>
      <c r="G18" s="386"/>
      <c r="H18" s="386"/>
      <c r="I18" s="386"/>
      <c r="J18" s="387"/>
    </row>
    <row r="19" spans="1:10" ht="9" customHeight="1" x14ac:dyDescent="0.15"/>
    <row r="20" spans="1:10" ht="17.25" customHeight="1" x14ac:dyDescent="0.15">
      <c r="A20" s="342" t="s">
        <v>143</v>
      </c>
      <c r="B20" s="343"/>
    </row>
    <row r="21" spans="1:10" ht="3.75" customHeight="1" thickBot="1" x14ac:dyDescent="0.2"/>
    <row r="22" spans="1:10" ht="17.25" customHeight="1" x14ac:dyDescent="0.15">
      <c r="A22" s="349" t="s">
        <v>144</v>
      </c>
      <c r="B22" s="350"/>
      <c r="C22" s="379" t="s">
        <v>170</v>
      </c>
      <c r="D22" s="379"/>
      <c r="E22" s="379"/>
      <c r="F22" s="379"/>
      <c r="G22" s="379"/>
      <c r="H22" s="379"/>
      <c r="I22" s="379"/>
      <c r="J22" s="380"/>
    </row>
    <row r="23" spans="1:10" ht="17.25" customHeight="1" x14ac:dyDescent="0.15">
      <c r="A23" s="347" t="s">
        <v>145</v>
      </c>
      <c r="B23" s="348"/>
      <c r="C23" s="369" t="s">
        <v>170</v>
      </c>
      <c r="D23" s="370"/>
      <c r="E23" s="370"/>
      <c r="F23" s="370"/>
      <c r="G23" s="370"/>
      <c r="H23" s="370"/>
      <c r="I23" s="370"/>
      <c r="J23" s="371"/>
    </row>
    <row r="24" spans="1:10" ht="17.25" customHeight="1" x14ac:dyDescent="0.15">
      <c r="A24" s="347" t="s">
        <v>153</v>
      </c>
      <c r="B24" s="348"/>
      <c r="C24" s="369" t="s">
        <v>170</v>
      </c>
      <c r="D24" s="370"/>
      <c r="E24" s="370"/>
      <c r="F24" s="370"/>
      <c r="G24" s="370"/>
      <c r="H24" s="370"/>
      <c r="I24" s="370"/>
      <c r="J24" s="371"/>
    </row>
    <row r="25" spans="1:10" ht="17.25" customHeight="1" x14ac:dyDescent="0.15">
      <c r="A25" s="347" t="s">
        <v>146</v>
      </c>
      <c r="B25" s="348"/>
      <c r="C25" s="369" t="s">
        <v>170</v>
      </c>
      <c r="D25" s="370"/>
      <c r="E25" s="370"/>
      <c r="F25" s="370"/>
      <c r="G25" s="370"/>
      <c r="H25" s="370"/>
      <c r="I25" s="370"/>
      <c r="J25" s="371"/>
    </row>
    <row r="26" spans="1:10" ht="17.25" customHeight="1" x14ac:dyDescent="0.15">
      <c r="A26" s="347" t="s">
        <v>175</v>
      </c>
      <c r="B26" s="348"/>
      <c r="C26" s="369" t="s">
        <v>170</v>
      </c>
      <c r="D26" s="370"/>
      <c r="E26" s="370"/>
      <c r="F26" s="370"/>
      <c r="G26" s="370"/>
      <c r="H26" s="370"/>
      <c r="I26" s="370"/>
      <c r="J26" s="371"/>
    </row>
    <row r="27" spans="1:10" ht="17.25" customHeight="1" x14ac:dyDescent="0.15">
      <c r="A27" s="347" t="s">
        <v>148</v>
      </c>
      <c r="B27" s="348"/>
      <c r="C27" s="42" t="s">
        <v>176</v>
      </c>
      <c r="D27" s="376" t="str">
        <f>IF(E10="","",E10)</f>
        <v/>
      </c>
      <c r="E27" s="376"/>
      <c r="F27" s="376"/>
      <c r="G27" s="376"/>
      <c r="H27" s="33" t="s">
        <v>177</v>
      </c>
      <c r="I27" s="33"/>
      <c r="J27" s="40"/>
    </row>
    <row r="28" spans="1:10" ht="17.25" customHeight="1" x14ac:dyDescent="0.15">
      <c r="A28" s="347"/>
      <c r="B28" s="348"/>
      <c r="C28" s="366" t="s">
        <v>170</v>
      </c>
      <c r="D28" s="367"/>
      <c r="E28" s="367"/>
      <c r="F28" s="367"/>
      <c r="G28" s="367"/>
      <c r="H28" s="367"/>
      <c r="I28" s="367"/>
      <c r="J28" s="368"/>
    </row>
    <row r="29" spans="1:10" ht="17.25" customHeight="1" x14ac:dyDescent="0.15">
      <c r="A29" s="347"/>
      <c r="B29" s="348"/>
      <c r="C29" s="43" t="s">
        <v>178</v>
      </c>
      <c r="D29" s="367" t="str">
        <f>IF(I10="","",I10)</f>
        <v/>
      </c>
      <c r="E29" s="367"/>
      <c r="F29" s="367"/>
      <c r="G29" s="367"/>
      <c r="H29" t="s">
        <v>177</v>
      </c>
      <c r="J29" s="41"/>
    </row>
    <row r="30" spans="1:10" ht="17.25" customHeight="1" thickBot="1" x14ac:dyDescent="0.2">
      <c r="A30" s="388"/>
      <c r="B30" s="389"/>
      <c r="C30" s="363" t="s">
        <v>170</v>
      </c>
      <c r="D30" s="364"/>
      <c r="E30" s="364"/>
      <c r="F30" s="364"/>
      <c r="G30" s="364"/>
      <c r="H30" s="364"/>
      <c r="I30" s="364"/>
      <c r="J30" s="365"/>
    </row>
    <row r="31" spans="1:10" ht="9" customHeight="1" x14ac:dyDescent="0.15"/>
    <row r="32" spans="1:10" ht="17.25" customHeight="1" x14ac:dyDescent="0.15">
      <c r="A32" t="s">
        <v>149</v>
      </c>
    </row>
    <row r="33" spans="1:10" ht="18.75" customHeight="1" x14ac:dyDescent="0.15">
      <c r="B33" s="372"/>
      <c r="C33" s="372"/>
      <c r="D33" s="372"/>
      <c r="E33" s="372"/>
      <c r="F33" s="372"/>
      <c r="G33" s="372"/>
      <c r="H33" s="372"/>
      <c r="I33" s="372"/>
      <c r="J33" s="372"/>
    </row>
    <row r="34" spans="1:10" ht="18.75" customHeight="1" x14ac:dyDescent="0.15">
      <c r="B34" s="372"/>
      <c r="C34" s="372"/>
      <c r="D34" s="372"/>
      <c r="E34" s="372"/>
      <c r="F34" s="372"/>
      <c r="G34" s="372"/>
      <c r="H34" s="372"/>
      <c r="I34" s="372"/>
      <c r="J34" s="372"/>
    </row>
    <row r="35" spans="1:10" ht="18.75" customHeight="1" x14ac:dyDescent="0.15">
      <c r="B35" s="372"/>
      <c r="C35" s="372"/>
      <c r="D35" s="372"/>
      <c r="E35" s="372"/>
      <c r="F35" s="372"/>
      <c r="G35" s="372"/>
      <c r="H35" s="372"/>
      <c r="I35" s="372"/>
      <c r="J35" s="372"/>
    </row>
    <row r="36" spans="1:10" ht="18.75" customHeight="1" x14ac:dyDescent="0.15">
      <c r="B36" s="372"/>
      <c r="C36" s="372"/>
      <c r="D36" s="372"/>
      <c r="E36" s="372"/>
      <c r="F36" s="372"/>
      <c r="G36" s="372"/>
      <c r="H36" s="372"/>
      <c r="I36" s="372"/>
      <c r="J36" s="372"/>
    </row>
    <row r="37" spans="1:10" ht="18.75" customHeight="1" x14ac:dyDescent="0.15">
      <c r="B37" s="372"/>
      <c r="C37" s="372"/>
      <c r="D37" s="372"/>
      <c r="E37" s="372"/>
      <c r="F37" s="372"/>
      <c r="G37" s="372"/>
      <c r="H37" s="372"/>
      <c r="I37" s="372"/>
      <c r="J37" s="372"/>
    </row>
    <row r="38" spans="1:10" ht="18.75" customHeight="1" x14ac:dyDescent="0.15">
      <c r="B38" s="372"/>
      <c r="C38" s="372"/>
      <c r="D38" s="372"/>
      <c r="E38" s="372"/>
      <c r="F38" s="372"/>
      <c r="G38" s="372"/>
      <c r="H38" s="372"/>
      <c r="I38" s="372"/>
      <c r="J38" s="372"/>
    </row>
    <row r="39" spans="1:10" ht="9" customHeight="1" x14ac:dyDescent="0.15"/>
    <row r="40" spans="1:10" ht="17.25" customHeight="1" x14ac:dyDescent="0.15">
      <c r="A40" s="342" t="s">
        <v>150</v>
      </c>
      <c r="B40" s="343"/>
    </row>
    <row r="41" spans="1:10" ht="3.75" customHeight="1" x14ac:dyDescent="0.15"/>
    <row r="42" spans="1:10" ht="17.25" customHeight="1" x14ac:dyDescent="0.15">
      <c r="A42" t="s">
        <v>173</v>
      </c>
    </row>
    <row r="43" spans="1:10" ht="18.75" customHeight="1" x14ac:dyDescent="0.15">
      <c r="B43" s="372"/>
      <c r="C43" s="372"/>
      <c r="D43" s="372"/>
      <c r="E43" s="372"/>
      <c r="F43" s="372"/>
      <c r="G43" s="372"/>
      <c r="H43" s="372"/>
      <c r="I43" s="372"/>
      <c r="J43" s="372"/>
    </row>
    <row r="44" spans="1:10" ht="18.75" customHeight="1" x14ac:dyDescent="0.15">
      <c r="B44" s="372"/>
      <c r="C44" s="372"/>
      <c r="D44" s="372"/>
      <c r="E44" s="372"/>
      <c r="F44" s="372"/>
      <c r="G44" s="372"/>
      <c r="H44" s="372"/>
      <c r="I44" s="372"/>
      <c r="J44" s="372"/>
    </row>
    <row r="45" spans="1:10" ht="18.75" customHeight="1" x14ac:dyDescent="0.15">
      <c r="B45" s="372"/>
      <c r="C45" s="372"/>
      <c r="D45" s="372"/>
      <c r="E45" s="372"/>
      <c r="F45" s="372"/>
      <c r="G45" s="372"/>
      <c r="H45" s="372"/>
      <c r="I45" s="372"/>
      <c r="J45" s="372"/>
    </row>
    <row r="46" spans="1:10" ht="18.75" customHeight="1" x14ac:dyDescent="0.15">
      <c r="B46" s="372"/>
      <c r="C46" s="372"/>
      <c r="D46" s="372"/>
      <c r="E46" s="372"/>
      <c r="F46" s="372"/>
      <c r="G46" s="372"/>
      <c r="H46" s="372"/>
      <c r="I46" s="372"/>
      <c r="J46" s="372"/>
    </row>
    <row r="47" spans="1:10" ht="18.75" customHeight="1" x14ac:dyDescent="0.15">
      <c r="B47" s="372"/>
      <c r="C47" s="372"/>
      <c r="D47" s="372"/>
      <c r="E47" s="372"/>
      <c r="F47" s="372"/>
      <c r="G47" s="372"/>
      <c r="H47" s="372"/>
      <c r="I47" s="372"/>
      <c r="J47" s="372"/>
    </row>
    <row r="48" spans="1:10" ht="18.75" customHeight="1" x14ac:dyDescent="0.15">
      <c r="B48" s="372"/>
      <c r="C48" s="372"/>
      <c r="D48" s="372"/>
      <c r="E48" s="372"/>
      <c r="F48" s="372"/>
      <c r="G48" s="372"/>
      <c r="H48" s="372"/>
      <c r="I48" s="372"/>
      <c r="J48" s="372"/>
    </row>
    <row r="49" spans="2:9" ht="9" customHeight="1" x14ac:dyDescent="0.15"/>
    <row r="50" spans="2:9" ht="15.6" customHeight="1" x14ac:dyDescent="0.15">
      <c r="B50" s="34" t="s">
        <v>151</v>
      </c>
    </row>
    <row r="51" spans="2:9" ht="9" customHeight="1" x14ac:dyDescent="0.15"/>
    <row r="52" spans="2:9" ht="15.6" customHeight="1" x14ac:dyDescent="0.15">
      <c r="C52" s="369" t="s">
        <v>152</v>
      </c>
      <c r="D52" s="370"/>
      <c r="E52" s="370"/>
      <c r="F52" s="370"/>
      <c r="G52" s="370"/>
      <c r="H52" s="370"/>
      <c r="I52" s="390"/>
    </row>
  </sheetData>
  <mergeCells count="53">
    <mergeCell ref="B33:J33"/>
    <mergeCell ref="C9:F9"/>
    <mergeCell ref="C18:J18"/>
    <mergeCell ref="A27:B30"/>
    <mergeCell ref="C52:I52"/>
    <mergeCell ref="H9:J9"/>
    <mergeCell ref="B43:J43"/>
    <mergeCell ref="B44:J44"/>
    <mergeCell ref="B45:J45"/>
    <mergeCell ref="B46:J46"/>
    <mergeCell ref="B47:J47"/>
    <mergeCell ref="B48:J48"/>
    <mergeCell ref="A40:B40"/>
    <mergeCell ref="B38:J38"/>
    <mergeCell ref="B37:J37"/>
    <mergeCell ref="B36:J36"/>
    <mergeCell ref="B35:J35"/>
    <mergeCell ref="B34:J34"/>
    <mergeCell ref="A26:B26"/>
    <mergeCell ref="A25:B25"/>
    <mergeCell ref="C1:H1"/>
    <mergeCell ref="D29:G29"/>
    <mergeCell ref="D27:G27"/>
    <mergeCell ref="H3:J3"/>
    <mergeCell ref="J11:J17"/>
    <mergeCell ref="D11:E17"/>
    <mergeCell ref="E10:F10"/>
    <mergeCell ref="H17:I17"/>
    <mergeCell ref="C22:J22"/>
    <mergeCell ref="C23:J23"/>
    <mergeCell ref="A7:B7"/>
    <mergeCell ref="H6:J7"/>
    <mergeCell ref="C30:J30"/>
    <mergeCell ref="C28:J28"/>
    <mergeCell ref="C26:J26"/>
    <mergeCell ref="C25:J25"/>
    <mergeCell ref="C24:J24"/>
    <mergeCell ref="A20:B20"/>
    <mergeCell ref="A9:B9"/>
    <mergeCell ref="C5:J5"/>
    <mergeCell ref="A24:B24"/>
    <mergeCell ref="A23:B23"/>
    <mergeCell ref="A22:B22"/>
    <mergeCell ref="A18:B18"/>
    <mergeCell ref="H12:I12"/>
    <mergeCell ref="H11:I11"/>
    <mergeCell ref="I10:J10"/>
    <mergeCell ref="A10:B17"/>
    <mergeCell ref="H16:I16"/>
    <mergeCell ref="H15:I15"/>
    <mergeCell ref="H14:I14"/>
    <mergeCell ref="H13:I13"/>
    <mergeCell ref="C11:C17"/>
  </mergeCells>
  <phoneticPr fontId="3"/>
  <printOptions horizontalCentered="1" verticalCentered="1"/>
  <pageMargins left="0.59055118110236227" right="0.59055118110236227" top="0.39370078740157483" bottom="0.39370078740157483" header="0.31496062992125984" footer="0.31496062992125984"/>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38"/>
  <sheetViews>
    <sheetView workbookViewId="0">
      <selection activeCell="G34" sqref="G34"/>
    </sheetView>
  </sheetViews>
  <sheetFormatPr defaultRowHeight="13.5" x14ac:dyDescent="0.15"/>
  <cols>
    <col min="1" max="10" width="9.375" customWidth="1"/>
  </cols>
  <sheetData>
    <row r="1" spans="1:10" ht="24" x14ac:dyDescent="0.15">
      <c r="A1" s="290" t="str">
        <f ca="1">"令和"&amp;IF(YEAR(NOW())=2019,"元",YEAR(NOW())-2018)&amp;"年度 第"&amp;YEAR(NOW())-2000&amp;"回 石川県中学校新人サッカー大会 "</f>
        <v xml:space="preserve">令和5年度 第23回 石川県中学校新人サッカー大会 </v>
      </c>
      <c r="B1" s="290"/>
      <c r="C1" s="290"/>
      <c r="D1" s="290"/>
      <c r="E1" s="290"/>
      <c r="F1" s="290"/>
      <c r="G1" s="290"/>
      <c r="H1" s="290"/>
      <c r="I1" s="290"/>
      <c r="J1" s="290"/>
    </row>
    <row r="2" spans="1:10" ht="23.45" customHeight="1" x14ac:dyDescent="0.15">
      <c r="A2" s="290" t="s">
        <v>409</v>
      </c>
      <c r="B2" s="290"/>
      <c r="C2" s="290"/>
      <c r="D2" s="290"/>
      <c r="E2" s="290"/>
      <c r="F2" s="290"/>
      <c r="G2" s="290"/>
      <c r="H2" s="290"/>
      <c r="I2" s="290"/>
      <c r="J2" s="290"/>
    </row>
    <row r="3" spans="1:10" ht="14.25" thickBot="1" x14ac:dyDescent="0.2"/>
    <row r="4" spans="1:10" ht="35.1" customHeight="1" thickBot="1" x14ac:dyDescent="0.2">
      <c r="B4" s="393" t="str">
        <f>IF(ﾄｰﾅﾒﾝﾄ!AL27="","",INDEX(ﾄｰﾅﾒﾝﾄ!$B$69:$BK$72,2,MATCH(ﾄｰﾅﾒﾝﾄ!AL27,ﾄｰﾅﾒﾝﾄ!$B$69:$BK$69,0))&amp;CHAR(10)&amp;"サッカー部")</f>
        <v/>
      </c>
      <c r="C4" s="394"/>
      <c r="D4" s="395"/>
      <c r="E4" s="162" t="s">
        <v>378</v>
      </c>
      <c r="F4" s="393" t="str">
        <f>IF(ﾄｰﾅﾒﾝﾄ!BF27="","",INDEX(ﾄｰﾅﾒﾝﾄ!$B$69:$BK$72,2,MATCH(ﾄｰﾅﾒﾝﾄ!BF27,ﾄｰﾅﾒﾝﾄ!$B$69:$BK$69,0))&amp;CHAR(10)&amp;"サッカー部")</f>
        <v/>
      </c>
      <c r="G4" s="394"/>
      <c r="H4" s="395"/>
    </row>
    <row r="6" spans="1:10" ht="18.95" customHeight="1" x14ac:dyDescent="0.15">
      <c r="B6" s="165" t="s">
        <v>376</v>
      </c>
      <c r="C6" s="299" t="str">
        <f ca="1">"令和"&amp;IF(YEAR(NOW())=2019,"元",YEAR(NOW())-2018)&amp;"年11月"&amp;DAY(ﾄｰﾅﾒﾝﾄ!$A$23)&amp;"日"&amp;ﾄｰﾅﾒﾝﾄ!$A$24</f>
        <v>令和5年11月9日(月)</v>
      </c>
      <c r="D6" s="299"/>
      <c r="E6" s="299"/>
      <c r="F6" s="163" t="s">
        <v>425</v>
      </c>
    </row>
    <row r="7" spans="1:10" ht="18.75" x14ac:dyDescent="0.15">
      <c r="B7" s="165" t="s">
        <v>377</v>
      </c>
      <c r="C7" s="300" t="str">
        <f>プロ表紙!B38</f>
        <v>松任総合運動公園陸上競技場</v>
      </c>
      <c r="D7" s="300"/>
      <c r="E7" s="300"/>
      <c r="F7" s="300"/>
      <c r="G7" s="300"/>
      <c r="H7" s="300"/>
      <c r="I7" s="300"/>
      <c r="J7" s="300"/>
    </row>
    <row r="8" spans="1:10" ht="5.0999999999999996" customHeight="1" x14ac:dyDescent="0.15"/>
    <row r="9" spans="1:10" ht="18" thickBot="1" x14ac:dyDescent="0.2">
      <c r="A9" s="163" t="s">
        <v>379</v>
      </c>
    </row>
    <row r="10" spans="1:10" ht="14.25" x14ac:dyDescent="0.15">
      <c r="A10" s="294" t="s">
        <v>380</v>
      </c>
      <c r="B10" s="295"/>
      <c r="C10" s="295"/>
      <c r="D10" s="295"/>
      <c r="E10" s="295" t="s">
        <v>381</v>
      </c>
      <c r="F10" s="295"/>
      <c r="G10" s="295"/>
      <c r="H10" s="295"/>
      <c r="I10" s="295"/>
      <c r="J10" s="296"/>
    </row>
    <row r="11" spans="1:10" ht="21" customHeight="1" x14ac:dyDescent="0.15">
      <c r="A11" s="297">
        <v>0.38194444444444442</v>
      </c>
      <c r="B11" s="298"/>
      <c r="C11" s="168">
        <v>90</v>
      </c>
      <c r="D11" s="166" t="s">
        <v>382</v>
      </c>
      <c r="E11" s="288" t="s">
        <v>383</v>
      </c>
      <c r="F11" s="288"/>
      <c r="G11" s="288"/>
      <c r="H11" s="288"/>
      <c r="I11" s="288"/>
      <c r="J11" s="289"/>
    </row>
    <row r="12" spans="1:10" ht="34.5" customHeight="1" x14ac:dyDescent="0.15">
      <c r="A12" s="297">
        <v>0.39583333333333331</v>
      </c>
      <c r="B12" s="298"/>
      <c r="C12" s="168">
        <v>70</v>
      </c>
      <c r="D12" s="166" t="s">
        <v>382</v>
      </c>
      <c r="E12" s="287" t="s">
        <v>391</v>
      </c>
      <c r="F12" s="288"/>
      <c r="G12" s="288"/>
      <c r="H12" s="288"/>
      <c r="I12" s="288"/>
      <c r="J12" s="289"/>
    </row>
    <row r="13" spans="1:10" ht="34.5" customHeight="1" x14ac:dyDescent="0.15">
      <c r="A13" s="297">
        <v>0.4236111111111111</v>
      </c>
      <c r="B13" s="298"/>
      <c r="C13" s="313" t="s">
        <v>418</v>
      </c>
      <c r="D13" s="314"/>
      <c r="E13" s="287" t="s">
        <v>392</v>
      </c>
      <c r="F13" s="288"/>
      <c r="G13" s="288"/>
      <c r="H13" s="288"/>
      <c r="I13" s="288"/>
      <c r="J13" s="289"/>
    </row>
    <row r="14" spans="1:10" ht="21" customHeight="1" x14ac:dyDescent="0.15">
      <c r="A14" s="297">
        <v>0.4236111111111111</v>
      </c>
      <c r="B14" s="298"/>
      <c r="C14" s="313" t="s">
        <v>418</v>
      </c>
      <c r="D14" s="314"/>
      <c r="E14" s="288" t="s">
        <v>384</v>
      </c>
      <c r="F14" s="288"/>
      <c r="G14" s="288"/>
      <c r="H14" s="288"/>
      <c r="I14" s="288"/>
      <c r="J14" s="289"/>
    </row>
    <row r="15" spans="1:10" ht="21" customHeight="1" x14ac:dyDescent="0.15">
      <c r="A15" s="297">
        <v>0.4375</v>
      </c>
      <c r="B15" s="298"/>
      <c r="C15" s="168">
        <v>10</v>
      </c>
      <c r="D15" s="166" t="s">
        <v>382</v>
      </c>
      <c r="E15" s="288" t="s">
        <v>385</v>
      </c>
      <c r="F15" s="288"/>
      <c r="G15" s="288"/>
      <c r="H15" s="288"/>
      <c r="I15" s="288"/>
      <c r="J15" s="289"/>
    </row>
    <row r="16" spans="1:10" ht="21" customHeight="1" x14ac:dyDescent="0.15">
      <c r="A16" s="301">
        <v>0.44097222222222227</v>
      </c>
      <c r="B16" s="302"/>
      <c r="C16" s="168">
        <v>5</v>
      </c>
      <c r="D16" s="166" t="s">
        <v>382</v>
      </c>
      <c r="E16" s="288" t="s">
        <v>386</v>
      </c>
      <c r="F16" s="288"/>
      <c r="G16" s="288"/>
      <c r="H16" s="288"/>
      <c r="I16" s="288"/>
      <c r="J16" s="289"/>
    </row>
    <row r="17" spans="1:10" ht="21" customHeight="1" x14ac:dyDescent="0.15">
      <c r="A17" s="306">
        <v>0.44236111111111115</v>
      </c>
      <c r="B17" s="307"/>
      <c r="C17" s="168">
        <v>3</v>
      </c>
      <c r="D17" s="166" t="s">
        <v>382</v>
      </c>
      <c r="E17" s="303" t="s">
        <v>416</v>
      </c>
      <c r="F17" s="304"/>
      <c r="G17" s="304"/>
      <c r="H17" s="304"/>
      <c r="I17" s="304"/>
      <c r="J17" s="305"/>
    </row>
    <row r="18" spans="1:10" ht="21" customHeight="1" x14ac:dyDescent="0.15">
      <c r="A18" s="297">
        <v>0.44444444444444442</v>
      </c>
      <c r="B18" s="298"/>
      <c r="C18" s="167"/>
      <c r="D18" s="166"/>
      <c r="E18" s="288" t="s">
        <v>387</v>
      </c>
      <c r="F18" s="288"/>
      <c r="G18" s="288"/>
      <c r="H18" s="288"/>
      <c r="I18" s="288"/>
      <c r="J18" s="289"/>
    </row>
    <row r="19" spans="1:10" ht="21" customHeight="1" x14ac:dyDescent="0.15">
      <c r="A19" s="297">
        <v>0.46527777777777773</v>
      </c>
      <c r="B19" s="298"/>
      <c r="C19" s="313" t="s">
        <v>388</v>
      </c>
      <c r="D19" s="314"/>
      <c r="E19" s="288" t="s">
        <v>389</v>
      </c>
      <c r="F19" s="288"/>
      <c r="G19" s="288"/>
      <c r="H19" s="288"/>
      <c r="I19" s="288"/>
      <c r="J19" s="289"/>
    </row>
    <row r="20" spans="1:10" ht="21" customHeight="1" x14ac:dyDescent="0.15">
      <c r="A20" s="297">
        <v>0.47222222222222227</v>
      </c>
      <c r="B20" s="298"/>
      <c r="C20" s="313" t="s">
        <v>388</v>
      </c>
      <c r="D20" s="314"/>
      <c r="E20" s="288" t="s">
        <v>390</v>
      </c>
      <c r="F20" s="288"/>
      <c r="G20" s="288"/>
      <c r="H20" s="288"/>
      <c r="I20" s="288"/>
      <c r="J20" s="289"/>
    </row>
    <row r="21" spans="1:10" ht="57" customHeight="1" thickBot="1" x14ac:dyDescent="0.2">
      <c r="A21" s="308">
        <v>0.49305555555555558</v>
      </c>
      <c r="B21" s="309"/>
      <c r="C21" s="315" t="s">
        <v>388</v>
      </c>
      <c r="D21" s="316"/>
      <c r="E21" s="310" t="s">
        <v>417</v>
      </c>
      <c r="F21" s="311"/>
      <c r="G21" s="311"/>
      <c r="H21" s="311"/>
      <c r="I21" s="311"/>
      <c r="J21" s="312"/>
    </row>
    <row r="22" spans="1:10" ht="20.100000000000001" customHeight="1" x14ac:dyDescent="0.15">
      <c r="A22" s="164" t="s">
        <v>393</v>
      </c>
      <c r="B22" s="164"/>
      <c r="C22" s="164"/>
      <c r="D22" s="164"/>
      <c r="E22" s="164"/>
      <c r="F22" s="164"/>
      <c r="G22" s="164"/>
      <c r="H22" s="164"/>
      <c r="I22" s="164"/>
      <c r="J22" s="164"/>
    </row>
    <row r="23" spans="1:10" ht="18.95" customHeight="1" x14ac:dyDescent="0.15">
      <c r="A23" s="164" t="s">
        <v>394</v>
      </c>
      <c r="B23" s="164"/>
      <c r="C23" s="164"/>
      <c r="D23" s="164"/>
      <c r="E23" s="164"/>
      <c r="F23" s="164"/>
      <c r="G23" s="164"/>
      <c r="H23" s="164"/>
      <c r="I23" s="164"/>
      <c r="J23" s="164"/>
    </row>
    <row r="24" spans="1:10" ht="18.95" customHeight="1" x14ac:dyDescent="0.15">
      <c r="A24" s="164" t="s">
        <v>395</v>
      </c>
      <c r="B24" s="164"/>
      <c r="C24" s="164"/>
      <c r="D24" s="164"/>
      <c r="E24" s="164"/>
      <c r="F24" s="164"/>
      <c r="G24" s="164"/>
      <c r="H24" s="164"/>
      <c r="I24" s="164"/>
      <c r="J24" s="164"/>
    </row>
    <row r="25" spans="1:10" ht="18.95" customHeight="1" x14ac:dyDescent="0.15">
      <c r="A25" s="164" t="s">
        <v>396</v>
      </c>
      <c r="B25" s="164"/>
      <c r="C25" s="164"/>
      <c r="D25" s="164"/>
      <c r="E25" s="164"/>
      <c r="F25" s="164"/>
      <c r="G25" s="164"/>
      <c r="H25" s="164"/>
      <c r="I25" s="164"/>
      <c r="J25" s="164"/>
    </row>
    <row r="26" spans="1:10" ht="6" customHeight="1" x14ac:dyDescent="0.15">
      <c r="A26" s="164"/>
      <c r="B26" s="164"/>
      <c r="C26" s="164"/>
      <c r="D26" s="164"/>
      <c r="E26" s="164"/>
      <c r="F26" s="164"/>
      <c r="G26" s="164"/>
      <c r="H26" s="164"/>
      <c r="I26" s="164"/>
      <c r="J26" s="164"/>
    </row>
    <row r="27" spans="1:10" ht="18" thickBot="1" x14ac:dyDescent="0.2">
      <c r="A27" s="163" t="s">
        <v>397</v>
      </c>
      <c r="B27" s="164"/>
      <c r="C27" s="164"/>
      <c r="D27" s="164"/>
      <c r="E27" s="164"/>
      <c r="F27" s="164"/>
      <c r="G27" s="164"/>
      <c r="H27" s="164"/>
      <c r="I27" s="164"/>
      <c r="J27" s="164"/>
    </row>
    <row r="28" spans="1:10" ht="15" thickBot="1" x14ac:dyDescent="0.2">
      <c r="A28" s="323" t="s">
        <v>154</v>
      </c>
      <c r="B28" s="324"/>
      <c r="C28" s="325"/>
      <c r="D28" s="326" t="s">
        <v>400</v>
      </c>
      <c r="E28" s="324"/>
      <c r="F28" s="327"/>
      <c r="G28" s="323" t="s">
        <v>399</v>
      </c>
      <c r="H28" s="324"/>
      <c r="I28" s="325"/>
      <c r="J28" s="171" t="s">
        <v>398</v>
      </c>
    </row>
    <row r="29" spans="1:10" ht="34.5" customHeight="1" x14ac:dyDescent="0.15">
      <c r="A29" s="396" t="str">
        <f>IF(ﾄｰﾅﾒﾝﾄ!AL27="","",INDEX(ﾄｰﾅﾒﾝﾄ!$B$69:$BK$72,2,MATCH(ﾄｰﾅﾒﾝﾄ!AL27,ﾄｰﾅﾒﾝﾄ!$B$69:$BK$69,0))&amp;CHAR(10)&amp;"サッカー部")</f>
        <v/>
      </c>
      <c r="B29" s="397"/>
      <c r="C29" s="398"/>
      <c r="D29" s="399" t="s">
        <v>511</v>
      </c>
      <c r="E29" s="400"/>
      <c r="F29" s="400"/>
      <c r="G29" s="401" t="s">
        <v>512</v>
      </c>
      <c r="H29" s="400"/>
      <c r="I29" s="402"/>
      <c r="J29" s="169"/>
    </row>
    <row r="30" spans="1:10" ht="34.5" customHeight="1" thickBot="1" x14ac:dyDescent="0.2">
      <c r="A30" s="403" t="str">
        <f>IF(ﾄｰﾅﾒﾝﾄ!BF27="","",INDEX(ﾄｰﾅﾒﾝﾄ!$B$69:$BK$72,2,MATCH(ﾄｰﾅﾒﾝﾄ!BF27,ﾄｰﾅﾒﾝﾄ!$B$69:$BK$69,0))&amp;CHAR(10)&amp;"サッカー部")</f>
        <v/>
      </c>
      <c r="B30" s="404"/>
      <c r="C30" s="405"/>
      <c r="D30" s="332" t="s">
        <v>510</v>
      </c>
      <c r="E30" s="406"/>
      <c r="F30" s="406"/>
      <c r="G30" s="331" t="s">
        <v>509</v>
      </c>
      <c r="H30" s="406"/>
      <c r="I30" s="407"/>
      <c r="J30" s="170"/>
    </row>
    <row r="31" spans="1:10" ht="6" customHeight="1" x14ac:dyDescent="0.15">
      <c r="A31" s="164"/>
      <c r="B31" s="164"/>
      <c r="C31" s="164"/>
      <c r="D31" s="164"/>
      <c r="E31" s="164"/>
      <c r="F31" s="164"/>
      <c r="G31" s="164"/>
      <c r="H31" s="164"/>
      <c r="I31" s="164"/>
      <c r="J31" s="164"/>
    </row>
    <row r="32" spans="1:10" ht="18" thickBot="1" x14ac:dyDescent="0.2">
      <c r="A32" s="163" t="s">
        <v>401</v>
      </c>
      <c r="B32" s="164"/>
      <c r="C32" s="164"/>
      <c r="D32" s="164"/>
      <c r="E32" s="164"/>
      <c r="F32" s="164"/>
      <c r="G32" s="164"/>
      <c r="H32" s="164"/>
      <c r="I32" s="164"/>
      <c r="J32" s="164"/>
    </row>
    <row r="33" spans="1:10" ht="20.45" customHeight="1" x14ac:dyDescent="0.15">
      <c r="A33" s="340" t="s">
        <v>402</v>
      </c>
      <c r="B33" s="341"/>
      <c r="C33" s="336" t="s">
        <v>349</v>
      </c>
      <c r="D33" s="337"/>
      <c r="E33" s="164"/>
      <c r="F33" s="164"/>
      <c r="G33" s="164"/>
      <c r="H33" s="164"/>
      <c r="I33" s="164"/>
      <c r="J33" s="164"/>
    </row>
    <row r="34" spans="1:10" ht="20.45" customHeight="1" x14ac:dyDescent="0.15">
      <c r="A34" s="334" t="s">
        <v>405</v>
      </c>
      <c r="B34" s="313"/>
      <c r="C34" s="334" t="s">
        <v>502</v>
      </c>
      <c r="D34" s="338"/>
      <c r="E34" s="164"/>
      <c r="F34" s="164"/>
      <c r="G34" s="164"/>
      <c r="H34" s="164"/>
      <c r="I34" s="164"/>
      <c r="J34" s="164"/>
    </row>
    <row r="35" spans="1:10" ht="20.45" customHeight="1" x14ac:dyDescent="0.15">
      <c r="A35" s="334" t="s">
        <v>406</v>
      </c>
      <c r="B35" s="313"/>
      <c r="C35" s="334" t="s">
        <v>422</v>
      </c>
      <c r="D35" s="338"/>
      <c r="E35" s="164"/>
      <c r="F35" s="164"/>
      <c r="G35" s="164"/>
      <c r="H35" s="164"/>
      <c r="I35" s="164"/>
      <c r="J35" s="164"/>
    </row>
    <row r="36" spans="1:10" ht="20.45" customHeight="1" x14ac:dyDescent="0.15">
      <c r="A36" s="334" t="s">
        <v>407</v>
      </c>
      <c r="B36" s="313"/>
      <c r="C36" s="334" t="s">
        <v>503</v>
      </c>
      <c r="D36" s="338"/>
      <c r="E36" s="164"/>
      <c r="F36" s="164"/>
      <c r="G36" s="164"/>
      <c r="H36" s="164"/>
      <c r="I36" s="164"/>
      <c r="J36" s="164"/>
    </row>
    <row r="37" spans="1:10" ht="20.45" customHeight="1" x14ac:dyDescent="0.15">
      <c r="A37" s="334" t="s">
        <v>404</v>
      </c>
      <c r="B37" s="313"/>
      <c r="C37" s="334" t="s">
        <v>501</v>
      </c>
      <c r="D37" s="338"/>
      <c r="E37" s="164"/>
      <c r="F37" s="164"/>
      <c r="G37" s="164"/>
      <c r="H37" s="164"/>
      <c r="I37" s="164"/>
      <c r="J37" s="164"/>
    </row>
    <row r="38" spans="1:10" ht="20.45" customHeight="1" thickBot="1" x14ac:dyDescent="0.2">
      <c r="A38" s="335" t="s">
        <v>403</v>
      </c>
      <c r="B38" s="315"/>
      <c r="C38" s="335" t="s">
        <v>504</v>
      </c>
      <c r="D38" s="339"/>
    </row>
  </sheetData>
  <mergeCells count="56">
    <mergeCell ref="A36:B36"/>
    <mergeCell ref="C36:D36"/>
    <mergeCell ref="A37:B37"/>
    <mergeCell ref="C37:D37"/>
    <mergeCell ref="A38:B38"/>
    <mergeCell ref="C38:D38"/>
    <mergeCell ref="A33:B33"/>
    <mergeCell ref="C33:D33"/>
    <mergeCell ref="A34:B34"/>
    <mergeCell ref="C34:D34"/>
    <mergeCell ref="A35:B35"/>
    <mergeCell ref="C35:D35"/>
    <mergeCell ref="A29:C29"/>
    <mergeCell ref="D29:F29"/>
    <mergeCell ref="G29:I29"/>
    <mergeCell ref="A30:C30"/>
    <mergeCell ref="D30:F30"/>
    <mergeCell ref="G30:I30"/>
    <mergeCell ref="A21:B21"/>
    <mergeCell ref="C21:D21"/>
    <mergeCell ref="E21:J21"/>
    <mergeCell ref="A28:C28"/>
    <mergeCell ref="D28:F28"/>
    <mergeCell ref="G28:I28"/>
    <mergeCell ref="A19:B19"/>
    <mergeCell ref="C19:D19"/>
    <mergeCell ref="E19:J19"/>
    <mergeCell ref="A20:B20"/>
    <mergeCell ref="C20:D20"/>
    <mergeCell ref="E20:J20"/>
    <mergeCell ref="A16:B16"/>
    <mergeCell ref="E16:J16"/>
    <mergeCell ref="A17:B17"/>
    <mergeCell ref="E17:J17"/>
    <mergeCell ref="A18:B18"/>
    <mergeCell ref="E18:J18"/>
    <mergeCell ref="A13:B13"/>
    <mergeCell ref="E13:J13"/>
    <mergeCell ref="A14:B14"/>
    <mergeCell ref="E14:J14"/>
    <mergeCell ref="A15:B15"/>
    <mergeCell ref="E15:J15"/>
    <mergeCell ref="C13:D13"/>
    <mergeCell ref="C14:D14"/>
    <mergeCell ref="A10:D10"/>
    <mergeCell ref="E10:J10"/>
    <mergeCell ref="A11:B11"/>
    <mergeCell ref="E11:J11"/>
    <mergeCell ref="A12:B12"/>
    <mergeCell ref="E12:J12"/>
    <mergeCell ref="C7:J7"/>
    <mergeCell ref="A1:J1"/>
    <mergeCell ref="A2:J2"/>
    <mergeCell ref="B4:D4"/>
    <mergeCell ref="F4:H4"/>
    <mergeCell ref="C6:E6"/>
  </mergeCells>
  <phoneticPr fontId="3"/>
  <pageMargins left="0.31496062992125984" right="0.31496062992125984" top="0.55118110236220474" bottom="0.55118110236220474" header="0.31496062992125984" footer="0.31496062992125984"/>
  <pageSetup paperSize="9" orientation="portrait" verticalDpi="36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52"/>
  <sheetViews>
    <sheetView workbookViewId="0">
      <selection activeCell="E10" sqref="E10:F10"/>
    </sheetView>
  </sheetViews>
  <sheetFormatPr defaultColWidth="2.5" defaultRowHeight="15.6" customHeight="1" x14ac:dyDescent="0.15"/>
  <cols>
    <col min="1" max="1" width="4.625" customWidth="1"/>
    <col min="2" max="2" width="15" customWidth="1"/>
    <col min="3" max="3" width="9.25" bestFit="1" customWidth="1"/>
    <col min="4" max="4" width="4" bestFit="1" customWidth="1"/>
    <col min="5" max="5" width="9.75" customWidth="1"/>
    <col min="6" max="6" width="10" customWidth="1"/>
    <col min="7" max="7" width="11.875" customWidth="1"/>
    <col min="8" max="8" width="4.125" bestFit="1" customWidth="1"/>
    <col min="9" max="9" width="5.875" customWidth="1"/>
    <col min="10" max="10" width="13.75" customWidth="1"/>
  </cols>
  <sheetData>
    <row r="1" spans="1:10" ht="18.75" x14ac:dyDescent="0.15">
      <c r="B1" s="49"/>
      <c r="C1" s="373" t="s">
        <v>91</v>
      </c>
      <c r="D1" s="374"/>
      <c r="E1" s="374"/>
      <c r="F1" s="374"/>
      <c r="G1" s="374"/>
      <c r="H1" s="375"/>
      <c r="I1" s="49"/>
      <c r="J1" s="49"/>
    </row>
    <row r="2" spans="1:10" ht="9" customHeight="1" x14ac:dyDescent="0.15"/>
    <row r="3" spans="1:10" ht="17.25" customHeight="1" x14ac:dyDescent="0.15">
      <c r="G3" s="48" t="s">
        <v>139</v>
      </c>
      <c r="H3" s="372"/>
      <c r="I3" s="372"/>
      <c r="J3" s="372"/>
    </row>
    <row r="4" spans="1:10" ht="9" customHeight="1" x14ac:dyDescent="0.15"/>
    <row r="5" spans="1:10" ht="22.5" customHeight="1" x14ac:dyDescent="0.15">
      <c r="B5" s="35" t="s">
        <v>172</v>
      </c>
      <c r="C5" s="346" t="str">
        <f ca="1">"令和"&amp;IF(YEAR(NOW())=2019,"元",YEAR(NOW())-2018)&amp;"年度 第"&amp;YEAR(NOW())-2000&amp;"回 石川県中学校新人サッカー大会 "</f>
        <v xml:space="preserve">令和5年度 第23回 石川県中学校新人サッカー大会 </v>
      </c>
      <c r="D5" s="346"/>
      <c r="E5" s="346"/>
      <c r="F5" s="346"/>
      <c r="G5" s="346"/>
      <c r="H5" s="346"/>
      <c r="I5" s="346"/>
      <c r="J5" s="346"/>
    </row>
    <row r="6" spans="1:10" ht="9" customHeight="1" x14ac:dyDescent="0.15">
      <c r="H6" s="381" t="s">
        <v>180</v>
      </c>
      <c r="I6" s="381"/>
      <c r="J6" s="381"/>
    </row>
    <row r="7" spans="1:10" ht="17.25" customHeight="1" x14ac:dyDescent="0.15">
      <c r="A7" s="342" t="s">
        <v>140</v>
      </c>
      <c r="B7" s="343"/>
      <c r="H7" s="382"/>
      <c r="I7" s="382"/>
      <c r="J7" s="382"/>
    </row>
    <row r="8" spans="1:10" ht="3.75" customHeight="1" thickBot="1" x14ac:dyDescent="0.2"/>
    <row r="9" spans="1:10" ht="17.25" customHeight="1" x14ac:dyDescent="0.15">
      <c r="A9" s="344" t="s">
        <v>141</v>
      </c>
      <c r="B9" s="345"/>
      <c r="C9" s="383" t="str">
        <f ca="1">"令和"&amp;IF(YEAR(NOW())=2019,"元",YEAR(NOW())-2018)&amp;"年11月"&amp;DAY(ﾄｰﾅﾒﾝﾄ!$A$23)&amp;"日"&amp;ﾄｰﾅﾒﾝﾄ!$A$24</f>
        <v>令和5年11月9日(月)</v>
      </c>
      <c r="D9" s="384"/>
      <c r="E9" s="384"/>
      <c r="F9" s="384"/>
      <c r="G9" s="50">
        <v>0.59375</v>
      </c>
      <c r="H9" s="391" t="s">
        <v>181</v>
      </c>
      <c r="I9" s="391"/>
      <c r="J9" s="392"/>
    </row>
    <row r="10" spans="1:10" ht="26.25" customHeight="1" x14ac:dyDescent="0.15">
      <c r="A10" s="357" t="s">
        <v>168</v>
      </c>
      <c r="B10" s="358"/>
      <c r="C10" s="1" t="s">
        <v>154</v>
      </c>
      <c r="D10" s="36" t="s">
        <v>182</v>
      </c>
      <c r="E10" s="355" t="str">
        <f>IF(ﾄｰﾅﾒﾝﾄ!N15="","",INDEX(ﾄｰﾅﾒﾝﾄ!$B$69:$BK$72,2,MATCH(ﾄｰﾅﾒﾝﾄ!N15,ﾄｰﾅﾒﾝﾄ!$B$69:$BK$69,0))&amp;CHAR(10)&amp;"サッカー部")</f>
        <v/>
      </c>
      <c r="F10" s="355"/>
      <c r="G10" s="32" t="s">
        <v>183</v>
      </c>
      <c r="H10" s="37" t="s">
        <v>184</v>
      </c>
      <c r="I10" s="355" t="str">
        <f>IF(ﾄｰﾅﾒﾝﾄ!AX15="","",INDEX(ﾄｰﾅﾒﾝﾄ!$B$69:$BK$72,2,MATCH(ﾄｰﾅﾒﾝﾄ!AX15,ﾄｰﾅﾒﾝﾄ!$B$69:$BK$69,0))&amp;CHAR(10)&amp;"サッカー部")</f>
        <v/>
      </c>
      <c r="J10" s="356"/>
    </row>
    <row r="11" spans="1:10" ht="17.25" customHeight="1" x14ac:dyDescent="0.15">
      <c r="A11" s="357"/>
      <c r="B11" s="358"/>
      <c r="C11" s="361" t="s">
        <v>167</v>
      </c>
      <c r="D11" s="361"/>
      <c r="E11" s="361"/>
      <c r="F11" s="44"/>
      <c r="G11" s="45" t="s">
        <v>158</v>
      </c>
      <c r="H11" s="354"/>
      <c r="I11" s="354"/>
      <c r="J11" s="377"/>
    </row>
    <row r="12" spans="1:10" ht="17.25" customHeight="1" x14ac:dyDescent="0.15">
      <c r="A12" s="357"/>
      <c r="B12" s="358"/>
      <c r="C12" s="361"/>
      <c r="D12" s="361"/>
      <c r="E12" s="361"/>
      <c r="F12" s="46"/>
      <c r="G12" s="47" t="s">
        <v>159</v>
      </c>
      <c r="H12" s="353"/>
      <c r="I12" s="353"/>
      <c r="J12" s="377"/>
    </row>
    <row r="13" spans="1:10" ht="17.25" customHeight="1" x14ac:dyDescent="0.15">
      <c r="A13" s="357"/>
      <c r="B13" s="358"/>
      <c r="C13" s="361"/>
      <c r="D13" s="361"/>
      <c r="E13" s="361"/>
      <c r="F13" s="44"/>
      <c r="G13" s="45" t="s">
        <v>160</v>
      </c>
      <c r="H13" s="354"/>
      <c r="I13" s="354"/>
      <c r="J13" s="377"/>
    </row>
    <row r="14" spans="1:10" ht="17.25" customHeight="1" x14ac:dyDescent="0.15">
      <c r="A14" s="357"/>
      <c r="B14" s="358"/>
      <c r="C14" s="361"/>
      <c r="D14" s="361"/>
      <c r="E14" s="361"/>
      <c r="F14" s="46"/>
      <c r="G14" s="47" t="s">
        <v>161</v>
      </c>
      <c r="H14" s="353"/>
      <c r="I14" s="353"/>
      <c r="J14" s="377"/>
    </row>
    <row r="15" spans="1:10" ht="17.25" customHeight="1" x14ac:dyDescent="0.15">
      <c r="A15" s="357"/>
      <c r="B15" s="358"/>
      <c r="C15" s="361"/>
      <c r="D15" s="361"/>
      <c r="E15" s="361"/>
      <c r="F15" s="44"/>
      <c r="G15" s="45" t="s">
        <v>162</v>
      </c>
      <c r="H15" s="354"/>
      <c r="I15" s="354"/>
      <c r="J15" s="377"/>
    </row>
    <row r="16" spans="1:10" ht="17.25" customHeight="1" x14ac:dyDescent="0.15">
      <c r="A16" s="357"/>
      <c r="B16" s="358"/>
      <c r="C16" s="361"/>
      <c r="D16" s="361"/>
      <c r="E16" s="361"/>
      <c r="F16" s="46"/>
      <c r="G16" s="47" t="s">
        <v>163</v>
      </c>
      <c r="H16" s="353"/>
      <c r="I16" s="353"/>
      <c r="J16" s="377"/>
    </row>
    <row r="17" spans="1:10" ht="17.25" customHeight="1" x14ac:dyDescent="0.15">
      <c r="A17" s="359"/>
      <c r="B17" s="360"/>
      <c r="C17" s="362"/>
      <c r="D17" s="362"/>
      <c r="E17" s="362"/>
      <c r="F17" s="39"/>
      <c r="G17" s="38" t="s">
        <v>174</v>
      </c>
      <c r="H17" s="362"/>
      <c r="I17" s="362"/>
      <c r="J17" s="378"/>
    </row>
    <row r="18" spans="1:10" ht="17.25" customHeight="1" thickBot="1" x14ac:dyDescent="0.2">
      <c r="A18" s="351" t="s">
        <v>142</v>
      </c>
      <c r="B18" s="352"/>
      <c r="C18" s="385" t="str">
        <f>プロ表紙!B38</f>
        <v>松任総合運動公園陸上競技場</v>
      </c>
      <c r="D18" s="386"/>
      <c r="E18" s="386"/>
      <c r="F18" s="386"/>
      <c r="G18" s="386"/>
      <c r="H18" s="386"/>
      <c r="I18" s="386"/>
      <c r="J18" s="387"/>
    </row>
    <row r="19" spans="1:10" ht="9" customHeight="1" x14ac:dyDescent="0.15"/>
    <row r="20" spans="1:10" ht="17.25" customHeight="1" x14ac:dyDescent="0.15">
      <c r="A20" s="342" t="s">
        <v>143</v>
      </c>
      <c r="B20" s="343"/>
    </row>
    <row r="21" spans="1:10" ht="3.75" customHeight="1" thickBot="1" x14ac:dyDescent="0.2"/>
    <row r="22" spans="1:10" ht="17.25" customHeight="1" x14ac:dyDescent="0.15">
      <c r="A22" s="349" t="s">
        <v>144</v>
      </c>
      <c r="B22" s="350"/>
      <c r="C22" s="379" t="s">
        <v>170</v>
      </c>
      <c r="D22" s="379"/>
      <c r="E22" s="379"/>
      <c r="F22" s="379"/>
      <c r="G22" s="379"/>
      <c r="H22" s="379"/>
      <c r="I22" s="379"/>
      <c r="J22" s="380"/>
    </row>
    <row r="23" spans="1:10" ht="17.25" customHeight="1" x14ac:dyDescent="0.15">
      <c r="A23" s="347" t="s">
        <v>145</v>
      </c>
      <c r="B23" s="348"/>
      <c r="C23" s="369" t="s">
        <v>170</v>
      </c>
      <c r="D23" s="370"/>
      <c r="E23" s="370"/>
      <c r="F23" s="370"/>
      <c r="G23" s="370"/>
      <c r="H23" s="370"/>
      <c r="I23" s="370"/>
      <c r="J23" s="371"/>
    </row>
    <row r="24" spans="1:10" ht="17.25" customHeight="1" x14ac:dyDescent="0.15">
      <c r="A24" s="347" t="s">
        <v>153</v>
      </c>
      <c r="B24" s="348"/>
      <c r="C24" s="369" t="s">
        <v>170</v>
      </c>
      <c r="D24" s="370"/>
      <c r="E24" s="370"/>
      <c r="F24" s="370"/>
      <c r="G24" s="370"/>
      <c r="H24" s="370"/>
      <c r="I24" s="370"/>
      <c r="J24" s="371"/>
    </row>
    <row r="25" spans="1:10" ht="17.25" customHeight="1" x14ac:dyDescent="0.15">
      <c r="A25" s="347" t="s">
        <v>146</v>
      </c>
      <c r="B25" s="348"/>
      <c r="C25" s="369" t="s">
        <v>170</v>
      </c>
      <c r="D25" s="370"/>
      <c r="E25" s="370"/>
      <c r="F25" s="370"/>
      <c r="G25" s="370"/>
      <c r="H25" s="370"/>
      <c r="I25" s="370"/>
      <c r="J25" s="371"/>
    </row>
    <row r="26" spans="1:10" ht="17.25" customHeight="1" x14ac:dyDescent="0.15">
      <c r="A26" s="347" t="s">
        <v>175</v>
      </c>
      <c r="B26" s="348"/>
      <c r="C26" s="369" t="s">
        <v>170</v>
      </c>
      <c r="D26" s="370"/>
      <c r="E26" s="370"/>
      <c r="F26" s="370"/>
      <c r="G26" s="370"/>
      <c r="H26" s="370"/>
      <c r="I26" s="370"/>
      <c r="J26" s="371"/>
    </row>
    <row r="27" spans="1:10" ht="17.25" customHeight="1" x14ac:dyDescent="0.15">
      <c r="A27" s="347" t="s">
        <v>148</v>
      </c>
      <c r="B27" s="348"/>
      <c r="C27" s="42" t="s">
        <v>176</v>
      </c>
      <c r="D27" s="376" t="str">
        <f>IF(E10="","",E10)</f>
        <v/>
      </c>
      <c r="E27" s="376"/>
      <c r="F27" s="376"/>
      <c r="G27" s="376"/>
      <c r="H27" s="33" t="s">
        <v>177</v>
      </c>
      <c r="I27" s="33"/>
      <c r="J27" s="40"/>
    </row>
    <row r="28" spans="1:10" ht="17.25" customHeight="1" x14ac:dyDescent="0.15">
      <c r="A28" s="347"/>
      <c r="B28" s="348"/>
      <c r="C28" s="366" t="s">
        <v>170</v>
      </c>
      <c r="D28" s="367"/>
      <c r="E28" s="367"/>
      <c r="F28" s="367"/>
      <c r="G28" s="367"/>
      <c r="H28" s="367"/>
      <c r="I28" s="367"/>
      <c r="J28" s="368"/>
    </row>
    <row r="29" spans="1:10" ht="17.25" customHeight="1" x14ac:dyDescent="0.15">
      <c r="A29" s="347"/>
      <c r="B29" s="348"/>
      <c r="C29" s="43" t="s">
        <v>178</v>
      </c>
      <c r="D29" s="367" t="str">
        <f>IF(I10="","",I10)</f>
        <v/>
      </c>
      <c r="E29" s="367"/>
      <c r="F29" s="367"/>
      <c r="G29" s="367"/>
      <c r="H29" t="s">
        <v>177</v>
      </c>
      <c r="J29" s="41"/>
    </row>
    <row r="30" spans="1:10" ht="17.25" customHeight="1" thickBot="1" x14ac:dyDescent="0.2">
      <c r="A30" s="388"/>
      <c r="B30" s="389"/>
      <c r="C30" s="363" t="s">
        <v>170</v>
      </c>
      <c r="D30" s="364"/>
      <c r="E30" s="364"/>
      <c r="F30" s="364"/>
      <c r="G30" s="364"/>
      <c r="H30" s="364"/>
      <c r="I30" s="364"/>
      <c r="J30" s="365"/>
    </row>
    <row r="31" spans="1:10" ht="9" customHeight="1" x14ac:dyDescent="0.15"/>
    <row r="32" spans="1:10" ht="17.25" customHeight="1" x14ac:dyDescent="0.15">
      <c r="A32" t="s">
        <v>149</v>
      </c>
    </row>
    <row r="33" spans="1:10" ht="18.75" customHeight="1" x14ac:dyDescent="0.15">
      <c r="B33" s="372"/>
      <c r="C33" s="372"/>
      <c r="D33" s="372"/>
      <c r="E33" s="372"/>
      <c r="F33" s="372"/>
      <c r="G33" s="372"/>
      <c r="H33" s="372"/>
      <c r="I33" s="372"/>
      <c r="J33" s="372"/>
    </row>
    <row r="34" spans="1:10" ht="18.75" customHeight="1" x14ac:dyDescent="0.15">
      <c r="B34" s="372"/>
      <c r="C34" s="372"/>
      <c r="D34" s="372"/>
      <c r="E34" s="372"/>
      <c r="F34" s="372"/>
      <c r="G34" s="372"/>
      <c r="H34" s="372"/>
      <c r="I34" s="372"/>
      <c r="J34" s="372"/>
    </row>
    <row r="35" spans="1:10" ht="18.75" customHeight="1" x14ac:dyDescent="0.15">
      <c r="B35" s="372"/>
      <c r="C35" s="372"/>
      <c r="D35" s="372"/>
      <c r="E35" s="372"/>
      <c r="F35" s="372"/>
      <c r="G35" s="372"/>
      <c r="H35" s="372"/>
      <c r="I35" s="372"/>
      <c r="J35" s="372"/>
    </row>
    <row r="36" spans="1:10" ht="18.75" customHeight="1" x14ac:dyDescent="0.15">
      <c r="B36" s="372"/>
      <c r="C36" s="372"/>
      <c r="D36" s="372"/>
      <c r="E36" s="372"/>
      <c r="F36" s="372"/>
      <c r="G36" s="372"/>
      <c r="H36" s="372"/>
      <c r="I36" s="372"/>
      <c r="J36" s="372"/>
    </row>
    <row r="37" spans="1:10" ht="18.75" customHeight="1" x14ac:dyDescent="0.15">
      <c r="B37" s="372"/>
      <c r="C37" s="372"/>
      <c r="D37" s="372"/>
      <c r="E37" s="372"/>
      <c r="F37" s="372"/>
      <c r="G37" s="372"/>
      <c r="H37" s="372"/>
      <c r="I37" s="372"/>
      <c r="J37" s="372"/>
    </row>
    <row r="38" spans="1:10" ht="18.75" customHeight="1" x14ac:dyDescent="0.15">
      <c r="B38" s="372"/>
      <c r="C38" s="372"/>
      <c r="D38" s="372"/>
      <c r="E38" s="372"/>
      <c r="F38" s="372"/>
      <c r="G38" s="372"/>
      <c r="H38" s="372"/>
      <c r="I38" s="372"/>
      <c r="J38" s="372"/>
    </row>
    <row r="39" spans="1:10" ht="9" customHeight="1" x14ac:dyDescent="0.15"/>
    <row r="40" spans="1:10" ht="17.25" customHeight="1" x14ac:dyDescent="0.15">
      <c r="A40" s="342" t="s">
        <v>150</v>
      </c>
      <c r="B40" s="343"/>
    </row>
    <row r="41" spans="1:10" ht="3.75" customHeight="1" x14ac:dyDescent="0.15"/>
    <row r="42" spans="1:10" ht="17.25" customHeight="1" x14ac:dyDescent="0.15">
      <c r="A42" t="s">
        <v>173</v>
      </c>
    </row>
    <row r="43" spans="1:10" ht="18.75" customHeight="1" x14ac:dyDescent="0.15">
      <c r="B43" s="372"/>
      <c r="C43" s="372"/>
      <c r="D43" s="372"/>
      <c r="E43" s="372"/>
      <c r="F43" s="372"/>
      <c r="G43" s="372"/>
      <c r="H43" s="372"/>
      <c r="I43" s="372"/>
      <c r="J43" s="372"/>
    </row>
    <row r="44" spans="1:10" ht="18.75" customHeight="1" x14ac:dyDescent="0.15">
      <c r="B44" s="372"/>
      <c r="C44" s="372"/>
      <c r="D44" s="372"/>
      <c r="E44" s="372"/>
      <c r="F44" s="372"/>
      <c r="G44" s="372"/>
      <c r="H44" s="372"/>
      <c r="I44" s="372"/>
      <c r="J44" s="372"/>
    </row>
    <row r="45" spans="1:10" ht="18.75" customHeight="1" x14ac:dyDescent="0.15">
      <c r="B45" s="372"/>
      <c r="C45" s="372"/>
      <c r="D45" s="372"/>
      <c r="E45" s="372"/>
      <c r="F45" s="372"/>
      <c r="G45" s="372"/>
      <c r="H45" s="372"/>
      <c r="I45" s="372"/>
      <c r="J45" s="372"/>
    </row>
    <row r="46" spans="1:10" ht="18.75" customHeight="1" x14ac:dyDescent="0.15">
      <c r="B46" s="372"/>
      <c r="C46" s="372"/>
      <c r="D46" s="372"/>
      <c r="E46" s="372"/>
      <c r="F46" s="372"/>
      <c r="G46" s="372"/>
      <c r="H46" s="372"/>
      <c r="I46" s="372"/>
      <c r="J46" s="372"/>
    </row>
    <row r="47" spans="1:10" ht="18.75" customHeight="1" x14ac:dyDescent="0.15">
      <c r="B47" s="372"/>
      <c r="C47" s="372"/>
      <c r="D47" s="372"/>
      <c r="E47" s="372"/>
      <c r="F47" s="372"/>
      <c r="G47" s="372"/>
      <c r="H47" s="372"/>
      <c r="I47" s="372"/>
      <c r="J47" s="372"/>
    </row>
    <row r="48" spans="1:10" ht="18.75" customHeight="1" x14ac:dyDescent="0.15">
      <c r="B48" s="372"/>
      <c r="C48" s="372"/>
      <c r="D48" s="372"/>
      <c r="E48" s="372"/>
      <c r="F48" s="372"/>
      <c r="G48" s="372"/>
      <c r="H48" s="372"/>
      <c r="I48" s="372"/>
      <c r="J48" s="372"/>
    </row>
    <row r="49" spans="2:9" ht="9" customHeight="1" x14ac:dyDescent="0.15"/>
    <row r="50" spans="2:9" ht="15.6" customHeight="1" x14ac:dyDescent="0.15">
      <c r="B50" s="34" t="s">
        <v>151</v>
      </c>
    </row>
    <row r="51" spans="2:9" ht="9" customHeight="1" x14ac:dyDescent="0.15"/>
    <row r="52" spans="2:9" ht="15.6" customHeight="1" x14ac:dyDescent="0.15">
      <c r="C52" s="369" t="s">
        <v>152</v>
      </c>
      <c r="D52" s="370"/>
      <c r="E52" s="370"/>
      <c r="F52" s="370"/>
      <c r="G52" s="370"/>
      <c r="H52" s="370"/>
      <c r="I52" s="390"/>
    </row>
  </sheetData>
  <mergeCells count="53">
    <mergeCell ref="A26:B26"/>
    <mergeCell ref="A25:B25"/>
    <mergeCell ref="A10:B17"/>
    <mergeCell ref="C11:C17"/>
    <mergeCell ref="A20:B20"/>
    <mergeCell ref="C25:J25"/>
    <mergeCell ref="C24:J24"/>
    <mergeCell ref="A9:B9"/>
    <mergeCell ref="C5:J5"/>
    <mergeCell ref="A24:B24"/>
    <mergeCell ref="A23:B23"/>
    <mergeCell ref="A22:B22"/>
    <mergeCell ref="A18:B18"/>
    <mergeCell ref="H16:I16"/>
    <mergeCell ref="H15:I15"/>
    <mergeCell ref="H14:I14"/>
    <mergeCell ref="H13:I13"/>
    <mergeCell ref="H12:I12"/>
    <mergeCell ref="H11:I11"/>
    <mergeCell ref="I10:J10"/>
    <mergeCell ref="C23:J23"/>
    <mergeCell ref="B33:J33"/>
    <mergeCell ref="C9:F9"/>
    <mergeCell ref="C18:J18"/>
    <mergeCell ref="C1:H1"/>
    <mergeCell ref="D29:G29"/>
    <mergeCell ref="D27:G27"/>
    <mergeCell ref="H3:J3"/>
    <mergeCell ref="J11:J17"/>
    <mergeCell ref="D11:E17"/>
    <mergeCell ref="E10:F10"/>
    <mergeCell ref="H17:I17"/>
    <mergeCell ref="A27:B30"/>
    <mergeCell ref="C22:J22"/>
    <mergeCell ref="C30:J30"/>
    <mergeCell ref="C28:J28"/>
    <mergeCell ref="C26:J26"/>
    <mergeCell ref="C52:I52"/>
    <mergeCell ref="H6:J7"/>
    <mergeCell ref="H9:J9"/>
    <mergeCell ref="B43:J43"/>
    <mergeCell ref="B44:J44"/>
    <mergeCell ref="B45:J45"/>
    <mergeCell ref="B46:J46"/>
    <mergeCell ref="B47:J47"/>
    <mergeCell ref="B48:J48"/>
    <mergeCell ref="A40:B40"/>
    <mergeCell ref="A7:B7"/>
    <mergeCell ref="B38:J38"/>
    <mergeCell ref="B37:J37"/>
    <mergeCell ref="B36:J36"/>
    <mergeCell ref="B35:J35"/>
    <mergeCell ref="B34:J34"/>
  </mergeCells>
  <phoneticPr fontId="3"/>
  <printOptions horizontalCentered="1" verticalCentered="1"/>
  <pageMargins left="0.59055118110236227" right="0.59055118110236227" top="0.39370078740157483" bottom="0.39370078740157483" header="0.31496062992125984" footer="0.31496062992125984"/>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38"/>
  <sheetViews>
    <sheetView topLeftCell="A22" workbookViewId="0">
      <selection activeCell="D29" sqref="D29:F29"/>
    </sheetView>
  </sheetViews>
  <sheetFormatPr defaultRowHeight="13.5" x14ac:dyDescent="0.15"/>
  <cols>
    <col min="1" max="10" width="9.375" customWidth="1"/>
  </cols>
  <sheetData>
    <row r="1" spans="1:10" ht="24" x14ac:dyDescent="0.15">
      <c r="A1" s="290" t="str">
        <f ca="1">"令和"&amp;IF(YEAR(NOW())=2019,"元",YEAR(NOW())-2018)&amp;"年度 第"&amp;YEAR(NOW())-2000&amp;"回 石川県中学校新人サッカー大会 "</f>
        <v xml:space="preserve">令和5年度 第23回 石川県中学校新人サッカー大会 </v>
      </c>
      <c r="B1" s="290"/>
      <c r="C1" s="290"/>
      <c r="D1" s="290"/>
      <c r="E1" s="290"/>
      <c r="F1" s="290"/>
      <c r="G1" s="290"/>
      <c r="H1" s="290"/>
      <c r="I1" s="290"/>
      <c r="J1" s="290"/>
    </row>
    <row r="2" spans="1:10" ht="23.45" customHeight="1" x14ac:dyDescent="0.15">
      <c r="A2" s="290" t="s">
        <v>410</v>
      </c>
      <c r="B2" s="290"/>
      <c r="C2" s="290"/>
      <c r="D2" s="290"/>
      <c r="E2" s="290"/>
      <c r="F2" s="290"/>
      <c r="G2" s="290"/>
      <c r="H2" s="290"/>
      <c r="I2" s="290"/>
      <c r="J2" s="290"/>
    </row>
    <row r="3" spans="1:10" ht="14.25" thickBot="1" x14ac:dyDescent="0.2"/>
    <row r="4" spans="1:10" ht="35.1" customHeight="1" thickBot="1" x14ac:dyDescent="0.2">
      <c r="B4" s="393" t="str">
        <f>IF(ﾄｰﾅﾒﾝﾄ!N15="","",INDEX(ﾄｰﾅﾒﾝﾄ!$B$69:$BK$72,2,MATCH(ﾄｰﾅﾒﾝﾄ!N15,ﾄｰﾅﾒﾝﾄ!$B$69:$BK$69,0))&amp;CHAR(10)&amp;"サッカー部")</f>
        <v/>
      </c>
      <c r="C4" s="394"/>
      <c r="D4" s="395"/>
      <c r="E4" s="162" t="s">
        <v>378</v>
      </c>
      <c r="F4" s="393" t="str">
        <f>IF(ﾄｰﾅﾒﾝﾄ!AX15="","",INDEX(ﾄｰﾅﾒﾝﾄ!$B$69:$BK$72,2,MATCH(ﾄｰﾅﾒﾝﾄ!AX15,ﾄｰﾅﾒﾝﾄ!$B$69:$BK$69,0))&amp;CHAR(10)&amp;"サッカー部")</f>
        <v/>
      </c>
      <c r="G4" s="394"/>
      <c r="H4" s="395"/>
    </row>
    <row r="6" spans="1:10" ht="18.95" customHeight="1" x14ac:dyDescent="0.15">
      <c r="B6" s="165" t="s">
        <v>376</v>
      </c>
      <c r="C6" s="299" t="str">
        <f ca="1">"令和"&amp;IF(YEAR(NOW())=2019,"元",YEAR(NOW())-2018)&amp;"年11月"&amp;DAY(ﾄｰﾅﾒﾝﾄ!$A$23)&amp;"日"&amp;ﾄｰﾅﾒﾝﾄ!$A$24</f>
        <v>令和5年11月9日(月)</v>
      </c>
      <c r="D6" s="299"/>
      <c r="E6" s="299"/>
      <c r="F6" s="163" t="s">
        <v>411</v>
      </c>
    </row>
    <row r="7" spans="1:10" ht="18.75" x14ac:dyDescent="0.15">
      <c r="B7" s="165" t="s">
        <v>377</v>
      </c>
      <c r="C7" s="300" t="str">
        <f>プロ表紙!B38</f>
        <v>松任総合運動公園陸上競技場</v>
      </c>
      <c r="D7" s="300"/>
      <c r="E7" s="300"/>
      <c r="F7" s="300"/>
      <c r="G7" s="300"/>
      <c r="H7" s="300"/>
      <c r="I7" s="300"/>
      <c r="J7" s="300"/>
    </row>
    <row r="8" spans="1:10" ht="5.0999999999999996" customHeight="1" x14ac:dyDescent="0.15"/>
    <row r="9" spans="1:10" ht="18" thickBot="1" x14ac:dyDescent="0.2">
      <c r="A9" s="163" t="s">
        <v>379</v>
      </c>
    </row>
    <row r="10" spans="1:10" ht="14.25" x14ac:dyDescent="0.15">
      <c r="A10" s="294" t="s">
        <v>380</v>
      </c>
      <c r="B10" s="295"/>
      <c r="C10" s="295"/>
      <c r="D10" s="295"/>
      <c r="E10" s="295" t="s">
        <v>381</v>
      </c>
      <c r="F10" s="295"/>
      <c r="G10" s="295"/>
      <c r="H10" s="295"/>
      <c r="I10" s="295"/>
      <c r="J10" s="296"/>
    </row>
    <row r="11" spans="1:10" ht="21" customHeight="1" x14ac:dyDescent="0.15">
      <c r="A11" s="297">
        <v>0.53125</v>
      </c>
      <c r="B11" s="298"/>
      <c r="C11" s="168">
        <v>90</v>
      </c>
      <c r="D11" s="166" t="s">
        <v>382</v>
      </c>
      <c r="E11" s="288" t="s">
        <v>383</v>
      </c>
      <c r="F11" s="288"/>
      <c r="G11" s="288"/>
      <c r="H11" s="288"/>
      <c r="I11" s="288"/>
      <c r="J11" s="289"/>
    </row>
    <row r="12" spans="1:10" ht="34.5" customHeight="1" x14ac:dyDescent="0.15">
      <c r="A12" s="297">
        <v>0.54513888888888895</v>
      </c>
      <c r="B12" s="298"/>
      <c r="C12" s="168">
        <v>70</v>
      </c>
      <c r="D12" s="166" t="s">
        <v>382</v>
      </c>
      <c r="E12" s="287" t="s">
        <v>391</v>
      </c>
      <c r="F12" s="288"/>
      <c r="G12" s="288"/>
      <c r="H12" s="288"/>
      <c r="I12" s="288"/>
      <c r="J12" s="289"/>
    </row>
    <row r="13" spans="1:10" ht="34.5" customHeight="1" x14ac:dyDescent="0.15">
      <c r="A13" s="297">
        <v>0.55208333333333337</v>
      </c>
      <c r="B13" s="298"/>
      <c r="C13" s="168">
        <v>60</v>
      </c>
      <c r="D13" s="166" t="s">
        <v>382</v>
      </c>
      <c r="E13" s="287" t="s">
        <v>392</v>
      </c>
      <c r="F13" s="288"/>
      <c r="G13" s="288"/>
      <c r="H13" s="288"/>
      <c r="I13" s="288"/>
      <c r="J13" s="289"/>
    </row>
    <row r="14" spans="1:10" ht="21" customHeight="1" x14ac:dyDescent="0.15">
      <c r="A14" s="297">
        <v>0.55208333333333337</v>
      </c>
      <c r="B14" s="298"/>
      <c r="C14" s="168">
        <v>60</v>
      </c>
      <c r="D14" s="166" t="s">
        <v>382</v>
      </c>
      <c r="E14" s="288" t="s">
        <v>384</v>
      </c>
      <c r="F14" s="288"/>
      <c r="G14" s="288"/>
      <c r="H14" s="288"/>
      <c r="I14" s="288"/>
      <c r="J14" s="289"/>
    </row>
    <row r="15" spans="1:10" ht="21" customHeight="1" x14ac:dyDescent="0.15">
      <c r="A15" s="297">
        <v>0.58680555555555558</v>
      </c>
      <c r="B15" s="298"/>
      <c r="C15" s="168">
        <v>10</v>
      </c>
      <c r="D15" s="166" t="s">
        <v>382</v>
      </c>
      <c r="E15" s="288" t="s">
        <v>385</v>
      </c>
      <c r="F15" s="288"/>
      <c r="G15" s="288"/>
      <c r="H15" s="288"/>
      <c r="I15" s="288"/>
      <c r="J15" s="289"/>
    </row>
    <row r="16" spans="1:10" ht="21" customHeight="1" x14ac:dyDescent="0.15">
      <c r="A16" s="301">
        <v>0.59027777777777779</v>
      </c>
      <c r="B16" s="302"/>
      <c r="C16" s="168">
        <v>5</v>
      </c>
      <c r="D16" s="166" t="s">
        <v>382</v>
      </c>
      <c r="E16" s="288" t="s">
        <v>386</v>
      </c>
      <c r="F16" s="288"/>
      <c r="G16" s="288"/>
      <c r="H16" s="288"/>
      <c r="I16" s="288"/>
      <c r="J16" s="289"/>
    </row>
    <row r="17" spans="1:10" ht="21" customHeight="1" x14ac:dyDescent="0.15">
      <c r="A17" s="306">
        <v>0.59166666666666667</v>
      </c>
      <c r="B17" s="307"/>
      <c r="C17" s="168">
        <v>3</v>
      </c>
      <c r="D17" s="166" t="s">
        <v>382</v>
      </c>
      <c r="E17" s="303" t="s">
        <v>416</v>
      </c>
      <c r="F17" s="304"/>
      <c r="G17" s="304"/>
      <c r="H17" s="304"/>
      <c r="I17" s="304"/>
      <c r="J17" s="305"/>
    </row>
    <row r="18" spans="1:10" ht="21" customHeight="1" x14ac:dyDescent="0.15">
      <c r="A18" s="297">
        <v>0.59375</v>
      </c>
      <c r="B18" s="298"/>
      <c r="C18" s="167"/>
      <c r="D18" s="166"/>
      <c r="E18" s="288" t="s">
        <v>387</v>
      </c>
      <c r="F18" s="288"/>
      <c r="G18" s="288"/>
      <c r="H18" s="288"/>
      <c r="I18" s="288"/>
      <c r="J18" s="289"/>
    </row>
    <row r="19" spans="1:10" ht="21" customHeight="1" x14ac:dyDescent="0.15">
      <c r="A19" s="297">
        <v>0.61458333333333337</v>
      </c>
      <c r="B19" s="298"/>
      <c r="C19" s="313" t="s">
        <v>388</v>
      </c>
      <c r="D19" s="314"/>
      <c r="E19" s="288" t="s">
        <v>389</v>
      </c>
      <c r="F19" s="288"/>
      <c r="G19" s="288"/>
      <c r="H19" s="288"/>
      <c r="I19" s="288"/>
      <c r="J19" s="289"/>
    </row>
    <row r="20" spans="1:10" ht="21" customHeight="1" x14ac:dyDescent="0.15">
      <c r="A20" s="297">
        <v>0.62152777777777779</v>
      </c>
      <c r="B20" s="298"/>
      <c r="C20" s="313" t="s">
        <v>388</v>
      </c>
      <c r="D20" s="314"/>
      <c r="E20" s="288" t="s">
        <v>390</v>
      </c>
      <c r="F20" s="288"/>
      <c r="G20" s="288"/>
      <c r="H20" s="288"/>
      <c r="I20" s="288"/>
      <c r="J20" s="289"/>
    </row>
    <row r="21" spans="1:10" ht="57" customHeight="1" thickBot="1" x14ac:dyDescent="0.2">
      <c r="A21" s="308">
        <v>0.64236111111111105</v>
      </c>
      <c r="B21" s="309"/>
      <c r="C21" s="315" t="s">
        <v>388</v>
      </c>
      <c r="D21" s="316"/>
      <c r="E21" s="310" t="s">
        <v>417</v>
      </c>
      <c r="F21" s="311"/>
      <c r="G21" s="311"/>
      <c r="H21" s="311"/>
      <c r="I21" s="311"/>
      <c r="J21" s="312"/>
    </row>
    <row r="22" spans="1:10" ht="20.100000000000001" customHeight="1" x14ac:dyDescent="0.15">
      <c r="A22" s="164" t="s">
        <v>393</v>
      </c>
      <c r="B22" s="164"/>
      <c r="C22" s="164"/>
      <c r="D22" s="164"/>
      <c r="E22" s="164"/>
      <c r="F22" s="164"/>
      <c r="G22" s="164"/>
      <c r="H22" s="164"/>
      <c r="I22" s="164"/>
      <c r="J22" s="164"/>
    </row>
    <row r="23" spans="1:10" ht="18.95" customHeight="1" x14ac:dyDescent="0.15">
      <c r="A23" s="164" t="s">
        <v>394</v>
      </c>
      <c r="B23" s="164"/>
      <c r="C23" s="164"/>
      <c r="D23" s="164"/>
      <c r="E23" s="164"/>
      <c r="F23" s="164"/>
      <c r="G23" s="164"/>
      <c r="H23" s="164"/>
      <c r="I23" s="164"/>
      <c r="J23" s="164"/>
    </row>
    <row r="24" spans="1:10" ht="18.95" customHeight="1" x14ac:dyDescent="0.15">
      <c r="A24" s="164" t="s">
        <v>395</v>
      </c>
      <c r="B24" s="164"/>
      <c r="C24" s="164"/>
      <c r="D24" s="164"/>
      <c r="E24" s="164"/>
      <c r="F24" s="164"/>
      <c r="G24" s="164"/>
      <c r="H24" s="164"/>
      <c r="I24" s="164"/>
      <c r="J24" s="164"/>
    </row>
    <row r="25" spans="1:10" ht="18.95" customHeight="1" x14ac:dyDescent="0.15">
      <c r="A25" s="164" t="s">
        <v>396</v>
      </c>
      <c r="B25" s="164"/>
      <c r="C25" s="164"/>
      <c r="D25" s="164"/>
      <c r="E25" s="164"/>
      <c r="F25" s="164"/>
      <c r="G25" s="164"/>
      <c r="H25" s="164"/>
      <c r="I25" s="164"/>
      <c r="J25" s="164"/>
    </row>
    <row r="26" spans="1:10" ht="6" customHeight="1" x14ac:dyDescent="0.15">
      <c r="A26" s="164"/>
      <c r="B26" s="164"/>
      <c r="C26" s="164"/>
      <c r="D26" s="164"/>
      <c r="E26" s="164"/>
      <c r="F26" s="164"/>
      <c r="G26" s="164"/>
      <c r="H26" s="164"/>
      <c r="I26" s="164"/>
      <c r="J26" s="164"/>
    </row>
    <row r="27" spans="1:10" ht="18" thickBot="1" x14ac:dyDescent="0.2">
      <c r="A27" s="163" t="s">
        <v>397</v>
      </c>
      <c r="B27" s="164"/>
      <c r="C27" s="164"/>
      <c r="D27" s="164"/>
      <c r="E27" s="164"/>
      <c r="F27" s="164"/>
      <c r="G27" s="164"/>
      <c r="H27" s="164"/>
      <c r="I27" s="164"/>
      <c r="J27" s="164"/>
    </row>
    <row r="28" spans="1:10" ht="15" thickBot="1" x14ac:dyDescent="0.2">
      <c r="A28" s="323" t="s">
        <v>154</v>
      </c>
      <c r="B28" s="324"/>
      <c r="C28" s="325"/>
      <c r="D28" s="326" t="s">
        <v>400</v>
      </c>
      <c r="E28" s="324"/>
      <c r="F28" s="327"/>
      <c r="G28" s="323" t="s">
        <v>399</v>
      </c>
      <c r="H28" s="324"/>
      <c r="I28" s="325"/>
      <c r="J28" s="171" t="s">
        <v>398</v>
      </c>
    </row>
    <row r="29" spans="1:10" ht="34.5" customHeight="1" x14ac:dyDescent="0.15">
      <c r="A29" s="396" t="str">
        <f>IF(ﾄｰﾅﾒﾝﾄ!N15="","",INDEX(ﾄｰﾅﾒﾝﾄ!$B$69:$BK$72,2,MATCH(ﾄｰﾅﾒﾝﾄ!N15,ﾄｰﾅﾒﾝﾄ!$B$69:$BK$69,0))&amp;CHAR(10)&amp;"サッカー部")</f>
        <v/>
      </c>
      <c r="B29" s="397"/>
      <c r="C29" s="398"/>
      <c r="D29" s="328" t="s">
        <v>439</v>
      </c>
      <c r="E29" s="329"/>
      <c r="F29" s="330"/>
      <c r="G29" s="328" t="s">
        <v>508</v>
      </c>
      <c r="H29" s="329"/>
      <c r="I29" s="330"/>
      <c r="J29" s="169"/>
    </row>
    <row r="30" spans="1:10" ht="34.5" customHeight="1" thickBot="1" x14ac:dyDescent="0.2">
      <c r="A30" s="403" t="str">
        <f>IF(ﾄｰﾅﾒﾝﾄ!AX15="","",INDEX(ﾄｰﾅﾒﾝﾄ!$B$69:$BK$72,2,MATCH(ﾄｰﾅﾒﾝﾄ!AX15,ﾄｰﾅﾒﾝﾄ!$B$69:$BK$69,0))&amp;CHAR(10)&amp;"サッカー部")</f>
        <v/>
      </c>
      <c r="B30" s="404"/>
      <c r="C30" s="405"/>
      <c r="D30" s="408" t="s">
        <v>511</v>
      </c>
      <c r="E30" s="409"/>
      <c r="F30" s="409"/>
      <c r="G30" s="408" t="s">
        <v>512</v>
      </c>
      <c r="H30" s="409"/>
      <c r="I30" s="410"/>
      <c r="J30" s="170"/>
    </row>
    <row r="31" spans="1:10" ht="6" customHeight="1" x14ac:dyDescent="0.15">
      <c r="A31" s="164"/>
      <c r="B31" s="164"/>
      <c r="C31" s="164"/>
      <c r="D31" s="164"/>
      <c r="E31" s="164"/>
      <c r="F31" s="164"/>
      <c r="G31" s="164"/>
      <c r="H31" s="164"/>
      <c r="I31" s="164"/>
      <c r="J31" s="164"/>
    </row>
    <row r="32" spans="1:10" ht="18" thickBot="1" x14ac:dyDescent="0.2">
      <c r="A32" s="163" t="s">
        <v>401</v>
      </c>
      <c r="B32" s="164"/>
      <c r="C32" s="164"/>
      <c r="D32" s="164"/>
      <c r="E32" s="164"/>
      <c r="F32" s="164"/>
      <c r="G32" s="164"/>
      <c r="H32" s="164"/>
      <c r="I32" s="164"/>
      <c r="J32" s="164"/>
    </row>
    <row r="33" spans="1:10" ht="20.45" customHeight="1" x14ac:dyDescent="0.15">
      <c r="A33" s="340" t="s">
        <v>402</v>
      </c>
      <c r="B33" s="341"/>
      <c r="C33" s="336" t="s">
        <v>352</v>
      </c>
      <c r="D33" s="337"/>
      <c r="E33" s="164"/>
      <c r="F33" s="164"/>
      <c r="G33" s="164"/>
      <c r="H33" s="164"/>
      <c r="I33" s="164"/>
      <c r="J33" s="164"/>
    </row>
    <row r="34" spans="1:10" ht="20.45" customHeight="1" x14ac:dyDescent="0.15">
      <c r="A34" s="334" t="s">
        <v>405</v>
      </c>
      <c r="B34" s="313"/>
      <c r="C34" s="334" t="s">
        <v>413</v>
      </c>
      <c r="D34" s="338"/>
      <c r="E34" s="164"/>
      <c r="F34" s="164"/>
      <c r="G34" s="164"/>
      <c r="H34" s="164"/>
      <c r="I34" s="164"/>
      <c r="J34" s="164"/>
    </row>
    <row r="35" spans="1:10" ht="20.45" customHeight="1" x14ac:dyDescent="0.15">
      <c r="A35" s="334" t="s">
        <v>406</v>
      </c>
      <c r="B35" s="313"/>
      <c r="C35" s="334" t="s">
        <v>502</v>
      </c>
      <c r="D35" s="338"/>
      <c r="E35" s="164"/>
      <c r="F35" s="164"/>
      <c r="G35" s="164"/>
      <c r="H35" s="164"/>
      <c r="I35" s="164"/>
      <c r="J35" s="164"/>
    </row>
    <row r="36" spans="1:10" ht="20.45" customHeight="1" x14ac:dyDescent="0.15">
      <c r="A36" s="334" t="s">
        <v>407</v>
      </c>
      <c r="B36" s="313"/>
      <c r="C36" s="334" t="s">
        <v>505</v>
      </c>
      <c r="D36" s="338"/>
      <c r="E36" s="164"/>
      <c r="F36" s="164"/>
      <c r="G36" s="164"/>
      <c r="H36" s="164"/>
      <c r="I36" s="164"/>
      <c r="J36" s="164"/>
    </row>
    <row r="37" spans="1:10" ht="20.45" customHeight="1" x14ac:dyDescent="0.15">
      <c r="A37" s="334" t="s">
        <v>404</v>
      </c>
      <c r="B37" s="313"/>
      <c r="C37" s="334" t="s">
        <v>440</v>
      </c>
      <c r="D37" s="338"/>
      <c r="E37" s="164"/>
      <c r="F37" s="164"/>
      <c r="G37" s="164"/>
      <c r="H37" s="164"/>
      <c r="I37" s="164"/>
      <c r="J37" s="164"/>
    </row>
    <row r="38" spans="1:10" ht="20.45" customHeight="1" thickBot="1" x14ac:dyDescent="0.2">
      <c r="A38" s="335" t="s">
        <v>403</v>
      </c>
      <c r="B38" s="315"/>
      <c r="C38" s="335" t="s">
        <v>441</v>
      </c>
      <c r="D38" s="339"/>
    </row>
  </sheetData>
  <mergeCells count="54">
    <mergeCell ref="A36:B36"/>
    <mergeCell ref="C36:D36"/>
    <mergeCell ref="A37:B37"/>
    <mergeCell ref="C37:D37"/>
    <mergeCell ref="A38:B38"/>
    <mergeCell ref="C38:D38"/>
    <mergeCell ref="A33:B33"/>
    <mergeCell ref="C33:D33"/>
    <mergeCell ref="A34:B34"/>
    <mergeCell ref="C34:D34"/>
    <mergeCell ref="A35:B35"/>
    <mergeCell ref="C35:D35"/>
    <mergeCell ref="A29:C29"/>
    <mergeCell ref="D29:F29"/>
    <mergeCell ref="G29:I29"/>
    <mergeCell ref="A30:C30"/>
    <mergeCell ref="D30:F30"/>
    <mergeCell ref="G30:I30"/>
    <mergeCell ref="A21:B21"/>
    <mergeCell ref="C21:D21"/>
    <mergeCell ref="E21:J21"/>
    <mergeCell ref="A28:C28"/>
    <mergeCell ref="D28:F28"/>
    <mergeCell ref="G28:I28"/>
    <mergeCell ref="A19:B19"/>
    <mergeCell ref="C19:D19"/>
    <mergeCell ref="E19:J19"/>
    <mergeCell ref="A20:B20"/>
    <mergeCell ref="C20:D20"/>
    <mergeCell ref="E20:J20"/>
    <mergeCell ref="A16:B16"/>
    <mergeCell ref="E16:J16"/>
    <mergeCell ref="A17:B17"/>
    <mergeCell ref="E17:J17"/>
    <mergeCell ref="A18:B18"/>
    <mergeCell ref="E18:J18"/>
    <mergeCell ref="A13:B13"/>
    <mergeCell ref="E13:J13"/>
    <mergeCell ref="A14:B14"/>
    <mergeCell ref="E14:J14"/>
    <mergeCell ref="A15:B15"/>
    <mergeCell ref="E15:J15"/>
    <mergeCell ref="A10:D10"/>
    <mergeCell ref="E10:J10"/>
    <mergeCell ref="A11:B11"/>
    <mergeCell ref="E11:J11"/>
    <mergeCell ref="A12:B12"/>
    <mergeCell ref="E12:J12"/>
    <mergeCell ref="C7:J7"/>
    <mergeCell ref="A1:J1"/>
    <mergeCell ref="A2:J2"/>
    <mergeCell ref="B4:D4"/>
    <mergeCell ref="F4:H4"/>
    <mergeCell ref="C6:E6"/>
  </mergeCells>
  <phoneticPr fontId="3"/>
  <pageMargins left="0.31496062992125984" right="0.31496062992125984" top="0.55118110236220474" bottom="0.55118110236220474" header="0.31496062992125984" footer="0.31496062992125984"/>
  <pageSetup paperSize="9" orientation="portrait" horizontalDpi="360" verticalDpi="36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40"/>
  <sheetViews>
    <sheetView topLeftCell="A40" zoomScaleNormal="100" workbookViewId="0">
      <selection activeCell="B25" sqref="B25"/>
    </sheetView>
  </sheetViews>
  <sheetFormatPr defaultColWidth="9" defaultRowHeight="13.5" x14ac:dyDescent="0.15"/>
  <cols>
    <col min="1" max="1" width="25.5" style="28" bestFit="1" customWidth="1"/>
    <col min="2" max="2" width="3" style="28" customWidth="1"/>
    <col min="3" max="3" width="6.75" style="28" customWidth="1"/>
    <col min="4" max="4" width="6.25" style="28" customWidth="1"/>
    <col min="5" max="5" width="11" style="28" bestFit="1" customWidth="1"/>
    <col min="6" max="7" width="9" style="28"/>
    <col min="8" max="8" width="18.375" style="28" bestFit="1" customWidth="1"/>
    <col min="9" max="16384" width="9" style="28"/>
  </cols>
  <sheetData>
    <row r="1" spans="1:10" x14ac:dyDescent="0.15">
      <c r="H1" s="29">
        <f ca="1">TODAY()+1</f>
        <v>45188</v>
      </c>
    </row>
    <row r="2" spans="1:10" ht="18.75" customHeight="1" x14ac:dyDescent="0.15">
      <c r="A2" s="28" t="s">
        <v>58</v>
      </c>
      <c r="B2" s="412" t="s">
        <v>60</v>
      </c>
    </row>
    <row r="3" spans="1:10" ht="7.5" customHeight="1" x14ac:dyDescent="0.15">
      <c r="B3" s="412"/>
    </row>
    <row r="4" spans="1:10" ht="18.75" customHeight="1" x14ac:dyDescent="0.15">
      <c r="A4" s="28" t="s">
        <v>59</v>
      </c>
      <c r="B4" s="412"/>
    </row>
    <row r="5" spans="1:10" ht="19.5" customHeight="1" x14ac:dyDescent="0.15">
      <c r="E5" s="28" t="s">
        <v>61</v>
      </c>
      <c r="F5" s="27" t="s">
        <v>71</v>
      </c>
    </row>
    <row r="6" spans="1:10" ht="19.5" customHeight="1" x14ac:dyDescent="0.15">
      <c r="E6" s="28" t="s">
        <v>62</v>
      </c>
      <c r="F6" s="27" t="s">
        <v>364</v>
      </c>
    </row>
    <row r="7" spans="1:10" ht="30" customHeight="1" x14ac:dyDescent="0.15">
      <c r="E7" s="31" t="s">
        <v>63</v>
      </c>
      <c r="F7" s="411" t="s">
        <v>445</v>
      </c>
      <c r="G7" s="411"/>
      <c r="H7" s="411"/>
    </row>
    <row r="8" spans="1:10" ht="19.5" customHeight="1" x14ac:dyDescent="0.15">
      <c r="E8" s="31" t="s">
        <v>64</v>
      </c>
      <c r="F8" s="31" t="s">
        <v>65</v>
      </c>
    </row>
    <row r="9" spans="1:10" ht="45" customHeight="1" x14ac:dyDescent="0.15"/>
    <row r="10" spans="1:10" ht="30" customHeight="1" x14ac:dyDescent="0.15">
      <c r="A10" s="413" t="s">
        <v>86</v>
      </c>
      <c r="B10" s="413"/>
      <c r="C10" s="413"/>
      <c r="D10" s="413"/>
      <c r="E10" s="413"/>
      <c r="F10" s="413"/>
      <c r="G10" s="413"/>
      <c r="H10" s="413"/>
    </row>
    <row r="11" spans="1:10" ht="12.75" customHeight="1" x14ac:dyDescent="0.15"/>
    <row r="12" spans="1:10" ht="31.5" customHeight="1" x14ac:dyDescent="0.15">
      <c r="A12" s="415" t="s">
        <v>73</v>
      </c>
      <c r="B12" s="415"/>
      <c r="C12" s="415"/>
      <c r="D12" s="415"/>
      <c r="E12" s="415"/>
      <c r="F12" s="415"/>
      <c r="G12" s="415"/>
      <c r="H12" s="415"/>
      <c r="I12" s="30"/>
      <c r="J12" s="30"/>
    </row>
    <row r="13" spans="1:10" ht="12.75" customHeight="1" x14ac:dyDescent="0.15"/>
    <row r="14" spans="1:10" ht="18.75" customHeight="1" x14ac:dyDescent="0.15">
      <c r="A14" s="414" t="s">
        <v>66</v>
      </c>
      <c r="B14" s="414"/>
      <c r="C14" s="414"/>
      <c r="D14" s="414"/>
      <c r="E14" s="414"/>
      <c r="F14" s="414"/>
      <c r="G14" s="414"/>
      <c r="H14" s="414"/>
    </row>
    <row r="15" spans="1:10" ht="12.75" customHeight="1" x14ac:dyDescent="0.15"/>
    <row r="16" spans="1:10" ht="18.75" customHeight="1" x14ac:dyDescent="0.15">
      <c r="A16" s="28" t="s">
        <v>67</v>
      </c>
      <c r="B16" s="28" t="str">
        <f ca="1">"令和"&amp;IF(YEAR(NOW())=2019,"元",YEAR(NOW())-2018)&amp;"年度 第"&amp;YEAR(NOW())-2000&amp;"回 石川県中学校新人サッカー大会 "</f>
        <v xml:space="preserve">令和5年度 第23回 石川県中学校新人サッカー大会 </v>
      </c>
    </row>
    <row r="17" spans="1:8" ht="12.75" customHeight="1" x14ac:dyDescent="0.15"/>
    <row r="18" spans="1:8" ht="42.75" customHeight="1" x14ac:dyDescent="0.15">
      <c r="A18" s="31" t="s">
        <v>74</v>
      </c>
      <c r="B18" s="411" t="s">
        <v>196</v>
      </c>
      <c r="C18" s="411"/>
      <c r="D18" s="411"/>
      <c r="E18" s="411"/>
      <c r="F18" s="411"/>
      <c r="G18" s="411"/>
      <c r="H18" s="411"/>
    </row>
    <row r="19" spans="1:8" ht="12.75" customHeight="1" x14ac:dyDescent="0.15"/>
    <row r="20" spans="1:8" ht="18.75" customHeight="1" x14ac:dyDescent="0.15">
      <c r="A20" s="28" t="s">
        <v>75</v>
      </c>
      <c r="B20" s="28" t="s">
        <v>90</v>
      </c>
    </row>
    <row r="21" spans="1:8" ht="12.75" customHeight="1" x14ac:dyDescent="0.15"/>
    <row r="22" spans="1:8" ht="18.75" customHeight="1" x14ac:dyDescent="0.15">
      <c r="A22" s="28" t="s">
        <v>76</v>
      </c>
      <c r="B22" s="416" t="str">
        <f ca="1">"令和"&amp;IF(YEAR(NOW())=2019,"元",YEAR(NOW())-2018)&amp;"年10月"&amp;DAY(ﾄｰﾅﾒﾝﾄ!$A$57)&amp;"日"&amp;ﾄｰﾅﾒﾝﾄ!$A$58&amp;"、"&amp;DAY(ﾄｰﾅﾒﾝﾄ!$A$41)&amp;"日"&amp;ﾄｰﾅﾒﾝﾄ!$A$42&amp;"、"&amp;DAY(ﾄｰﾅﾒﾝﾄ!$A$23)&amp;"日"&amp;ﾄｰﾅﾒﾝﾄ!$A$24</f>
        <v>令和5年10月7日(土)、8日(日)、9日(月)</v>
      </c>
      <c r="C22" s="416"/>
      <c r="D22" s="416"/>
      <c r="E22" s="416"/>
      <c r="F22" s="416"/>
      <c r="G22" s="416"/>
      <c r="H22" s="416"/>
    </row>
    <row r="23" spans="1:8" ht="12.75" customHeight="1" x14ac:dyDescent="0.15"/>
    <row r="24" spans="1:8" ht="18.75" customHeight="1" x14ac:dyDescent="0.15">
      <c r="A24" s="28" t="s">
        <v>77</v>
      </c>
      <c r="B24" s="28" t="s">
        <v>527</v>
      </c>
    </row>
    <row r="25" spans="1:8" ht="12.75" customHeight="1" x14ac:dyDescent="0.15"/>
    <row r="26" spans="1:8" ht="42.75" customHeight="1" x14ac:dyDescent="0.15">
      <c r="A26" s="31" t="s">
        <v>80</v>
      </c>
      <c r="B26" s="411" t="s">
        <v>195</v>
      </c>
      <c r="C26" s="411"/>
      <c r="D26" s="411"/>
      <c r="E26" s="411"/>
      <c r="F26" s="411"/>
      <c r="G26" s="411"/>
      <c r="H26" s="411"/>
    </row>
    <row r="27" spans="1:8" ht="12.75" customHeight="1" x14ac:dyDescent="0.15"/>
    <row r="28" spans="1:8" ht="18.75" customHeight="1" x14ac:dyDescent="0.15">
      <c r="A28" s="28" t="s">
        <v>79</v>
      </c>
      <c r="B28" s="28" t="s">
        <v>70</v>
      </c>
    </row>
    <row r="29" spans="1:8" ht="12.75" customHeight="1" x14ac:dyDescent="0.15"/>
    <row r="30" spans="1:8" ht="18.75" customHeight="1" x14ac:dyDescent="0.15">
      <c r="A30" s="28" t="s">
        <v>82</v>
      </c>
      <c r="B30" s="28" t="s">
        <v>83</v>
      </c>
    </row>
    <row r="31" spans="1:8" ht="12.75" customHeight="1" x14ac:dyDescent="0.15"/>
    <row r="32" spans="1:8" ht="18.75" customHeight="1" x14ac:dyDescent="0.15">
      <c r="A32" s="28" t="s">
        <v>84</v>
      </c>
      <c r="B32" s="28" t="s">
        <v>238</v>
      </c>
    </row>
    <row r="33" spans="1:5" ht="12.75" customHeight="1" x14ac:dyDescent="0.15"/>
    <row r="34" spans="1:5" ht="18.75" customHeight="1" x14ac:dyDescent="0.15">
      <c r="A34" s="28" t="s">
        <v>85</v>
      </c>
      <c r="B34" s="28" t="s">
        <v>83</v>
      </c>
    </row>
    <row r="35" spans="1:5" ht="12.75" customHeight="1" x14ac:dyDescent="0.15"/>
    <row r="36" spans="1:5" ht="18.75" customHeight="1" x14ac:dyDescent="0.15">
      <c r="A36" s="28" t="s">
        <v>81</v>
      </c>
      <c r="B36" s="28" t="s">
        <v>426</v>
      </c>
    </row>
    <row r="37" spans="1:5" ht="18.75" customHeight="1" x14ac:dyDescent="0.15">
      <c r="C37" s="28" t="s">
        <v>427</v>
      </c>
    </row>
    <row r="38" spans="1:5" ht="18.75" customHeight="1" x14ac:dyDescent="0.15">
      <c r="D38" s="28" t="s">
        <v>428</v>
      </c>
    </row>
    <row r="39" spans="1:5" ht="18.75" customHeight="1" x14ac:dyDescent="0.15">
      <c r="E39" s="28" t="s">
        <v>366</v>
      </c>
    </row>
    <row r="40" spans="1:5" ht="18.75" customHeight="1" x14ac:dyDescent="0.15">
      <c r="C40" s="28" t="s">
        <v>429</v>
      </c>
    </row>
  </sheetData>
  <mergeCells count="8">
    <mergeCell ref="B26:H26"/>
    <mergeCell ref="B2:B4"/>
    <mergeCell ref="F7:H7"/>
    <mergeCell ref="A10:H10"/>
    <mergeCell ref="A14:H14"/>
    <mergeCell ref="A12:H12"/>
    <mergeCell ref="B22:H22"/>
    <mergeCell ref="B18:H18"/>
  </mergeCells>
  <phoneticPr fontId="3"/>
  <printOptions horizontalCentered="1" verticalCentered="1"/>
  <pageMargins left="0.78740157480314965" right="0.78740157480314965" top="0.98425196850393704" bottom="0.98425196850393704" header="0.31496062992125984" footer="0.31496062992125984"/>
  <pageSetup paperSize="9" scale="97" orientation="portrait"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40"/>
  <sheetViews>
    <sheetView topLeftCell="A19" zoomScaleNormal="100" workbookViewId="0">
      <selection activeCell="B24" sqref="B24"/>
    </sheetView>
  </sheetViews>
  <sheetFormatPr defaultColWidth="9" defaultRowHeight="13.5" x14ac:dyDescent="0.15"/>
  <cols>
    <col min="1" max="1" width="25.5" style="28" bestFit="1" customWidth="1"/>
    <col min="2" max="2" width="3" style="28" customWidth="1"/>
    <col min="3" max="3" width="6.75" style="28" customWidth="1"/>
    <col min="4" max="4" width="6.25" style="28" customWidth="1"/>
    <col min="5" max="5" width="11" style="28" bestFit="1" customWidth="1"/>
    <col min="6" max="7" width="9" style="28"/>
    <col min="8" max="8" width="18.375" style="28" bestFit="1" customWidth="1"/>
    <col min="9" max="16384" width="9" style="28"/>
  </cols>
  <sheetData>
    <row r="1" spans="1:10" x14ac:dyDescent="0.15">
      <c r="H1" s="29">
        <f ca="1">TODAY()+1</f>
        <v>45188</v>
      </c>
    </row>
    <row r="2" spans="1:10" ht="18.75" customHeight="1" x14ac:dyDescent="0.15">
      <c r="A2" s="28" t="s">
        <v>58</v>
      </c>
      <c r="B2" s="412" t="s">
        <v>60</v>
      </c>
    </row>
    <row r="3" spans="1:10" ht="7.5" customHeight="1" x14ac:dyDescent="0.15">
      <c r="B3" s="412"/>
    </row>
    <row r="4" spans="1:10" ht="18.75" customHeight="1" x14ac:dyDescent="0.15">
      <c r="A4" s="28" t="s">
        <v>59</v>
      </c>
      <c r="B4" s="412"/>
    </row>
    <row r="5" spans="1:10" ht="19.5" customHeight="1" x14ac:dyDescent="0.15">
      <c r="E5" s="28" t="s">
        <v>61</v>
      </c>
      <c r="F5" s="27" t="s">
        <v>71</v>
      </c>
    </row>
    <row r="6" spans="1:10" ht="19.5" customHeight="1" x14ac:dyDescent="0.15">
      <c r="E6" s="28" t="s">
        <v>62</v>
      </c>
      <c r="F6" s="27" t="s">
        <v>364</v>
      </c>
    </row>
    <row r="7" spans="1:10" ht="30" customHeight="1" x14ac:dyDescent="0.15">
      <c r="E7" s="31" t="s">
        <v>63</v>
      </c>
      <c r="F7" s="411" t="s">
        <v>445</v>
      </c>
      <c r="G7" s="411"/>
      <c r="H7" s="411"/>
    </row>
    <row r="8" spans="1:10" ht="19.5" customHeight="1" x14ac:dyDescent="0.15">
      <c r="E8" s="31" t="s">
        <v>64</v>
      </c>
      <c r="F8" s="31" t="s">
        <v>65</v>
      </c>
    </row>
    <row r="9" spans="1:10" ht="45" customHeight="1" x14ac:dyDescent="0.15"/>
    <row r="10" spans="1:10" ht="30" customHeight="1" x14ac:dyDescent="0.15">
      <c r="A10" s="413" t="s">
        <v>86</v>
      </c>
      <c r="B10" s="413"/>
      <c r="C10" s="413"/>
      <c r="D10" s="413"/>
      <c r="E10" s="413"/>
      <c r="F10" s="413"/>
      <c r="G10" s="413"/>
      <c r="H10" s="413"/>
    </row>
    <row r="11" spans="1:10" ht="12.75" customHeight="1" x14ac:dyDescent="0.15"/>
    <row r="12" spans="1:10" ht="31.5" customHeight="1" x14ac:dyDescent="0.15">
      <c r="A12" s="415" t="s">
        <v>73</v>
      </c>
      <c r="B12" s="415"/>
      <c r="C12" s="415"/>
      <c r="D12" s="415"/>
      <c r="E12" s="415"/>
      <c r="F12" s="415"/>
      <c r="G12" s="415"/>
      <c r="H12" s="415"/>
      <c r="I12" s="30"/>
      <c r="J12" s="30"/>
    </row>
    <row r="13" spans="1:10" ht="12.75" customHeight="1" x14ac:dyDescent="0.15"/>
    <row r="14" spans="1:10" ht="18.75" customHeight="1" x14ac:dyDescent="0.15">
      <c r="A14" s="414" t="s">
        <v>66</v>
      </c>
      <c r="B14" s="414"/>
      <c r="C14" s="414"/>
      <c r="D14" s="414"/>
      <c r="E14" s="414"/>
      <c r="F14" s="414"/>
      <c r="G14" s="414"/>
      <c r="H14" s="414"/>
    </row>
    <row r="15" spans="1:10" ht="12.75" customHeight="1" x14ac:dyDescent="0.15"/>
    <row r="16" spans="1:10" ht="18.75" customHeight="1" x14ac:dyDescent="0.15">
      <c r="A16" s="28" t="s">
        <v>67</v>
      </c>
      <c r="B16" s="28" t="s">
        <v>515</v>
      </c>
    </row>
    <row r="17" spans="1:8" ht="12.75" customHeight="1" x14ac:dyDescent="0.15"/>
    <row r="18" spans="1:8" ht="42.75" customHeight="1" x14ac:dyDescent="0.15">
      <c r="A18" s="31" t="s">
        <v>74</v>
      </c>
      <c r="B18" s="411" t="s">
        <v>196</v>
      </c>
      <c r="C18" s="411"/>
      <c r="D18" s="411"/>
      <c r="E18" s="411"/>
      <c r="F18" s="411"/>
      <c r="G18" s="411"/>
      <c r="H18" s="411"/>
    </row>
    <row r="19" spans="1:8" ht="12.75" customHeight="1" x14ac:dyDescent="0.15"/>
    <row r="20" spans="1:8" ht="18.75" customHeight="1" x14ac:dyDescent="0.15">
      <c r="A20" s="28" t="s">
        <v>75</v>
      </c>
      <c r="B20" s="28" t="s">
        <v>90</v>
      </c>
    </row>
    <row r="21" spans="1:8" ht="12.75" customHeight="1" x14ac:dyDescent="0.15"/>
    <row r="22" spans="1:8" ht="18.75" customHeight="1" x14ac:dyDescent="0.15">
      <c r="A22" s="28" t="s">
        <v>76</v>
      </c>
      <c r="B22" s="416" t="s">
        <v>516</v>
      </c>
      <c r="C22" s="416"/>
      <c r="D22" s="416"/>
      <c r="E22" s="416"/>
      <c r="F22" s="416"/>
      <c r="G22" s="416"/>
      <c r="H22" s="416"/>
    </row>
    <row r="23" spans="1:8" ht="12.75" customHeight="1" x14ac:dyDescent="0.15"/>
    <row r="24" spans="1:8" ht="18.75" customHeight="1" x14ac:dyDescent="0.15">
      <c r="A24" s="28" t="s">
        <v>77</v>
      </c>
      <c r="B24" s="28" t="s">
        <v>517</v>
      </c>
    </row>
    <row r="25" spans="1:8" ht="12.75" customHeight="1" x14ac:dyDescent="0.15"/>
    <row r="26" spans="1:8" ht="42.75" customHeight="1" x14ac:dyDescent="0.15">
      <c r="A26" s="31" t="s">
        <v>80</v>
      </c>
      <c r="B26" s="411" t="s">
        <v>195</v>
      </c>
      <c r="C26" s="411"/>
      <c r="D26" s="411"/>
      <c r="E26" s="411"/>
      <c r="F26" s="411"/>
      <c r="G26" s="411"/>
      <c r="H26" s="411"/>
    </row>
    <row r="27" spans="1:8" ht="12.75" customHeight="1" x14ac:dyDescent="0.15"/>
    <row r="28" spans="1:8" ht="18.75" customHeight="1" x14ac:dyDescent="0.15">
      <c r="A28" s="28" t="s">
        <v>79</v>
      </c>
      <c r="B28" s="28" t="s">
        <v>70</v>
      </c>
    </row>
    <row r="29" spans="1:8" ht="12.75" customHeight="1" x14ac:dyDescent="0.15"/>
    <row r="30" spans="1:8" ht="18.75" customHeight="1" x14ac:dyDescent="0.15">
      <c r="A30" s="28" t="s">
        <v>82</v>
      </c>
      <c r="B30" s="28" t="s">
        <v>83</v>
      </c>
    </row>
    <row r="31" spans="1:8" ht="12.75" customHeight="1" x14ac:dyDescent="0.15"/>
    <row r="32" spans="1:8" ht="18.75" customHeight="1" x14ac:dyDescent="0.15">
      <c r="A32" s="28" t="s">
        <v>84</v>
      </c>
      <c r="B32" s="28" t="s">
        <v>238</v>
      </c>
    </row>
    <row r="33" spans="1:5" ht="12.75" customHeight="1" x14ac:dyDescent="0.15"/>
    <row r="34" spans="1:5" ht="18.75" customHeight="1" x14ac:dyDescent="0.15">
      <c r="A34" s="28" t="s">
        <v>85</v>
      </c>
      <c r="B34" s="28" t="s">
        <v>83</v>
      </c>
    </row>
    <row r="35" spans="1:5" ht="12.75" customHeight="1" x14ac:dyDescent="0.15"/>
    <row r="36" spans="1:5" ht="18.75" customHeight="1" x14ac:dyDescent="0.15">
      <c r="A36" s="28" t="s">
        <v>81</v>
      </c>
      <c r="B36" s="28" t="s">
        <v>365</v>
      </c>
    </row>
    <row r="37" spans="1:5" ht="18.75" customHeight="1" x14ac:dyDescent="0.15">
      <c r="C37" s="28" t="s">
        <v>427</v>
      </c>
    </row>
    <row r="38" spans="1:5" ht="18.75" customHeight="1" x14ac:dyDescent="0.15">
      <c r="D38" s="28" t="s">
        <v>428</v>
      </c>
    </row>
    <row r="39" spans="1:5" ht="18.75" customHeight="1" x14ac:dyDescent="0.15">
      <c r="E39" s="28" t="s">
        <v>366</v>
      </c>
    </row>
    <row r="40" spans="1:5" ht="18.75" customHeight="1" x14ac:dyDescent="0.15">
      <c r="C40" s="28" t="s">
        <v>429</v>
      </c>
    </row>
  </sheetData>
  <mergeCells count="8">
    <mergeCell ref="B22:H22"/>
    <mergeCell ref="B26:H26"/>
    <mergeCell ref="B2:B4"/>
    <mergeCell ref="F7:H7"/>
    <mergeCell ref="A10:H10"/>
    <mergeCell ref="A12:H12"/>
    <mergeCell ref="A14:H14"/>
    <mergeCell ref="B18:H18"/>
  </mergeCells>
  <phoneticPr fontId="3"/>
  <printOptions horizontalCentered="1" verticalCentered="1"/>
  <pageMargins left="0.78740157480314965" right="0.78740157480314965" top="0.98425196850393704" bottom="0.98425196850393704" header="0.31496062992125984" footer="0.31496062992125984"/>
  <pageSetup paperSize="9" scale="96" orientation="portrait" horizontalDpi="4294967293"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30"/>
  <sheetViews>
    <sheetView zoomScaleNormal="100" workbookViewId="0">
      <selection activeCell="G15" sqref="G15"/>
    </sheetView>
  </sheetViews>
  <sheetFormatPr defaultColWidth="9" defaultRowHeight="13.5" x14ac:dyDescent="0.15"/>
  <cols>
    <col min="1" max="1" width="25.5" style="28" bestFit="1" customWidth="1"/>
    <col min="2" max="2" width="3" style="28" customWidth="1"/>
    <col min="3" max="3" width="6.75" style="28" customWidth="1"/>
    <col min="4" max="4" width="6.25" style="28" customWidth="1"/>
    <col min="5" max="5" width="11" style="28" bestFit="1" customWidth="1"/>
    <col min="6" max="7" width="9" style="28"/>
    <col min="8" max="8" width="18.375" style="28" bestFit="1" customWidth="1"/>
    <col min="9" max="16384" width="9" style="28"/>
  </cols>
  <sheetData>
    <row r="1" spans="1:8" x14ac:dyDescent="0.15">
      <c r="H1" s="29">
        <v>44851</v>
      </c>
    </row>
    <row r="2" spans="1:8" ht="18.75" customHeight="1" x14ac:dyDescent="0.15">
      <c r="A2" s="28" t="s">
        <v>58</v>
      </c>
      <c r="B2" s="412" t="s">
        <v>60</v>
      </c>
    </row>
    <row r="3" spans="1:8" ht="7.5" customHeight="1" x14ac:dyDescent="0.15">
      <c r="B3" s="412"/>
    </row>
    <row r="4" spans="1:8" ht="18.75" customHeight="1" x14ac:dyDescent="0.15">
      <c r="A4" s="28" t="s">
        <v>59</v>
      </c>
      <c r="B4" s="412"/>
    </row>
    <row r="5" spans="1:8" ht="19.5" customHeight="1" x14ac:dyDescent="0.15">
      <c r="E5" s="28" t="s">
        <v>61</v>
      </c>
      <c r="F5" s="27" t="s">
        <v>71</v>
      </c>
    </row>
    <row r="6" spans="1:8" ht="19.5" customHeight="1" x14ac:dyDescent="0.15">
      <c r="E6" s="28" t="s">
        <v>62</v>
      </c>
      <c r="F6" s="27" t="s">
        <v>364</v>
      </c>
    </row>
    <row r="7" spans="1:8" ht="30" customHeight="1" x14ac:dyDescent="0.15">
      <c r="E7" s="31" t="s">
        <v>63</v>
      </c>
      <c r="F7" s="411" t="s">
        <v>445</v>
      </c>
      <c r="G7" s="411"/>
      <c r="H7" s="411"/>
    </row>
    <row r="8" spans="1:8" ht="19.5" customHeight="1" x14ac:dyDescent="0.15">
      <c r="E8" s="31" t="s">
        <v>64</v>
      </c>
      <c r="F8" s="31" t="s">
        <v>65</v>
      </c>
      <c r="G8" s="31"/>
      <c r="H8" s="31"/>
    </row>
    <row r="9" spans="1:8" ht="45" customHeight="1" x14ac:dyDescent="0.15"/>
    <row r="10" spans="1:8" ht="30" customHeight="1" x14ac:dyDescent="0.15">
      <c r="A10" s="413" t="s">
        <v>87</v>
      </c>
      <c r="B10" s="413"/>
      <c r="C10" s="413"/>
      <c r="D10" s="413"/>
      <c r="E10" s="413"/>
      <c r="F10" s="413"/>
      <c r="G10" s="413"/>
      <c r="H10" s="413"/>
    </row>
    <row r="11" spans="1:8" ht="19.5" customHeight="1" x14ac:dyDescent="0.15"/>
    <row r="12" spans="1:8" ht="19.5" customHeight="1" x14ac:dyDescent="0.15">
      <c r="A12" s="412" t="s">
        <v>72</v>
      </c>
      <c r="B12" s="412"/>
      <c r="C12" s="412"/>
      <c r="D12" s="412"/>
      <c r="E12" s="412"/>
      <c r="F12" s="412"/>
      <c r="G12" s="412"/>
      <c r="H12" s="412"/>
    </row>
    <row r="13" spans="1:8" ht="19.5" customHeight="1" x14ac:dyDescent="0.15"/>
    <row r="14" spans="1:8" ht="19.5" customHeight="1" x14ac:dyDescent="0.15">
      <c r="A14" s="414" t="s">
        <v>66</v>
      </c>
      <c r="B14" s="414"/>
      <c r="C14" s="414"/>
      <c r="D14" s="414"/>
      <c r="E14" s="414"/>
      <c r="F14" s="414"/>
      <c r="G14" s="414"/>
      <c r="H14" s="414"/>
    </row>
    <row r="15" spans="1:8" ht="19.5" customHeight="1" x14ac:dyDescent="0.15"/>
    <row r="16" spans="1:8" ht="18.75" customHeight="1" x14ac:dyDescent="0.15">
      <c r="A16" s="28" t="s">
        <v>67</v>
      </c>
      <c r="B16" s="28" t="s">
        <v>513</v>
      </c>
    </row>
    <row r="17" spans="1:8" ht="37.5" customHeight="1" x14ac:dyDescent="0.15"/>
    <row r="18" spans="1:8" ht="18.75" customHeight="1" x14ac:dyDescent="0.15">
      <c r="A18" s="28" t="s">
        <v>88</v>
      </c>
      <c r="B18" s="416" t="s">
        <v>443</v>
      </c>
      <c r="C18" s="416"/>
      <c r="D18" s="416"/>
      <c r="E18" s="416"/>
      <c r="F18" s="416"/>
      <c r="G18" s="416"/>
      <c r="H18" s="416"/>
    </row>
    <row r="19" spans="1:8" ht="37.5" customHeight="1" x14ac:dyDescent="0.15"/>
    <row r="20" spans="1:8" ht="18.75" customHeight="1" x14ac:dyDescent="0.15">
      <c r="A20" s="28" t="s">
        <v>89</v>
      </c>
      <c r="B20" s="28" t="s">
        <v>514</v>
      </c>
    </row>
    <row r="21" spans="1:8" ht="37.5" customHeight="1" x14ac:dyDescent="0.15"/>
    <row r="22" spans="1:8" ht="18.75" customHeight="1" x14ac:dyDescent="0.15">
      <c r="A22" s="28" t="s">
        <v>68</v>
      </c>
      <c r="B22" s="28" t="str">
        <f>DBCS(16*18)&amp;"人"</f>
        <v>２８８人</v>
      </c>
    </row>
    <row r="23" spans="1:8" ht="37.5" customHeight="1" x14ac:dyDescent="0.15"/>
    <row r="24" spans="1:8" ht="18.75" customHeight="1" x14ac:dyDescent="0.15">
      <c r="A24" s="28" t="s">
        <v>78</v>
      </c>
      <c r="B24" s="28" t="s">
        <v>70</v>
      </c>
    </row>
    <row r="25" spans="1:8" ht="37.5" customHeight="1" x14ac:dyDescent="0.15"/>
    <row r="26" spans="1:8" ht="18.75" customHeight="1" x14ac:dyDescent="0.15">
      <c r="A26" s="28" t="s">
        <v>69</v>
      </c>
      <c r="B26" s="28" t="s">
        <v>426</v>
      </c>
    </row>
    <row r="27" spans="1:8" ht="18.75" customHeight="1" x14ac:dyDescent="0.15">
      <c r="C27" s="28" t="s">
        <v>427</v>
      </c>
    </row>
    <row r="28" spans="1:8" ht="18.75" customHeight="1" x14ac:dyDescent="0.15">
      <c r="D28" s="28" t="s">
        <v>428</v>
      </c>
    </row>
    <row r="29" spans="1:8" ht="18.75" customHeight="1" x14ac:dyDescent="0.15">
      <c r="E29" s="28" t="s">
        <v>366</v>
      </c>
    </row>
    <row r="30" spans="1:8" ht="18.75" customHeight="1" x14ac:dyDescent="0.15">
      <c r="C30" s="28" t="s">
        <v>429</v>
      </c>
    </row>
  </sheetData>
  <mergeCells count="6">
    <mergeCell ref="B2:B4"/>
    <mergeCell ref="A12:H12"/>
    <mergeCell ref="B18:H18"/>
    <mergeCell ref="F7:H7"/>
    <mergeCell ref="A10:H10"/>
    <mergeCell ref="A14:H14"/>
  </mergeCells>
  <phoneticPr fontId="3"/>
  <printOptions horizontalCentered="1" verticalCentered="1"/>
  <pageMargins left="0.78740157480314965" right="0.78740157480314965" top="0.98425196850393704" bottom="0.98425196850393704" header="0.31496062992125984" footer="0.31496062992125984"/>
  <pageSetup paperSize="9" scale="97" orientation="portrait" horizontalDpi="4294967293"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61"/>
  <sheetViews>
    <sheetView view="pageBreakPreview" topLeftCell="A7" zoomScale="90" zoomScaleNormal="100" zoomScaleSheetLayoutView="90" workbookViewId="0">
      <selection activeCell="F12" sqref="F12:I12"/>
    </sheetView>
  </sheetViews>
  <sheetFormatPr defaultColWidth="9" defaultRowHeight="12" x14ac:dyDescent="0.15"/>
  <cols>
    <col min="1" max="1" width="4.125" style="75" customWidth="1"/>
    <col min="2" max="44" width="1.875" style="75" customWidth="1"/>
    <col min="45" max="46" width="1.75" style="75" customWidth="1"/>
    <col min="47" max="48" width="1.875" style="75" customWidth="1"/>
    <col min="49" max="16384" width="9" style="75"/>
  </cols>
  <sheetData>
    <row r="1" spans="1:48" x14ac:dyDescent="0.15">
      <c r="A1" s="188" t="str">
        <f ca="1">"令和"&amp;IF(YEAR(NOW())=2019,"元",YEAR(NOW())-2018)&amp;"年度 第"&amp;YEAR(NOW())-2000&amp;"回 石川県中学校新人サッカー大会 監督会議および抽選会(奇数年度版)"</f>
        <v>令和5年度 第23回 石川県中学校新人サッカー大会 監督会議および抽選会(奇数年度版)</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row>
    <row r="2" spans="1:48" x14ac:dyDescent="0.15">
      <c r="A2" s="190"/>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row>
    <row r="3" spans="1:48" ht="7.5" customHeight="1" x14ac:dyDescent="0.15"/>
    <row r="4" spans="1:48" ht="14.25" customHeight="1" x14ac:dyDescent="0.15">
      <c r="A4" s="80" t="s">
        <v>285</v>
      </c>
    </row>
    <row r="5" spans="1:48" ht="14.25" customHeight="1" x14ac:dyDescent="0.15">
      <c r="B5" s="75" t="s">
        <v>310</v>
      </c>
      <c r="AA5" s="76" t="s">
        <v>311</v>
      </c>
      <c r="AC5" s="75" t="str">
        <f>表紙裏!O11</f>
        <v>岩脇　司　</v>
      </c>
    </row>
    <row r="6" spans="1:48" ht="14.25" customHeight="1" x14ac:dyDescent="0.15">
      <c r="B6" s="75" t="s">
        <v>286</v>
      </c>
    </row>
    <row r="7" spans="1:48" ht="14.25" customHeight="1" x14ac:dyDescent="0.15">
      <c r="B7" s="75" t="s">
        <v>287</v>
      </c>
    </row>
    <row r="8" spans="1:48" ht="14.25" customHeight="1" x14ac:dyDescent="0.15">
      <c r="B8" s="75" t="s">
        <v>288</v>
      </c>
    </row>
    <row r="9" spans="1:48" ht="7.5" customHeight="1" x14ac:dyDescent="0.15"/>
    <row r="10" spans="1:48" ht="14.25" customHeight="1" x14ac:dyDescent="0.15">
      <c r="A10" s="80" t="s">
        <v>289</v>
      </c>
    </row>
    <row r="11" spans="1:48" ht="14.25" customHeight="1" x14ac:dyDescent="0.15">
      <c r="A11" s="75" t="s">
        <v>320</v>
      </c>
    </row>
    <row r="12" spans="1:48" ht="14.25" customHeight="1" x14ac:dyDescent="0.15">
      <c r="E12" s="77" t="s">
        <v>293</v>
      </c>
      <c r="F12" s="183" t="str">
        <f>IF(抽選!F3="","",抽選!F3)</f>
        <v/>
      </c>
      <c r="G12" s="183"/>
      <c r="H12" s="183"/>
      <c r="I12" s="183"/>
      <c r="J12" s="182" t="s">
        <v>318</v>
      </c>
      <c r="K12" s="182"/>
      <c r="L12" s="182"/>
      <c r="N12" s="77" t="s">
        <v>294</v>
      </c>
      <c r="O12" s="183" t="str">
        <f>IF(抽選!F4="","",抽選!F4)</f>
        <v/>
      </c>
      <c r="P12" s="183"/>
      <c r="Q12" s="183"/>
      <c r="R12" s="183"/>
      <c r="S12" s="182" t="s">
        <v>318</v>
      </c>
      <c r="T12" s="182"/>
      <c r="U12" s="182"/>
      <c r="W12" s="77" t="s">
        <v>295</v>
      </c>
      <c r="X12" s="183" t="str">
        <f>IF(抽選!F5="","",抽選!F5)</f>
        <v/>
      </c>
      <c r="Y12" s="183"/>
      <c r="Z12" s="183"/>
      <c r="AA12" s="183"/>
      <c r="AB12" s="182" t="s">
        <v>318</v>
      </c>
      <c r="AC12" s="182"/>
      <c r="AD12" s="182"/>
    </row>
    <row r="13" spans="1:48" ht="14.25" customHeight="1" x14ac:dyDescent="0.15">
      <c r="A13" s="75" t="s">
        <v>321</v>
      </c>
    </row>
    <row r="14" spans="1:48" ht="14.25" customHeight="1" x14ac:dyDescent="0.15">
      <c r="D14" s="75" t="s">
        <v>322</v>
      </c>
    </row>
    <row r="15" spans="1:48" ht="14.25" customHeight="1" x14ac:dyDescent="0.15">
      <c r="D15" s="75" t="s">
        <v>312</v>
      </c>
      <c r="J15" s="77" t="s">
        <v>293</v>
      </c>
      <c r="K15" s="183" t="str">
        <f>IF(抽選!F12="","",抽選!F12)</f>
        <v/>
      </c>
      <c r="L15" s="183"/>
      <c r="M15" s="183"/>
      <c r="N15" s="183"/>
      <c r="O15" s="182" t="s">
        <v>318</v>
      </c>
      <c r="P15" s="182"/>
      <c r="Q15" s="182"/>
      <c r="R15" s="77"/>
      <c r="S15" s="77" t="s">
        <v>294</v>
      </c>
      <c r="T15" s="183" t="str">
        <f>IF(抽選!F13="","",抽選!F13)</f>
        <v/>
      </c>
      <c r="U15" s="183"/>
      <c r="V15" s="183"/>
      <c r="W15" s="183"/>
      <c r="X15" s="182" t="s">
        <v>318</v>
      </c>
      <c r="Y15" s="182"/>
      <c r="Z15" s="182"/>
    </row>
    <row r="16" spans="1:48" ht="14.25" customHeight="1" x14ac:dyDescent="0.15">
      <c r="D16" s="75" t="s">
        <v>313</v>
      </c>
      <c r="J16" s="77" t="s">
        <v>293</v>
      </c>
      <c r="K16" s="184" t="str">
        <f>IF(抽選!F6="","",抽選!F6)</f>
        <v/>
      </c>
      <c r="L16" s="184"/>
      <c r="M16" s="184"/>
      <c r="N16" s="184"/>
      <c r="O16" s="182" t="s">
        <v>318</v>
      </c>
      <c r="P16" s="182"/>
      <c r="Q16" s="182"/>
      <c r="R16" s="77"/>
      <c r="S16" s="77" t="s">
        <v>294</v>
      </c>
      <c r="T16" s="184" t="str">
        <f>IF(抽選!F7="","",抽選!F7)</f>
        <v/>
      </c>
      <c r="U16" s="184"/>
      <c r="V16" s="184"/>
      <c r="W16" s="184"/>
      <c r="X16" s="182" t="s">
        <v>318</v>
      </c>
      <c r="Y16" s="182"/>
      <c r="Z16" s="182"/>
      <c r="AA16" s="77"/>
      <c r="AB16" s="77" t="s">
        <v>295</v>
      </c>
      <c r="AC16" s="183" t="str">
        <f>IF(抽選!F8="","",抽選!F8)</f>
        <v/>
      </c>
      <c r="AD16" s="183"/>
      <c r="AE16" s="183"/>
      <c r="AF16" s="183"/>
      <c r="AG16" s="182" t="s">
        <v>318</v>
      </c>
      <c r="AH16" s="182"/>
      <c r="AI16" s="182"/>
      <c r="AJ16" s="77" t="s">
        <v>295</v>
      </c>
      <c r="AK16" s="183" t="str">
        <f>IF(抽選!F9="","",抽選!F9)</f>
        <v/>
      </c>
      <c r="AL16" s="183"/>
      <c r="AM16" s="183"/>
      <c r="AN16" s="183"/>
      <c r="AO16" s="182" t="s">
        <v>318</v>
      </c>
      <c r="AP16" s="182"/>
      <c r="AQ16" s="182"/>
    </row>
    <row r="17" spans="1:48" ht="14.25" customHeight="1" x14ac:dyDescent="0.15">
      <c r="J17" s="77" t="s">
        <v>297</v>
      </c>
      <c r="K17" s="184" t="str">
        <f>IF(抽選!F10="","",抽選!F10)</f>
        <v/>
      </c>
      <c r="L17" s="184"/>
      <c r="M17" s="184"/>
      <c r="N17" s="184"/>
      <c r="O17" s="182" t="s">
        <v>318</v>
      </c>
      <c r="P17" s="182"/>
      <c r="Q17" s="182"/>
      <c r="R17" s="77"/>
      <c r="S17" s="77" t="s">
        <v>297</v>
      </c>
      <c r="T17" s="184" t="str">
        <f>IF(抽選!F11="","",抽選!F11)</f>
        <v/>
      </c>
      <c r="U17" s="184"/>
      <c r="V17" s="184"/>
      <c r="W17" s="184"/>
      <c r="X17" s="182" t="s">
        <v>318</v>
      </c>
      <c r="Y17" s="182"/>
      <c r="Z17" s="182"/>
      <c r="AA17" s="77"/>
      <c r="AB17" s="188"/>
      <c r="AC17" s="188"/>
      <c r="AD17" s="188"/>
      <c r="AE17" s="188"/>
      <c r="AF17" s="182"/>
      <c r="AG17" s="182"/>
      <c r="AH17" s="182"/>
    </row>
    <row r="18" spans="1:48" ht="14.25" customHeight="1" x14ac:dyDescent="0.15">
      <c r="D18" s="75" t="s">
        <v>323</v>
      </c>
    </row>
    <row r="19" spans="1:48" ht="14.25" customHeight="1" x14ac:dyDescent="0.15">
      <c r="D19" s="75" t="s">
        <v>314</v>
      </c>
      <c r="M19" s="77" t="s">
        <v>293</v>
      </c>
      <c r="N19" s="183" t="str">
        <f>IF(抽選!F14="","",抽選!F14)</f>
        <v/>
      </c>
      <c r="O19" s="183"/>
      <c r="P19" s="183"/>
      <c r="Q19" s="183"/>
      <c r="R19" s="182" t="s">
        <v>318</v>
      </c>
      <c r="S19" s="182"/>
      <c r="T19" s="182"/>
      <c r="U19" s="77"/>
      <c r="V19" s="77" t="s">
        <v>294</v>
      </c>
      <c r="W19" s="183" t="str">
        <f>IF(抽選!F15="","",抽選!F15)</f>
        <v/>
      </c>
      <c r="X19" s="183"/>
      <c r="Y19" s="183"/>
      <c r="Z19" s="183"/>
      <c r="AA19" s="182" t="s">
        <v>318</v>
      </c>
      <c r="AB19" s="182"/>
      <c r="AC19" s="182"/>
      <c r="AD19" s="77"/>
      <c r="AE19" s="77" t="s">
        <v>295</v>
      </c>
      <c r="AF19" s="183" t="str">
        <f>IF(抽選!F16="","",抽選!F16)</f>
        <v/>
      </c>
      <c r="AG19" s="183"/>
      <c r="AH19" s="183"/>
      <c r="AI19" s="183"/>
      <c r="AJ19" s="182" t="s">
        <v>318</v>
      </c>
      <c r="AK19" s="182"/>
      <c r="AL19" s="182"/>
    </row>
    <row r="20" spans="1:48" ht="14.25" customHeight="1" x14ac:dyDescent="0.15">
      <c r="D20" s="75" t="s">
        <v>315</v>
      </c>
      <c r="M20" s="77" t="s">
        <v>293</v>
      </c>
      <c r="N20" s="183" t="str">
        <f>IF(抽選!F17="","",抽選!F17)</f>
        <v/>
      </c>
      <c r="O20" s="183"/>
      <c r="P20" s="183"/>
      <c r="Q20" s="183"/>
      <c r="R20" s="182" t="s">
        <v>318</v>
      </c>
      <c r="S20" s="182"/>
      <c r="T20" s="182"/>
    </row>
    <row r="21" spans="1:48" ht="14.25" customHeight="1" x14ac:dyDescent="0.15">
      <c r="D21" s="75" t="s">
        <v>316</v>
      </c>
      <c r="M21" s="77" t="s">
        <v>293</v>
      </c>
      <c r="N21" s="184" t="str">
        <f>IF(抽選!F18="","",抽選!F18)</f>
        <v/>
      </c>
      <c r="O21" s="184"/>
      <c r="P21" s="184"/>
      <c r="Q21" s="184"/>
      <c r="R21" s="182" t="s">
        <v>318</v>
      </c>
      <c r="S21" s="182"/>
      <c r="T21" s="182"/>
    </row>
    <row r="22" spans="1:48" ht="7.5" customHeight="1" x14ac:dyDescent="0.15"/>
    <row r="23" spans="1:48" ht="14.25" customHeight="1" x14ac:dyDescent="0.15">
      <c r="A23" s="80" t="s">
        <v>290</v>
      </c>
    </row>
    <row r="24" spans="1:48" ht="14.25" customHeight="1" x14ac:dyDescent="0.15">
      <c r="B24" s="75" t="s">
        <v>324</v>
      </c>
    </row>
    <row r="25" spans="1:48" ht="7.5" customHeight="1" x14ac:dyDescent="0.15"/>
    <row r="26" spans="1:48" ht="14.25" customHeight="1" x14ac:dyDescent="0.15">
      <c r="A26" s="80" t="s">
        <v>291</v>
      </c>
    </row>
    <row r="27" spans="1:48" ht="14.25" customHeight="1" x14ac:dyDescent="0.15">
      <c r="A27" s="75" t="s">
        <v>292</v>
      </c>
    </row>
    <row r="28" spans="1:48" ht="14.25" customHeight="1" x14ac:dyDescent="0.15">
      <c r="C28" s="187" t="s">
        <v>326</v>
      </c>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187"/>
      <c r="AM28" s="187"/>
      <c r="AN28" s="187"/>
      <c r="AO28" s="187"/>
      <c r="AP28" s="187"/>
      <c r="AQ28" s="187"/>
      <c r="AR28" s="187"/>
      <c r="AS28" s="187"/>
      <c r="AT28" s="187"/>
      <c r="AU28" s="187"/>
      <c r="AV28" s="187"/>
    </row>
    <row r="29" spans="1:48" ht="14.25" customHeight="1" x14ac:dyDescent="0.15">
      <c r="B29" s="78"/>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187"/>
      <c r="AM29" s="187"/>
      <c r="AN29" s="187"/>
      <c r="AO29" s="187"/>
      <c r="AP29" s="187"/>
      <c r="AQ29" s="187"/>
      <c r="AR29" s="187"/>
      <c r="AS29" s="187"/>
      <c r="AT29" s="187"/>
      <c r="AU29" s="187"/>
      <c r="AV29" s="187"/>
    </row>
    <row r="30" spans="1:48" ht="7.5" customHeight="1" x14ac:dyDescent="0.15"/>
    <row r="31" spans="1:48" ht="14.25" customHeight="1" x14ac:dyDescent="0.15">
      <c r="G31" s="75" t="s">
        <v>317</v>
      </c>
      <c r="V31" s="95"/>
      <c r="W31" s="96"/>
    </row>
    <row r="32" spans="1:48" ht="14.25" customHeight="1" x14ac:dyDescent="0.15">
      <c r="O32" s="90"/>
      <c r="P32" s="94"/>
      <c r="Q32" s="94"/>
      <c r="R32" s="94"/>
      <c r="S32" s="94"/>
      <c r="T32" s="94"/>
      <c r="U32" s="94"/>
      <c r="V32" s="94"/>
      <c r="W32" s="94"/>
      <c r="X32" s="94"/>
      <c r="Y32" s="94"/>
      <c r="Z32" s="94"/>
      <c r="AA32" s="94"/>
      <c r="AB32" s="94"/>
      <c r="AC32" s="94"/>
      <c r="AD32" s="92"/>
    </row>
    <row r="33" spans="1:48" ht="14.25" customHeight="1" x14ac:dyDescent="0.15">
      <c r="J33" s="79"/>
      <c r="K33" s="90"/>
      <c r="L33" s="94"/>
      <c r="M33" s="94"/>
      <c r="N33" s="94"/>
      <c r="O33" s="94"/>
      <c r="P33" s="94"/>
      <c r="Q33" s="94"/>
      <c r="R33" s="92"/>
      <c r="AA33" s="90"/>
      <c r="AB33" s="94"/>
      <c r="AC33" s="94"/>
      <c r="AD33" s="94"/>
      <c r="AE33" s="94"/>
      <c r="AF33" s="94"/>
      <c r="AG33" s="94"/>
      <c r="AH33" s="92"/>
      <c r="AI33" s="79"/>
    </row>
    <row r="34" spans="1:48" ht="14.25" customHeight="1" x14ac:dyDescent="0.15">
      <c r="G34" s="79"/>
      <c r="H34" s="79"/>
      <c r="I34" s="90"/>
      <c r="J34" s="94"/>
      <c r="K34" s="94"/>
      <c r="L34" s="92"/>
      <c r="Q34" s="90"/>
      <c r="R34" s="94"/>
      <c r="S34" s="94"/>
      <c r="T34" s="92"/>
      <c r="Y34" s="90"/>
      <c r="Z34" s="94"/>
      <c r="AA34" s="94"/>
      <c r="AB34" s="92"/>
      <c r="AG34" s="90"/>
      <c r="AH34" s="94"/>
      <c r="AI34" s="94"/>
      <c r="AJ34" s="92"/>
      <c r="AK34" s="79"/>
      <c r="AL34" s="79"/>
    </row>
    <row r="35" spans="1:48" ht="14.25" customHeight="1" x14ac:dyDescent="0.15">
      <c r="F35" s="79"/>
      <c r="G35" s="79"/>
      <c r="H35" s="90"/>
      <c r="I35" s="91"/>
      <c r="L35" s="90"/>
      <c r="M35" s="92"/>
      <c r="P35" s="90"/>
      <c r="Q35" s="92"/>
      <c r="T35" s="90"/>
      <c r="U35" s="92"/>
      <c r="X35" s="90"/>
      <c r="Y35" s="92"/>
      <c r="AB35" s="90"/>
      <c r="AC35" s="92"/>
      <c r="AF35" s="90"/>
      <c r="AG35" s="92"/>
      <c r="AJ35" s="93"/>
      <c r="AK35" s="92"/>
      <c r="AL35" s="79"/>
    </row>
    <row r="36" spans="1:48" ht="14.25" customHeight="1" x14ac:dyDescent="0.15">
      <c r="A36" s="79"/>
      <c r="B36" s="79"/>
      <c r="C36" s="79"/>
      <c r="D36" s="79"/>
      <c r="E36" s="79"/>
      <c r="F36" s="79"/>
      <c r="G36" s="185" t="s">
        <v>347</v>
      </c>
      <c r="H36" s="185"/>
      <c r="I36" s="185" t="s">
        <v>294</v>
      </c>
      <c r="J36" s="185"/>
      <c r="K36" s="185" t="s">
        <v>295</v>
      </c>
      <c r="L36" s="185"/>
      <c r="M36" s="185" t="s">
        <v>296</v>
      </c>
      <c r="N36" s="185"/>
      <c r="O36" s="185" t="s">
        <v>297</v>
      </c>
      <c r="P36" s="185"/>
      <c r="Q36" s="185" t="s">
        <v>298</v>
      </c>
      <c r="R36" s="185"/>
      <c r="S36" s="185" t="s">
        <v>299</v>
      </c>
      <c r="T36" s="185"/>
      <c r="U36" s="185" t="s">
        <v>300</v>
      </c>
      <c r="V36" s="185"/>
      <c r="W36" s="185" t="s">
        <v>301</v>
      </c>
      <c r="X36" s="185"/>
      <c r="Y36" s="185" t="s">
        <v>302</v>
      </c>
      <c r="Z36" s="185"/>
      <c r="AA36" s="185" t="s">
        <v>303</v>
      </c>
      <c r="AB36" s="185"/>
      <c r="AC36" s="185" t="s">
        <v>304</v>
      </c>
      <c r="AD36" s="185"/>
      <c r="AE36" s="185" t="s">
        <v>305</v>
      </c>
      <c r="AF36" s="185"/>
      <c r="AG36" s="185" t="s">
        <v>306</v>
      </c>
      <c r="AH36" s="185"/>
      <c r="AI36" s="185" t="s">
        <v>307</v>
      </c>
      <c r="AJ36" s="185"/>
      <c r="AK36" s="185" t="s">
        <v>308</v>
      </c>
      <c r="AL36" s="185"/>
    </row>
    <row r="37" spans="1:48" ht="14.25" customHeight="1" x14ac:dyDescent="0.15">
      <c r="A37" s="79"/>
      <c r="B37" s="79"/>
      <c r="C37" s="79"/>
      <c r="D37" s="79"/>
      <c r="E37" s="79"/>
      <c r="F37" s="79"/>
      <c r="G37" s="186"/>
      <c r="H37" s="186"/>
      <c r="I37" s="186"/>
      <c r="J37" s="186"/>
      <c r="K37" s="186"/>
      <c r="L37" s="186"/>
      <c r="M37" s="186"/>
      <c r="N37" s="186"/>
      <c r="O37" s="186"/>
      <c r="P37" s="186"/>
      <c r="Q37" s="186"/>
      <c r="R37" s="186"/>
      <c r="S37" s="186"/>
      <c r="T37" s="186"/>
      <c r="U37" s="186"/>
      <c r="V37" s="186"/>
      <c r="W37" s="186"/>
      <c r="X37" s="186"/>
      <c r="Y37" s="186"/>
      <c r="Z37" s="186"/>
      <c r="AA37" s="186"/>
      <c r="AB37" s="186"/>
      <c r="AC37" s="186"/>
      <c r="AD37" s="186"/>
      <c r="AE37" s="186"/>
      <c r="AF37" s="186"/>
      <c r="AG37" s="186"/>
      <c r="AH37" s="186"/>
      <c r="AI37" s="186"/>
      <c r="AJ37" s="186"/>
      <c r="AK37" s="186"/>
      <c r="AL37" s="186"/>
    </row>
    <row r="38" spans="1:48" ht="7.5" customHeight="1" x14ac:dyDescent="0.15">
      <c r="A38" s="79"/>
      <c r="B38" s="79"/>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row>
    <row r="39" spans="1:48" ht="14.25" customHeight="1" x14ac:dyDescent="0.15">
      <c r="B39" s="75" t="s">
        <v>309</v>
      </c>
    </row>
    <row r="40" spans="1:48" ht="14.25" customHeight="1" x14ac:dyDescent="0.15">
      <c r="F40" s="75" t="s">
        <v>329</v>
      </c>
    </row>
    <row r="41" spans="1:48" ht="14.25" customHeight="1" x14ac:dyDescent="0.15">
      <c r="F41" s="75" t="s">
        <v>330</v>
      </c>
    </row>
    <row r="42" spans="1:48" ht="14.25" customHeight="1" x14ac:dyDescent="0.15">
      <c r="F42" s="75" t="s">
        <v>328</v>
      </c>
    </row>
    <row r="43" spans="1:48" ht="7.5" customHeight="1" x14ac:dyDescent="0.15"/>
    <row r="44" spans="1:48" ht="14.25" customHeight="1" x14ac:dyDescent="0.15">
      <c r="C44" s="187" t="s">
        <v>336</v>
      </c>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7"/>
      <c r="AL44" s="187"/>
      <c r="AM44" s="187"/>
      <c r="AN44" s="187"/>
      <c r="AO44" s="187"/>
      <c r="AP44" s="187"/>
      <c r="AQ44" s="187"/>
      <c r="AR44" s="187"/>
      <c r="AS44" s="187"/>
      <c r="AT44" s="187"/>
      <c r="AU44" s="187"/>
      <c r="AV44" s="187"/>
    </row>
    <row r="45" spans="1:48" ht="14.25" customHeight="1" x14ac:dyDescent="0.15">
      <c r="C45" s="187"/>
      <c r="D45" s="187"/>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c r="AG45" s="187"/>
      <c r="AH45" s="187"/>
      <c r="AI45" s="187"/>
      <c r="AJ45" s="187"/>
      <c r="AK45" s="187"/>
      <c r="AL45" s="187"/>
      <c r="AM45" s="187"/>
      <c r="AN45" s="187"/>
      <c r="AO45" s="187"/>
      <c r="AP45" s="187"/>
      <c r="AQ45" s="187"/>
      <c r="AR45" s="187"/>
      <c r="AS45" s="187"/>
      <c r="AT45" s="187"/>
      <c r="AU45" s="187"/>
      <c r="AV45" s="187"/>
    </row>
    <row r="46" spans="1:48" ht="14.25" customHeight="1" x14ac:dyDescent="0.15">
      <c r="C46" s="187" t="s">
        <v>344</v>
      </c>
      <c r="D46" s="187"/>
      <c r="E46" s="187"/>
      <c r="F46" s="187"/>
      <c r="G46" s="187"/>
      <c r="H46" s="187"/>
      <c r="I46" s="187"/>
      <c r="J46" s="187"/>
      <c r="K46" s="187"/>
      <c r="L46" s="187"/>
      <c r="M46" s="187"/>
      <c r="N46" s="187"/>
      <c r="O46" s="187"/>
      <c r="P46" s="187"/>
      <c r="Q46" s="187"/>
      <c r="R46" s="187"/>
      <c r="S46" s="187"/>
      <c r="T46" s="187"/>
      <c r="U46" s="187"/>
      <c r="V46" s="187"/>
      <c r="W46" s="187"/>
      <c r="X46" s="187"/>
      <c r="Y46" s="187"/>
      <c r="Z46" s="187"/>
      <c r="AA46" s="187"/>
      <c r="AB46" s="187"/>
      <c r="AC46" s="187"/>
      <c r="AD46" s="187"/>
      <c r="AE46" s="187"/>
      <c r="AF46" s="187"/>
      <c r="AG46" s="187"/>
      <c r="AH46" s="187"/>
      <c r="AI46" s="187"/>
      <c r="AJ46" s="187"/>
      <c r="AK46" s="187"/>
      <c r="AL46" s="187"/>
      <c r="AM46" s="187"/>
      <c r="AN46" s="187"/>
      <c r="AO46" s="187"/>
      <c r="AP46" s="187"/>
      <c r="AQ46" s="187"/>
      <c r="AR46" s="187"/>
      <c r="AS46" s="187"/>
      <c r="AT46" s="187"/>
      <c r="AU46" s="187"/>
      <c r="AV46" s="187"/>
    </row>
    <row r="47" spans="1:48" ht="14.25" customHeight="1" x14ac:dyDescent="0.15">
      <c r="C47" s="187"/>
      <c r="D47" s="187"/>
      <c r="E47" s="187"/>
      <c r="F47" s="187"/>
      <c r="G47" s="187"/>
      <c r="H47" s="187"/>
      <c r="I47" s="187"/>
      <c r="J47" s="187"/>
      <c r="K47" s="187"/>
      <c r="L47" s="187"/>
      <c r="M47" s="187"/>
      <c r="N47" s="187"/>
      <c r="O47" s="187"/>
      <c r="P47" s="187"/>
      <c r="Q47" s="187"/>
      <c r="R47" s="187"/>
      <c r="S47" s="187"/>
      <c r="T47" s="187"/>
      <c r="U47" s="187"/>
      <c r="V47" s="187"/>
      <c r="W47" s="187"/>
      <c r="X47" s="187"/>
      <c r="Y47" s="187"/>
      <c r="Z47" s="187"/>
      <c r="AA47" s="187"/>
      <c r="AB47" s="187"/>
      <c r="AC47" s="187"/>
      <c r="AD47" s="187"/>
      <c r="AE47" s="187"/>
      <c r="AF47" s="187"/>
      <c r="AG47" s="187"/>
      <c r="AH47" s="187"/>
      <c r="AI47" s="187"/>
      <c r="AJ47" s="187"/>
      <c r="AK47" s="187"/>
      <c r="AL47" s="187"/>
      <c r="AM47" s="187"/>
      <c r="AN47" s="187"/>
      <c r="AO47" s="187"/>
      <c r="AP47" s="187"/>
      <c r="AQ47" s="187"/>
      <c r="AR47" s="187"/>
      <c r="AS47" s="187"/>
      <c r="AT47" s="187"/>
      <c r="AU47" s="187"/>
      <c r="AV47" s="187"/>
    </row>
    <row r="48" spans="1:48" ht="14.25" customHeight="1" x14ac:dyDescent="0.15">
      <c r="B48" s="75" t="s">
        <v>333</v>
      </c>
    </row>
    <row r="49" spans="1:48" ht="14.25" customHeight="1" x14ac:dyDescent="0.15">
      <c r="D49" s="75" t="s">
        <v>340</v>
      </c>
    </row>
    <row r="50" spans="1:48" ht="14.25" customHeight="1" x14ac:dyDescent="0.15">
      <c r="D50" s="189" t="s">
        <v>338</v>
      </c>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row>
    <row r="51" spans="1:48" ht="14.25" customHeight="1" x14ac:dyDescent="0.15">
      <c r="D51" s="189"/>
      <c r="E51" s="189"/>
      <c r="F51" s="189"/>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c r="AK51" s="189"/>
      <c r="AL51" s="189"/>
      <c r="AM51" s="189"/>
      <c r="AN51" s="189"/>
      <c r="AO51" s="189"/>
      <c r="AP51" s="189"/>
      <c r="AQ51" s="189"/>
      <c r="AR51" s="189"/>
      <c r="AS51" s="189"/>
      <c r="AT51" s="189"/>
      <c r="AU51" s="189"/>
      <c r="AV51" s="189"/>
    </row>
    <row r="52" spans="1:48" ht="14.25" customHeight="1" x14ac:dyDescent="0.15">
      <c r="D52" s="189"/>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189"/>
      <c r="AK52" s="189"/>
      <c r="AL52" s="189"/>
      <c r="AM52" s="189"/>
      <c r="AN52" s="189"/>
      <c r="AO52" s="189"/>
      <c r="AP52" s="189"/>
      <c r="AQ52" s="189"/>
      <c r="AR52" s="189"/>
      <c r="AS52" s="189"/>
      <c r="AT52" s="189"/>
      <c r="AU52" s="189"/>
      <c r="AV52" s="189"/>
    </row>
    <row r="53" spans="1:48" ht="14.25" customHeight="1" x14ac:dyDescent="0.15">
      <c r="D53" s="189"/>
      <c r="E53" s="189"/>
      <c r="F53" s="189"/>
      <c r="G53" s="189"/>
      <c r="H53" s="189"/>
      <c r="I53" s="189"/>
      <c r="J53" s="189"/>
      <c r="K53" s="189"/>
      <c r="L53" s="189"/>
      <c r="M53" s="189"/>
      <c r="N53" s="189"/>
      <c r="O53" s="189"/>
      <c r="P53" s="189"/>
      <c r="Q53" s="189"/>
      <c r="R53" s="189"/>
      <c r="S53" s="189"/>
      <c r="T53" s="189"/>
      <c r="U53" s="189"/>
      <c r="V53" s="189"/>
      <c r="W53" s="189"/>
      <c r="X53" s="189"/>
      <c r="Y53" s="189"/>
      <c r="Z53" s="189"/>
      <c r="AA53" s="189"/>
      <c r="AB53" s="189"/>
      <c r="AC53" s="189"/>
      <c r="AD53" s="189"/>
      <c r="AE53" s="189"/>
      <c r="AF53" s="189"/>
      <c r="AG53" s="189"/>
      <c r="AH53" s="189"/>
      <c r="AI53" s="189"/>
      <c r="AJ53" s="189"/>
      <c r="AK53" s="189"/>
      <c r="AL53" s="189"/>
      <c r="AM53" s="189"/>
      <c r="AN53" s="189"/>
      <c r="AO53" s="189"/>
      <c r="AP53" s="189"/>
      <c r="AQ53" s="189"/>
      <c r="AR53" s="189"/>
      <c r="AS53" s="189"/>
      <c r="AT53" s="189"/>
      <c r="AU53" s="189"/>
      <c r="AV53" s="189"/>
    </row>
    <row r="54" spans="1:48" ht="14.25" customHeight="1" x14ac:dyDescent="0.15">
      <c r="C54" s="187" t="s">
        <v>337</v>
      </c>
      <c r="D54" s="187"/>
      <c r="E54" s="187"/>
      <c r="F54" s="187"/>
      <c r="G54" s="187"/>
      <c r="H54" s="187"/>
      <c r="I54" s="187"/>
      <c r="J54" s="187"/>
      <c r="K54" s="187"/>
      <c r="L54" s="187"/>
      <c r="M54" s="187"/>
      <c r="N54" s="187"/>
      <c r="O54" s="187"/>
      <c r="P54" s="187"/>
      <c r="Q54" s="187"/>
      <c r="R54" s="187"/>
      <c r="S54" s="187"/>
      <c r="T54" s="187"/>
      <c r="U54" s="187"/>
      <c r="V54" s="187"/>
      <c r="W54" s="187"/>
      <c r="X54" s="187"/>
      <c r="Y54" s="187"/>
      <c r="Z54" s="187"/>
      <c r="AA54" s="187"/>
      <c r="AB54" s="187"/>
      <c r="AC54" s="187"/>
      <c r="AD54" s="187"/>
      <c r="AE54" s="187"/>
      <c r="AF54" s="187"/>
      <c r="AG54" s="187"/>
      <c r="AH54" s="187"/>
      <c r="AI54" s="187"/>
      <c r="AJ54" s="187"/>
      <c r="AK54" s="187"/>
      <c r="AL54" s="187"/>
      <c r="AM54" s="187"/>
      <c r="AN54" s="187"/>
      <c r="AO54" s="187"/>
      <c r="AP54" s="187"/>
      <c r="AQ54" s="187"/>
      <c r="AR54" s="187"/>
      <c r="AS54" s="187"/>
      <c r="AT54" s="187"/>
      <c r="AU54" s="187"/>
      <c r="AV54" s="187"/>
    </row>
    <row r="55" spans="1:48" ht="14.25" customHeight="1" x14ac:dyDescent="0.15">
      <c r="B55" s="78"/>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187"/>
      <c r="AL55" s="187"/>
      <c r="AM55" s="187"/>
      <c r="AN55" s="187"/>
      <c r="AO55" s="187"/>
      <c r="AP55" s="187"/>
      <c r="AQ55" s="187"/>
      <c r="AR55" s="187"/>
      <c r="AS55" s="187"/>
      <c r="AT55" s="187"/>
      <c r="AU55" s="187"/>
      <c r="AV55" s="187"/>
    </row>
    <row r="56" spans="1:48" ht="14.25" customHeight="1" x14ac:dyDescent="0.15">
      <c r="B56" s="75" t="s">
        <v>334</v>
      </c>
    </row>
    <row r="57" spans="1:48" ht="14.25" customHeight="1" x14ac:dyDescent="0.15">
      <c r="D57" s="187" t="s">
        <v>339</v>
      </c>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c r="AL57" s="187"/>
      <c r="AM57" s="187"/>
      <c r="AN57" s="187"/>
      <c r="AO57" s="187"/>
      <c r="AP57" s="187"/>
      <c r="AQ57" s="187"/>
      <c r="AR57" s="187"/>
      <c r="AS57" s="187"/>
      <c r="AT57" s="187"/>
      <c r="AU57" s="187"/>
      <c r="AV57" s="187"/>
    </row>
    <row r="58" spans="1:48" ht="14.25" customHeight="1" x14ac:dyDescent="0.15">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c r="AL58" s="187"/>
      <c r="AM58" s="187"/>
      <c r="AN58" s="187"/>
      <c r="AO58" s="187"/>
      <c r="AP58" s="187"/>
      <c r="AQ58" s="187"/>
      <c r="AR58" s="187"/>
      <c r="AS58" s="187"/>
      <c r="AT58" s="187"/>
      <c r="AU58" s="187"/>
      <c r="AV58" s="187"/>
    </row>
    <row r="59" spans="1:48" ht="14.25" customHeight="1" x14ac:dyDescent="0.15">
      <c r="C59" s="75" t="s">
        <v>319</v>
      </c>
    </row>
    <row r="60" spans="1:48" ht="7.5" customHeight="1" x14ac:dyDescent="0.15"/>
    <row r="61" spans="1:48" ht="14.25" customHeight="1" x14ac:dyDescent="0.15">
      <c r="A61" s="75" t="s">
        <v>327</v>
      </c>
    </row>
  </sheetData>
  <mergeCells count="58">
    <mergeCell ref="A1:AV1"/>
    <mergeCell ref="AE36:AF37"/>
    <mergeCell ref="AG36:AH37"/>
    <mergeCell ref="AI36:AJ37"/>
    <mergeCell ref="AK36:AL37"/>
    <mergeCell ref="C28:AV29"/>
    <mergeCell ref="S36:T37"/>
    <mergeCell ref="U36:V37"/>
    <mergeCell ref="W36:X37"/>
    <mergeCell ref="Y36:Z37"/>
    <mergeCell ref="AA36:AB37"/>
    <mergeCell ref="AC36:AD37"/>
    <mergeCell ref="G36:H37"/>
    <mergeCell ref="I36:J37"/>
    <mergeCell ref="K36:L37"/>
    <mergeCell ref="M36:N37"/>
    <mergeCell ref="D57:AV58"/>
    <mergeCell ref="C54:AV55"/>
    <mergeCell ref="D50:AV53"/>
    <mergeCell ref="C46:AV47"/>
    <mergeCell ref="C44:AV45"/>
    <mergeCell ref="O36:P37"/>
    <mergeCell ref="Q36:R37"/>
    <mergeCell ref="F12:I12"/>
    <mergeCell ref="J12:L12"/>
    <mergeCell ref="O12:R12"/>
    <mergeCell ref="N19:Q19"/>
    <mergeCell ref="N20:Q20"/>
    <mergeCell ref="N21:Q21"/>
    <mergeCell ref="O17:Q17"/>
    <mergeCell ref="O15:Q15"/>
    <mergeCell ref="O16:Q16"/>
    <mergeCell ref="K15:N15"/>
    <mergeCell ref="K16:N16"/>
    <mergeCell ref="AB12:AD12"/>
    <mergeCell ref="R21:T21"/>
    <mergeCell ref="T15:W15"/>
    <mergeCell ref="X15:Z15"/>
    <mergeCell ref="R19:T19"/>
    <mergeCell ref="W19:Z19"/>
    <mergeCell ref="AA19:AC19"/>
    <mergeCell ref="S12:U12"/>
    <mergeCell ref="A2:AT2"/>
    <mergeCell ref="K17:N17"/>
    <mergeCell ref="AF19:AI19"/>
    <mergeCell ref="AJ19:AL19"/>
    <mergeCell ref="R20:T20"/>
    <mergeCell ref="AK16:AN16"/>
    <mergeCell ref="AO16:AQ16"/>
    <mergeCell ref="T17:W17"/>
    <mergeCell ref="X17:Z17"/>
    <mergeCell ref="AB17:AE17"/>
    <mergeCell ref="AF17:AH17"/>
    <mergeCell ref="T16:W16"/>
    <mergeCell ref="X16:Z16"/>
    <mergeCell ref="AC16:AF16"/>
    <mergeCell ref="AG16:AI16"/>
    <mergeCell ref="X12:AA12"/>
  </mergeCells>
  <phoneticPr fontId="3"/>
  <pageMargins left="0.59055118110236227" right="0.59055118110236227" top="0.59055118110236227"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6BB90-0DE4-4AD6-9A24-0D45883481F2}">
  <dimension ref="A1:AV60"/>
  <sheetViews>
    <sheetView topLeftCell="A22" zoomScaleNormal="100" workbookViewId="0">
      <selection activeCell="S55" sqref="S55"/>
    </sheetView>
  </sheetViews>
  <sheetFormatPr defaultColWidth="9" defaultRowHeight="12" x14ac:dyDescent="0.15"/>
  <cols>
    <col min="1" max="1" width="4.125" style="75" customWidth="1"/>
    <col min="2" max="50" width="1.875" style="75" customWidth="1"/>
    <col min="51" max="16384" width="9" style="75"/>
  </cols>
  <sheetData>
    <row r="1" spans="1:48" x14ac:dyDescent="0.15">
      <c r="A1" s="188" t="str">
        <f ca="1">"令和"&amp;IF(YEAR(NOW())=2019,"元",YEAR(NOW())-2018)&amp;"年度 第"&amp;YEAR(NOW())-2000&amp;"回 石川県中学校新人サッカー大会 監督会議および抽選会"</f>
        <v>令和5年度 第23回 石川県中学校新人サッカー大会 監督会議および抽選会</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row>
    <row r="2" spans="1:48" ht="7.5" customHeight="1" x14ac:dyDescent="0.15"/>
    <row r="3" spans="1:48" ht="14.25" customHeight="1" x14ac:dyDescent="0.15">
      <c r="A3" s="80" t="s">
        <v>285</v>
      </c>
    </row>
    <row r="4" spans="1:48" ht="14.25" customHeight="1" x14ac:dyDescent="0.15">
      <c r="B4" s="75" t="s">
        <v>310</v>
      </c>
      <c r="AA4" s="76" t="s">
        <v>311</v>
      </c>
      <c r="AC4" s="75" t="str">
        <f>表紙裏!O11</f>
        <v>岩脇　司　</v>
      </c>
    </row>
    <row r="5" spans="1:48" ht="14.25" customHeight="1" x14ac:dyDescent="0.15">
      <c r="B5" s="75" t="s">
        <v>286</v>
      </c>
    </row>
    <row r="6" spans="1:48" ht="14.25" customHeight="1" x14ac:dyDescent="0.15">
      <c r="B6" s="75" t="s">
        <v>287</v>
      </c>
    </row>
    <row r="7" spans="1:48" ht="14.25" customHeight="1" x14ac:dyDescent="0.15">
      <c r="B7" s="75" t="s">
        <v>288</v>
      </c>
    </row>
    <row r="8" spans="1:48" ht="7.5" customHeight="1" x14ac:dyDescent="0.15"/>
    <row r="9" spans="1:48" ht="14.25" customHeight="1" x14ac:dyDescent="0.15">
      <c r="A9" s="80" t="s">
        <v>289</v>
      </c>
    </row>
    <row r="10" spans="1:48" ht="14.25" customHeight="1" x14ac:dyDescent="0.15">
      <c r="A10" s="75" t="s">
        <v>547</v>
      </c>
    </row>
    <row r="11" spans="1:48" ht="14.25" customHeight="1" x14ac:dyDescent="0.15">
      <c r="E11" s="77" t="s">
        <v>293</v>
      </c>
      <c r="F11" s="183"/>
      <c r="G11" s="183"/>
      <c r="H11" s="183"/>
      <c r="I11" s="183"/>
      <c r="J11" s="182" t="s">
        <v>318</v>
      </c>
      <c r="K11" s="182"/>
      <c r="L11" s="182"/>
      <c r="N11" s="77" t="s">
        <v>294</v>
      </c>
      <c r="O11" s="183"/>
      <c r="P11" s="183"/>
      <c r="Q11" s="183"/>
      <c r="R11" s="183"/>
      <c r="S11" s="182" t="s">
        <v>318</v>
      </c>
      <c r="T11" s="182"/>
      <c r="U11" s="182"/>
      <c r="W11" s="77"/>
      <c r="X11" s="180"/>
      <c r="Y11" s="180"/>
      <c r="Z11" s="180"/>
      <c r="AA11" s="180"/>
      <c r="AB11" s="181"/>
      <c r="AC11" s="181"/>
      <c r="AD11" s="181"/>
    </row>
    <row r="12" spans="1:48" ht="14.25" customHeight="1" x14ac:dyDescent="0.15">
      <c r="A12" s="75" t="s">
        <v>548</v>
      </c>
    </row>
    <row r="13" spans="1:48" ht="14.25" customHeight="1" x14ac:dyDescent="0.15">
      <c r="D13" s="75" t="s">
        <v>546</v>
      </c>
    </row>
    <row r="14" spans="1:48" ht="14.25" customHeight="1" x14ac:dyDescent="0.15">
      <c r="D14" s="75" t="s">
        <v>312</v>
      </c>
      <c r="J14" s="77" t="s">
        <v>293</v>
      </c>
      <c r="K14" s="183"/>
      <c r="L14" s="183"/>
      <c r="M14" s="183"/>
      <c r="N14" s="183"/>
      <c r="O14" s="182" t="s">
        <v>318</v>
      </c>
      <c r="P14" s="182"/>
      <c r="Q14" s="182"/>
      <c r="R14" s="77"/>
    </row>
    <row r="15" spans="1:48" ht="14.25" customHeight="1" x14ac:dyDescent="0.15">
      <c r="D15" s="75" t="s">
        <v>313</v>
      </c>
      <c r="J15" s="77" t="s">
        <v>293</v>
      </c>
      <c r="K15" s="183"/>
      <c r="L15" s="183"/>
      <c r="M15" s="183"/>
      <c r="N15" s="183"/>
      <c r="O15" s="182" t="s">
        <v>318</v>
      </c>
      <c r="P15" s="182"/>
      <c r="Q15" s="182"/>
      <c r="R15" s="77"/>
      <c r="S15" s="77" t="s">
        <v>294</v>
      </c>
      <c r="T15" s="183"/>
      <c r="U15" s="183"/>
      <c r="V15" s="183"/>
      <c r="W15" s="183"/>
      <c r="X15" s="182" t="s">
        <v>318</v>
      </c>
      <c r="Y15" s="182"/>
      <c r="Z15" s="182"/>
      <c r="AA15" s="77"/>
      <c r="AB15" s="77" t="s">
        <v>295</v>
      </c>
      <c r="AC15" s="183"/>
      <c r="AD15" s="183"/>
      <c r="AE15" s="183"/>
      <c r="AF15" s="183"/>
      <c r="AG15" s="182" t="s">
        <v>318</v>
      </c>
      <c r="AH15" s="182"/>
      <c r="AI15" s="182"/>
      <c r="AJ15" s="77" t="s">
        <v>295</v>
      </c>
      <c r="AK15" s="183"/>
      <c r="AL15" s="183"/>
      <c r="AM15" s="183"/>
      <c r="AN15" s="183"/>
      <c r="AO15" s="182" t="s">
        <v>318</v>
      </c>
      <c r="AP15" s="182"/>
      <c r="AQ15" s="182"/>
    </row>
    <row r="16" spans="1:48" ht="14.25" customHeight="1" x14ac:dyDescent="0.15">
      <c r="J16" s="77" t="s">
        <v>297</v>
      </c>
      <c r="K16" s="184"/>
      <c r="L16" s="184"/>
      <c r="M16" s="184"/>
      <c r="N16" s="184"/>
      <c r="O16" s="182" t="s">
        <v>318</v>
      </c>
      <c r="P16" s="182"/>
      <c r="Q16" s="182"/>
      <c r="R16" s="77"/>
      <c r="S16" s="77" t="s">
        <v>297</v>
      </c>
      <c r="T16" s="183"/>
      <c r="U16" s="183"/>
      <c r="V16" s="183"/>
      <c r="W16" s="183"/>
      <c r="X16" s="182" t="s">
        <v>318</v>
      </c>
      <c r="Y16" s="182"/>
      <c r="Z16" s="182"/>
      <c r="AA16" s="77"/>
      <c r="AB16" s="77" t="s">
        <v>299</v>
      </c>
      <c r="AC16" s="184"/>
      <c r="AD16" s="184"/>
      <c r="AE16" s="184"/>
      <c r="AF16" s="184"/>
      <c r="AG16" s="182" t="s">
        <v>318</v>
      </c>
      <c r="AH16" s="182"/>
      <c r="AI16" s="182"/>
      <c r="AJ16" s="77" t="s">
        <v>542</v>
      </c>
      <c r="AK16" s="183"/>
      <c r="AL16" s="183"/>
      <c r="AM16" s="183"/>
      <c r="AN16" s="183"/>
      <c r="AO16" s="182" t="s">
        <v>318</v>
      </c>
      <c r="AP16" s="182"/>
      <c r="AQ16" s="182"/>
    </row>
    <row r="17" spans="1:48" ht="14.25" customHeight="1" x14ac:dyDescent="0.15">
      <c r="D17" s="75" t="s">
        <v>323</v>
      </c>
    </row>
    <row r="18" spans="1:48" ht="14.25" customHeight="1" x14ac:dyDescent="0.15">
      <c r="D18" s="75" t="s">
        <v>314</v>
      </c>
      <c r="L18" s="77" t="s">
        <v>293</v>
      </c>
      <c r="M18" s="183"/>
      <c r="N18" s="183"/>
      <c r="O18" s="183"/>
      <c r="P18" s="183"/>
      <c r="Q18" s="182" t="s">
        <v>318</v>
      </c>
      <c r="R18" s="182"/>
      <c r="S18" s="182"/>
      <c r="T18" s="77"/>
      <c r="U18" s="77" t="s">
        <v>294</v>
      </c>
      <c r="V18" s="183"/>
      <c r="W18" s="183"/>
      <c r="X18" s="183"/>
      <c r="Y18" s="183"/>
      <c r="Z18" s="182" t="s">
        <v>318</v>
      </c>
      <c r="AA18" s="182"/>
      <c r="AB18" s="182"/>
      <c r="AC18" s="77"/>
      <c r="AD18" s="77" t="s">
        <v>295</v>
      </c>
      <c r="AE18" s="183"/>
      <c r="AF18" s="183"/>
      <c r="AG18" s="183"/>
      <c r="AH18" s="183"/>
      <c r="AI18" s="182" t="s">
        <v>318</v>
      </c>
      <c r="AJ18" s="182"/>
      <c r="AK18" s="182"/>
    </row>
    <row r="19" spans="1:48" ht="14.25" customHeight="1" x14ac:dyDescent="0.15">
      <c r="D19" s="75" t="s">
        <v>315</v>
      </c>
      <c r="L19" s="77" t="s">
        <v>293</v>
      </c>
      <c r="M19" s="183"/>
      <c r="N19" s="183"/>
      <c r="O19" s="183"/>
      <c r="P19" s="183"/>
      <c r="Q19" s="182" t="s">
        <v>318</v>
      </c>
      <c r="R19" s="182"/>
      <c r="S19" s="182"/>
      <c r="T19" s="77"/>
    </row>
    <row r="20" spans="1:48" ht="14.25" customHeight="1" x14ac:dyDescent="0.15">
      <c r="D20" s="75" t="s">
        <v>316</v>
      </c>
      <c r="L20" s="77" t="s">
        <v>293</v>
      </c>
      <c r="M20" s="184"/>
      <c r="N20" s="184"/>
      <c r="O20" s="184"/>
      <c r="P20" s="184"/>
      <c r="Q20" s="182" t="s">
        <v>318</v>
      </c>
      <c r="R20" s="182"/>
      <c r="S20" s="182"/>
      <c r="T20" s="77"/>
    </row>
    <row r="21" spans="1:48" ht="7.5" customHeight="1" x14ac:dyDescent="0.15"/>
    <row r="22" spans="1:48" ht="14.25" customHeight="1" x14ac:dyDescent="0.15">
      <c r="A22" s="80" t="s">
        <v>290</v>
      </c>
    </row>
    <row r="23" spans="1:48" ht="14.25" customHeight="1" x14ac:dyDescent="0.15">
      <c r="B23" s="75" t="s">
        <v>324</v>
      </c>
    </row>
    <row r="24" spans="1:48" ht="7.5" customHeight="1" x14ac:dyDescent="0.15"/>
    <row r="25" spans="1:48" ht="14.25" customHeight="1" x14ac:dyDescent="0.15">
      <c r="A25" s="80" t="s">
        <v>291</v>
      </c>
    </row>
    <row r="26" spans="1:48" ht="14.25" customHeight="1" x14ac:dyDescent="0.15">
      <c r="A26" s="75" t="s">
        <v>292</v>
      </c>
    </row>
    <row r="27" spans="1:48" ht="14.25" customHeight="1" x14ac:dyDescent="0.15">
      <c r="C27" s="187" t="s">
        <v>326</v>
      </c>
      <c r="D27" s="187"/>
      <c r="E27" s="187"/>
      <c r="F27" s="187"/>
      <c r="G27" s="187"/>
      <c r="H27" s="187"/>
      <c r="I27" s="187"/>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187"/>
      <c r="AM27" s="187"/>
      <c r="AN27" s="187"/>
      <c r="AO27" s="187"/>
      <c r="AP27" s="187"/>
      <c r="AQ27" s="187"/>
      <c r="AR27" s="187"/>
      <c r="AS27" s="187"/>
      <c r="AT27" s="187"/>
      <c r="AU27" s="187"/>
      <c r="AV27" s="187"/>
    </row>
    <row r="28" spans="1:48" ht="14.25" customHeight="1" x14ac:dyDescent="0.15">
      <c r="B28" s="78"/>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187"/>
      <c r="AM28" s="187"/>
      <c r="AN28" s="187"/>
      <c r="AO28" s="187"/>
      <c r="AP28" s="187"/>
      <c r="AQ28" s="187"/>
      <c r="AR28" s="187"/>
      <c r="AS28" s="187"/>
      <c r="AT28" s="187"/>
      <c r="AU28" s="187"/>
      <c r="AV28" s="187"/>
    </row>
    <row r="29" spans="1:48" ht="7.5" customHeight="1" x14ac:dyDescent="0.15"/>
    <row r="30" spans="1:48" ht="14.25" customHeight="1" x14ac:dyDescent="0.15">
      <c r="G30" s="75" t="s">
        <v>317</v>
      </c>
      <c r="V30" s="95"/>
      <c r="W30" s="96"/>
    </row>
    <row r="31" spans="1:48" ht="14.25" customHeight="1" x14ac:dyDescent="0.15">
      <c r="O31" s="90"/>
      <c r="P31" s="94"/>
      <c r="Q31" s="94"/>
      <c r="R31" s="94"/>
      <c r="S31" s="94"/>
      <c r="T31" s="94"/>
      <c r="U31" s="94"/>
      <c r="V31" s="94"/>
      <c r="W31" s="94"/>
      <c r="X31" s="94"/>
      <c r="Y31" s="94"/>
      <c r="Z31" s="94"/>
      <c r="AA31" s="94"/>
      <c r="AB31" s="94"/>
      <c r="AC31" s="94"/>
      <c r="AD31" s="92"/>
    </row>
    <row r="32" spans="1:48" ht="14.25" customHeight="1" x14ac:dyDescent="0.15">
      <c r="J32" s="79"/>
      <c r="K32" s="90"/>
      <c r="L32" s="94"/>
      <c r="M32" s="94"/>
      <c r="N32" s="94"/>
      <c r="O32" s="94"/>
      <c r="P32" s="94"/>
      <c r="Q32" s="94"/>
      <c r="R32" s="92"/>
      <c r="AA32" s="90"/>
      <c r="AB32" s="94"/>
      <c r="AC32" s="94"/>
      <c r="AD32" s="94"/>
      <c r="AE32" s="94"/>
      <c r="AF32" s="94"/>
      <c r="AG32" s="94"/>
      <c r="AH32" s="92"/>
      <c r="AI32" s="79"/>
    </row>
    <row r="33" spans="1:48" ht="14.25" customHeight="1" x14ac:dyDescent="0.15">
      <c r="G33" s="79"/>
      <c r="H33" s="79"/>
      <c r="I33" s="90"/>
      <c r="J33" s="94"/>
      <c r="K33" s="94"/>
      <c r="L33" s="92"/>
      <c r="Q33" s="90"/>
      <c r="R33" s="94"/>
      <c r="S33" s="94"/>
      <c r="T33" s="92"/>
      <c r="Y33" s="90"/>
      <c r="Z33" s="94"/>
      <c r="AA33" s="94"/>
      <c r="AB33" s="92"/>
      <c r="AG33" s="90"/>
      <c r="AH33" s="94"/>
      <c r="AI33" s="94"/>
      <c r="AJ33" s="92"/>
      <c r="AK33" s="79"/>
      <c r="AL33" s="79"/>
    </row>
    <row r="34" spans="1:48" ht="14.25" customHeight="1" x14ac:dyDescent="0.15">
      <c r="F34" s="79"/>
      <c r="G34" s="79"/>
      <c r="H34" s="90"/>
      <c r="I34" s="91"/>
      <c r="L34" s="90"/>
      <c r="M34" s="92"/>
      <c r="P34" s="90"/>
      <c r="Q34" s="92"/>
      <c r="T34" s="90"/>
      <c r="U34" s="92"/>
      <c r="X34" s="90"/>
      <c r="Y34" s="92"/>
      <c r="AB34" s="90"/>
      <c r="AC34" s="92"/>
      <c r="AF34" s="90"/>
      <c r="AG34" s="92"/>
      <c r="AJ34" s="93"/>
      <c r="AK34" s="92"/>
      <c r="AL34" s="79"/>
    </row>
    <row r="35" spans="1:48" ht="14.25" customHeight="1" x14ac:dyDescent="0.15">
      <c r="A35" s="79"/>
      <c r="B35" s="79"/>
      <c r="C35" s="79"/>
      <c r="D35" s="79"/>
      <c r="E35" s="79"/>
      <c r="F35" s="79"/>
      <c r="G35" s="185" t="s">
        <v>347</v>
      </c>
      <c r="H35" s="185"/>
      <c r="I35" s="185" t="s">
        <v>294</v>
      </c>
      <c r="J35" s="185"/>
      <c r="K35" s="185" t="s">
        <v>295</v>
      </c>
      <c r="L35" s="185"/>
      <c r="M35" s="185" t="s">
        <v>296</v>
      </c>
      <c r="N35" s="185"/>
      <c r="O35" s="185" t="s">
        <v>297</v>
      </c>
      <c r="P35" s="185"/>
      <c r="Q35" s="185" t="s">
        <v>298</v>
      </c>
      <c r="R35" s="185"/>
      <c r="S35" s="185" t="s">
        <v>299</v>
      </c>
      <c r="T35" s="185"/>
      <c r="U35" s="185" t="s">
        <v>300</v>
      </c>
      <c r="V35" s="185"/>
      <c r="W35" s="185" t="s">
        <v>301</v>
      </c>
      <c r="X35" s="185"/>
      <c r="Y35" s="185" t="s">
        <v>302</v>
      </c>
      <c r="Z35" s="185"/>
      <c r="AA35" s="185" t="s">
        <v>303</v>
      </c>
      <c r="AB35" s="185"/>
      <c r="AC35" s="185" t="s">
        <v>304</v>
      </c>
      <c r="AD35" s="185"/>
      <c r="AE35" s="185" t="s">
        <v>305</v>
      </c>
      <c r="AF35" s="185"/>
      <c r="AG35" s="185" t="s">
        <v>306</v>
      </c>
      <c r="AH35" s="185"/>
      <c r="AI35" s="185" t="s">
        <v>307</v>
      </c>
      <c r="AJ35" s="185"/>
      <c r="AK35" s="185" t="s">
        <v>308</v>
      </c>
      <c r="AL35" s="185"/>
    </row>
    <row r="36" spans="1:48" ht="14.25" customHeight="1" x14ac:dyDescent="0.15">
      <c r="A36" s="79"/>
      <c r="B36" s="79"/>
      <c r="C36" s="79"/>
      <c r="D36" s="79"/>
      <c r="E36" s="79"/>
      <c r="F36" s="79"/>
      <c r="G36" s="186"/>
      <c r="H36" s="186"/>
      <c r="I36" s="186"/>
      <c r="J36" s="186"/>
      <c r="K36" s="186"/>
      <c r="L36" s="186"/>
      <c r="M36" s="186"/>
      <c r="N36" s="186"/>
      <c r="O36" s="186"/>
      <c r="P36" s="186"/>
      <c r="Q36" s="186"/>
      <c r="R36" s="186"/>
      <c r="S36" s="186"/>
      <c r="T36" s="186"/>
      <c r="U36" s="186"/>
      <c r="V36" s="186"/>
      <c r="W36" s="186"/>
      <c r="X36" s="186"/>
      <c r="Y36" s="186"/>
      <c r="Z36" s="186"/>
      <c r="AA36" s="186"/>
      <c r="AB36" s="186"/>
      <c r="AC36" s="186"/>
      <c r="AD36" s="186"/>
      <c r="AE36" s="186"/>
      <c r="AF36" s="186"/>
      <c r="AG36" s="186"/>
      <c r="AH36" s="186"/>
      <c r="AI36" s="186"/>
      <c r="AJ36" s="186"/>
      <c r="AK36" s="186"/>
      <c r="AL36" s="186"/>
    </row>
    <row r="37" spans="1:48" ht="7.5" customHeight="1" x14ac:dyDescent="0.15">
      <c r="A37" s="79"/>
      <c r="B37" s="79"/>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row>
    <row r="38" spans="1:48" ht="14.25" customHeight="1" x14ac:dyDescent="0.15">
      <c r="B38" s="75" t="s">
        <v>309</v>
      </c>
    </row>
    <row r="39" spans="1:48" ht="14.25" customHeight="1" x14ac:dyDescent="0.15">
      <c r="F39" s="75" t="s">
        <v>329</v>
      </c>
    </row>
    <row r="40" spans="1:48" ht="14.25" customHeight="1" x14ac:dyDescent="0.15">
      <c r="F40" s="75" t="s">
        <v>330</v>
      </c>
    </row>
    <row r="41" spans="1:48" ht="14.25" customHeight="1" x14ac:dyDescent="0.15">
      <c r="F41" s="75" t="s">
        <v>328</v>
      </c>
    </row>
    <row r="42" spans="1:48" ht="7.5" customHeight="1" x14ac:dyDescent="0.15"/>
    <row r="43" spans="1:48" ht="14.25" customHeight="1" x14ac:dyDescent="0.15">
      <c r="C43" s="187" t="s">
        <v>331</v>
      </c>
      <c r="D43" s="187"/>
      <c r="E43" s="187"/>
      <c r="F43" s="187"/>
      <c r="G43" s="187"/>
      <c r="H43" s="187"/>
      <c r="I43" s="187"/>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7"/>
      <c r="AJ43" s="187"/>
      <c r="AK43" s="187"/>
      <c r="AL43" s="187"/>
      <c r="AM43" s="187"/>
      <c r="AN43" s="187"/>
      <c r="AO43" s="187"/>
      <c r="AP43" s="187"/>
      <c r="AQ43" s="187"/>
      <c r="AR43" s="187"/>
      <c r="AS43" s="187"/>
      <c r="AT43" s="187"/>
      <c r="AU43" s="187"/>
      <c r="AV43" s="187"/>
    </row>
    <row r="44" spans="1:48" ht="14.25" customHeight="1" x14ac:dyDescent="0.15">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7"/>
      <c r="AL44" s="187"/>
      <c r="AM44" s="187"/>
      <c r="AN44" s="187"/>
      <c r="AO44" s="187"/>
      <c r="AP44" s="187"/>
      <c r="AQ44" s="187"/>
      <c r="AR44" s="187"/>
      <c r="AS44" s="187"/>
      <c r="AT44" s="187"/>
      <c r="AU44" s="187"/>
      <c r="AV44" s="187"/>
    </row>
    <row r="45" spans="1:48" ht="14.25" customHeight="1" x14ac:dyDescent="0.15">
      <c r="C45" s="187" t="s">
        <v>332</v>
      </c>
      <c r="D45" s="187"/>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c r="AG45" s="187"/>
      <c r="AH45" s="187"/>
      <c r="AI45" s="187"/>
      <c r="AJ45" s="187"/>
      <c r="AK45" s="187"/>
      <c r="AL45" s="187"/>
      <c r="AM45" s="187"/>
      <c r="AN45" s="187"/>
      <c r="AO45" s="187"/>
      <c r="AP45" s="187"/>
      <c r="AQ45" s="187"/>
      <c r="AR45" s="187"/>
      <c r="AS45" s="187"/>
      <c r="AT45" s="187"/>
      <c r="AU45" s="187"/>
      <c r="AV45" s="187"/>
    </row>
    <row r="46" spans="1:48" ht="14.25" customHeight="1" x14ac:dyDescent="0.15">
      <c r="C46" s="187"/>
      <c r="D46" s="187"/>
      <c r="E46" s="187"/>
      <c r="F46" s="187"/>
      <c r="G46" s="187"/>
      <c r="H46" s="187"/>
      <c r="I46" s="187"/>
      <c r="J46" s="187"/>
      <c r="K46" s="187"/>
      <c r="L46" s="187"/>
      <c r="M46" s="187"/>
      <c r="N46" s="187"/>
      <c r="O46" s="187"/>
      <c r="P46" s="187"/>
      <c r="Q46" s="187"/>
      <c r="R46" s="187"/>
      <c r="S46" s="187"/>
      <c r="T46" s="187"/>
      <c r="U46" s="187"/>
      <c r="V46" s="187"/>
      <c r="W46" s="187"/>
      <c r="X46" s="187"/>
      <c r="Y46" s="187"/>
      <c r="Z46" s="187"/>
      <c r="AA46" s="187"/>
      <c r="AB46" s="187"/>
      <c r="AC46" s="187"/>
      <c r="AD46" s="187"/>
      <c r="AE46" s="187"/>
      <c r="AF46" s="187"/>
      <c r="AG46" s="187"/>
      <c r="AH46" s="187"/>
      <c r="AI46" s="187"/>
      <c r="AJ46" s="187"/>
      <c r="AK46" s="187"/>
      <c r="AL46" s="187"/>
      <c r="AM46" s="187"/>
      <c r="AN46" s="187"/>
      <c r="AO46" s="187"/>
      <c r="AP46" s="187"/>
      <c r="AQ46" s="187"/>
      <c r="AR46" s="187"/>
      <c r="AS46" s="187"/>
      <c r="AT46" s="187"/>
      <c r="AU46" s="187"/>
      <c r="AV46" s="187"/>
    </row>
    <row r="47" spans="1:48" ht="14.25" customHeight="1" x14ac:dyDescent="0.15">
      <c r="B47" s="75" t="s">
        <v>333</v>
      </c>
    </row>
    <row r="48" spans="1:48" ht="14.25" customHeight="1" x14ac:dyDescent="0.15">
      <c r="D48" s="75" t="s">
        <v>341</v>
      </c>
    </row>
    <row r="49" spans="1:48" ht="14.25" customHeight="1" x14ac:dyDescent="0.15">
      <c r="D49" s="189" t="s">
        <v>338</v>
      </c>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89"/>
      <c r="AI49" s="189"/>
      <c r="AJ49" s="189"/>
      <c r="AK49" s="189"/>
      <c r="AL49" s="189"/>
      <c r="AM49" s="189"/>
      <c r="AN49" s="189"/>
      <c r="AO49" s="189"/>
      <c r="AP49" s="189"/>
      <c r="AQ49" s="189"/>
      <c r="AR49" s="189"/>
      <c r="AS49" s="189"/>
      <c r="AT49" s="189"/>
      <c r="AU49" s="189"/>
      <c r="AV49" s="189"/>
    </row>
    <row r="50" spans="1:48" ht="14.25" customHeight="1" x14ac:dyDescent="0.15">
      <c r="D50" s="189"/>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row>
    <row r="51" spans="1:48" ht="14.25" customHeight="1" x14ac:dyDescent="0.15">
      <c r="D51" s="189"/>
      <c r="E51" s="189"/>
      <c r="F51" s="189"/>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c r="AK51" s="189"/>
      <c r="AL51" s="189"/>
      <c r="AM51" s="189"/>
      <c r="AN51" s="189"/>
      <c r="AO51" s="189"/>
      <c r="AP51" s="189"/>
      <c r="AQ51" s="189"/>
      <c r="AR51" s="189"/>
      <c r="AS51" s="189"/>
      <c r="AT51" s="189"/>
      <c r="AU51" s="189"/>
      <c r="AV51" s="189"/>
    </row>
    <row r="52" spans="1:48" ht="14.25" customHeight="1" x14ac:dyDescent="0.15">
      <c r="D52" s="189"/>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189"/>
      <c r="AK52" s="189"/>
      <c r="AL52" s="189"/>
      <c r="AM52" s="189"/>
      <c r="AN52" s="189"/>
      <c r="AO52" s="189"/>
      <c r="AP52" s="189"/>
      <c r="AQ52" s="189"/>
      <c r="AR52" s="189"/>
      <c r="AS52" s="189"/>
      <c r="AT52" s="189"/>
      <c r="AU52" s="189"/>
      <c r="AV52" s="189"/>
    </row>
    <row r="53" spans="1:48" ht="14.25" customHeight="1" x14ac:dyDescent="0.15">
      <c r="C53" s="187" t="s">
        <v>342</v>
      </c>
      <c r="D53" s="187"/>
      <c r="E53" s="187"/>
      <c r="F53" s="187"/>
      <c r="G53" s="187"/>
      <c r="H53" s="187"/>
      <c r="I53" s="187"/>
      <c r="J53" s="187"/>
      <c r="K53" s="187"/>
      <c r="L53" s="187"/>
      <c r="M53" s="187"/>
      <c r="N53" s="187"/>
      <c r="O53" s="187"/>
      <c r="P53" s="187"/>
      <c r="Q53" s="187"/>
      <c r="R53" s="187"/>
      <c r="S53" s="187"/>
      <c r="T53" s="187"/>
      <c r="U53" s="187"/>
      <c r="V53" s="187"/>
      <c r="W53" s="187"/>
      <c r="X53" s="187"/>
      <c r="Y53" s="187"/>
      <c r="Z53" s="187"/>
      <c r="AA53" s="187"/>
      <c r="AB53" s="187"/>
      <c r="AC53" s="187"/>
      <c r="AD53" s="187"/>
      <c r="AE53" s="187"/>
      <c r="AF53" s="187"/>
      <c r="AG53" s="187"/>
      <c r="AH53" s="187"/>
      <c r="AI53" s="187"/>
      <c r="AJ53" s="187"/>
      <c r="AK53" s="187"/>
      <c r="AL53" s="187"/>
      <c r="AM53" s="187"/>
      <c r="AN53" s="187"/>
      <c r="AO53" s="187"/>
      <c r="AP53" s="187"/>
      <c r="AQ53" s="187"/>
      <c r="AR53" s="187"/>
      <c r="AS53" s="187"/>
      <c r="AT53" s="187"/>
      <c r="AU53" s="187"/>
      <c r="AV53" s="187"/>
    </row>
    <row r="54" spans="1:48" ht="14.25" customHeight="1" x14ac:dyDescent="0.15">
      <c r="B54" s="78"/>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c r="AA54" s="187"/>
      <c r="AB54" s="187"/>
      <c r="AC54" s="187"/>
      <c r="AD54" s="187"/>
      <c r="AE54" s="187"/>
      <c r="AF54" s="187"/>
      <c r="AG54" s="187"/>
      <c r="AH54" s="187"/>
      <c r="AI54" s="187"/>
      <c r="AJ54" s="187"/>
      <c r="AK54" s="187"/>
      <c r="AL54" s="187"/>
      <c r="AM54" s="187"/>
      <c r="AN54" s="187"/>
      <c r="AO54" s="187"/>
      <c r="AP54" s="187"/>
      <c r="AQ54" s="187"/>
      <c r="AR54" s="187"/>
      <c r="AS54" s="187"/>
      <c r="AT54" s="187"/>
      <c r="AU54" s="187"/>
      <c r="AV54" s="187"/>
    </row>
    <row r="55" spans="1:48" ht="14.25" customHeight="1" x14ac:dyDescent="0.15">
      <c r="B55" s="75" t="s">
        <v>334</v>
      </c>
    </row>
    <row r="56" spans="1:48" ht="14.25" customHeight="1" x14ac:dyDescent="0.15">
      <c r="D56" s="187" t="s">
        <v>343</v>
      </c>
      <c r="E56" s="187"/>
      <c r="F56" s="187"/>
      <c r="G56" s="187"/>
      <c r="H56" s="187"/>
      <c r="I56" s="187"/>
      <c r="J56" s="187"/>
      <c r="K56" s="187"/>
      <c r="L56" s="187"/>
      <c r="M56" s="187"/>
      <c r="N56" s="187"/>
      <c r="O56" s="187"/>
      <c r="P56" s="187"/>
      <c r="Q56" s="187"/>
      <c r="R56" s="187"/>
      <c r="S56" s="187"/>
      <c r="T56" s="187"/>
      <c r="U56" s="187"/>
      <c r="V56" s="187"/>
      <c r="W56" s="187"/>
      <c r="X56" s="187"/>
      <c r="Y56" s="187"/>
      <c r="Z56" s="187"/>
      <c r="AA56" s="187"/>
      <c r="AB56" s="187"/>
      <c r="AC56" s="187"/>
      <c r="AD56" s="187"/>
      <c r="AE56" s="187"/>
      <c r="AF56" s="187"/>
      <c r="AG56" s="187"/>
      <c r="AH56" s="187"/>
      <c r="AI56" s="187"/>
      <c r="AJ56" s="187"/>
      <c r="AK56" s="187"/>
      <c r="AL56" s="187"/>
      <c r="AM56" s="187"/>
      <c r="AN56" s="187"/>
      <c r="AO56" s="187"/>
      <c r="AP56" s="187"/>
      <c r="AQ56" s="187"/>
      <c r="AR56" s="187"/>
      <c r="AS56" s="187"/>
      <c r="AT56" s="187"/>
      <c r="AU56" s="187"/>
      <c r="AV56" s="187"/>
    </row>
    <row r="57" spans="1:48" ht="14.25" customHeight="1" x14ac:dyDescent="0.15">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c r="AL57" s="187"/>
      <c r="AM57" s="187"/>
      <c r="AN57" s="187"/>
      <c r="AO57" s="187"/>
      <c r="AP57" s="187"/>
      <c r="AQ57" s="187"/>
      <c r="AR57" s="187"/>
      <c r="AS57" s="187"/>
      <c r="AT57" s="187"/>
      <c r="AU57" s="187"/>
      <c r="AV57" s="187"/>
    </row>
    <row r="58" spans="1:48" ht="14.25" customHeight="1" x14ac:dyDescent="0.15">
      <c r="C58" s="75" t="s">
        <v>335</v>
      </c>
    </row>
    <row r="59" spans="1:48" ht="7.5" customHeight="1" x14ac:dyDescent="0.15"/>
    <row r="60" spans="1:48" ht="14.25" customHeight="1" x14ac:dyDescent="0.15">
      <c r="A60" s="75" t="s">
        <v>327</v>
      </c>
    </row>
  </sheetData>
  <mergeCells count="55">
    <mergeCell ref="C45:AV46"/>
    <mergeCell ref="D49:AV52"/>
    <mergeCell ref="C53:AV54"/>
    <mergeCell ref="D56:AV57"/>
    <mergeCell ref="AK16:AN16"/>
    <mergeCell ref="AO16:AQ16"/>
    <mergeCell ref="AC35:AD36"/>
    <mergeCell ref="AE35:AF36"/>
    <mergeCell ref="AG35:AH36"/>
    <mergeCell ref="AI35:AJ36"/>
    <mergeCell ref="AK35:AL36"/>
    <mergeCell ref="C43:AV44"/>
    <mergeCell ref="Q35:R36"/>
    <mergeCell ref="S35:T36"/>
    <mergeCell ref="U35:V36"/>
    <mergeCell ref="W35:X36"/>
    <mergeCell ref="Y35:Z36"/>
    <mergeCell ref="AA35:AB36"/>
    <mergeCell ref="M19:P19"/>
    <mergeCell ref="Q19:S19"/>
    <mergeCell ref="M20:P20"/>
    <mergeCell ref="Q20:S20"/>
    <mergeCell ref="C27:AV28"/>
    <mergeCell ref="G35:H36"/>
    <mergeCell ref="I35:J36"/>
    <mergeCell ref="K35:L36"/>
    <mergeCell ref="M35:N36"/>
    <mergeCell ref="O35:P36"/>
    <mergeCell ref="M18:P18"/>
    <mergeCell ref="Q18:S18"/>
    <mergeCell ref="V18:Y18"/>
    <mergeCell ref="Z18:AB18"/>
    <mergeCell ref="AE18:AH18"/>
    <mergeCell ref="AI18:AK18"/>
    <mergeCell ref="AC15:AF15"/>
    <mergeCell ref="AG15:AI15"/>
    <mergeCell ref="AK15:AN15"/>
    <mergeCell ref="AO15:AQ15"/>
    <mergeCell ref="AG16:AI16"/>
    <mergeCell ref="K16:N16"/>
    <mergeCell ref="O16:Q16"/>
    <mergeCell ref="T16:W16"/>
    <mergeCell ref="X16:Z16"/>
    <mergeCell ref="AC16:AF16"/>
    <mergeCell ref="X15:Z15"/>
    <mergeCell ref="A1:AV1"/>
    <mergeCell ref="F11:I11"/>
    <mergeCell ref="J11:L11"/>
    <mergeCell ref="O11:R11"/>
    <mergeCell ref="S11:U11"/>
    <mergeCell ref="K14:N14"/>
    <mergeCell ref="O14:Q14"/>
    <mergeCell ref="K15:N15"/>
    <mergeCell ref="O15:Q15"/>
    <mergeCell ref="T15:W15"/>
  </mergeCells>
  <phoneticPr fontId="3"/>
  <pageMargins left="0.39370078740157483" right="0.59055118110236227" top="0.59055118110236227"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Q87"/>
  <sheetViews>
    <sheetView showGridLines="0" tabSelected="1" topLeftCell="B1" zoomScale="90" zoomScaleNormal="90" workbookViewId="0">
      <selection activeCell="L92" sqref="L92"/>
    </sheetView>
  </sheetViews>
  <sheetFormatPr defaultColWidth="7.375" defaultRowHeight="14.25" x14ac:dyDescent="0.15"/>
  <cols>
    <col min="1" max="1" width="0" style="97" hidden="1" customWidth="1"/>
    <col min="2" max="2" width="16.125" style="83" bestFit="1" customWidth="1"/>
    <col min="3" max="3" width="7.375" style="97"/>
    <col min="4" max="4" width="13.875" style="97" bestFit="1" customWidth="1"/>
    <col min="5" max="5" width="5.5" style="97" bestFit="1" customWidth="1"/>
    <col min="6" max="6" width="7.375" style="104"/>
    <col min="7" max="7" width="7.375" style="97"/>
    <col min="8" max="10" width="7.5" style="97" bestFit="1" customWidth="1"/>
    <col min="11" max="11" width="11.625" style="97" bestFit="1" customWidth="1"/>
    <col min="12" max="12" width="18.375" style="97" bestFit="1" customWidth="1"/>
    <col min="13" max="13" width="16.125" style="97" bestFit="1" customWidth="1"/>
    <col min="14" max="17" width="0" style="97" hidden="1" customWidth="1"/>
    <col min="18" max="16384" width="7.375" style="97"/>
  </cols>
  <sheetData>
    <row r="1" spans="1:17" x14ac:dyDescent="0.15">
      <c r="D1" s="83"/>
      <c r="F1" s="191"/>
      <c r="G1" s="191"/>
    </row>
    <row r="2" spans="1:17" ht="30" customHeight="1" x14ac:dyDescent="0.15">
      <c r="C2" s="98" t="s">
        <v>237</v>
      </c>
      <c r="D2" s="87" t="s">
        <v>3</v>
      </c>
      <c r="E2" s="87" t="s">
        <v>4</v>
      </c>
      <c r="F2" s="98" t="s">
        <v>345</v>
      </c>
      <c r="G2" s="98" t="s">
        <v>236</v>
      </c>
      <c r="H2" s="87" t="s">
        <v>8</v>
      </c>
      <c r="I2" s="87" t="s">
        <v>6</v>
      </c>
      <c r="J2" s="87" t="s">
        <v>7</v>
      </c>
      <c r="K2" s="87" t="s">
        <v>19</v>
      </c>
      <c r="L2" s="87" t="s">
        <v>18</v>
      </c>
      <c r="M2" s="87" t="s">
        <v>17</v>
      </c>
    </row>
    <row r="3" spans="1:17" ht="20.25" customHeight="1" x14ac:dyDescent="0.15">
      <c r="A3" s="97" t="str">
        <f>IF($C3="",IF(RANK(Q3,$Q$3:$Q$18,1)=1,"*",""),"")</f>
        <v>*</v>
      </c>
      <c r="B3" s="83" t="str">
        <f>IF(A3="","",IF(N3=1,$F$21,IF(N3=2,$F$38,IF(N3=3,$F$55,$F$72))))</f>
        <v>①⑧⑨⑯</v>
      </c>
      <c r="C3" s="99"/>
      <c r="D3" s="100" t="s">
        <v>0</v>
      </c>
      <c r="E3" s="101" t="s">
        <v>10</v>
      </c>
      <c r="F3" s="102"/>
      <c r="G3" s="102"/>
      <c r="H3" s="103" t="str">
        <f>IF(F3="","",IF(OR(F3="宝達",F3="志賀"),"羽咋郡",IF(F3="中能登","鹿島郡",IF(F3="輪島","輪島市","七尾市"))))</f>
        <v/>
      </c>
      <c r="I3" s="103" t="str">
        <f>IF(F3="","",IF(OR(F3="中能登",F3="志賀"),F3&amp;"町",IF(F3="宝達","宝達志水町",H3)))</f>
        <v/>
      </c>
      <c r="J3" s="103"/>
      <c r="K3" s="103" t="str">
        <f>IF(F3="","",IF(I3="","",I3&amp;"立")&amp;F3&amp;"中学校")</f>
        <v/>
      </c>
      <c r="L3" s="87" t="str">
        <f>D3&amp;E3</f>
        <v>能登地区１位</v>
      </c>
      <c r="M3" s="87" t="s">
        <v>20</v>
      </c>
      <c r="N3" s="97">
        <v>1</v>
      </c>
      <c r="O3" s="97" t="str">
        <f>IF(C3="","",N3*100+C3)</f>
        <v/>
      </c>
      <c r="P3" s="97">
        <f t="shared" ref="P3:P18" si="0">IF(A3&lt;&gt;"",N3,"")</f>
        <v>1</v>
      </c>
      <c r="Q3" s="97">
        <f>IF($C3="",$N3*100+$G3,"")</f>
        <v>100</v>
      </c>
    </row>
    <row r="4" spans="1:17" ht="20.25" customHeight="1" x14ac:dyDescent="0.15">
      <c r="A4" s="97" t="str">
        <f>IF($C4="",IF(RANK(Q4,$Q$3:$Q$18,1)=1,"*",""),"")</f>
        <v/>
      </c>
      <c r="B4" s="83" t="str">
        <f>IF(A4="","",VLOOKUP($C$19,$F$55:$I$56,2))</f>
        <v/>
      </c>
      <c r="C4" s="99"/>
      <c r="D4" s="100" t="s">
        <v>0</v>
      </c>
      <c r="E4" s="101" t="s">
        <v>11</v>
      </c>
      <c r="F4" s="102"/>
      <c r="G4" s="102"/>
      <c r="H4" s="103" t="str">
        <f t="shared" ref="H4" si="1">IF(F4="","",IF(OR(F4="宝達",F4="志賀"),"羽咋郡",IF(F4="中能登","鹿島郡",IF(F4="輪島","輪島市","七尾市"))))</f>
        <v/>
      </c>
      <c r="I4" s="103" t="str">
        <f t="shared" ref="I4:I5" si="2">IF(F4="","",IF(OR(F4="中能登",F4="志賀"),F4&amp;"町",IF(F4="宝達","宝達志水町",H4)))</f>
        <v/>
      </c>
      <c r="J4" s="103"/>
      <c r="K4" s="103" t="str">
        <f t="shared" ref="K4:K18" si="3">IF(F4="","",IF(I4="","",I4&amp;"立")&amp;F4&amp;"中学校")</f>
        <v/>
      </c>
      <c r="L4" s="87" t="str">
        <f t="shared" ref="L4:L18" si="4">D4&amp;E4</f>
        <v>能登地区２位</v>
      </c>
      <c r="M4" s="87" t="s">
        <v>20</v>
      </c>
      <c r="N4" s="97">
        <v>3</v>
      </c>
      <c r="O4" s="97" t="str">
        <f>IF(C4="","",N4*100+C4)</f>
        <v/>
      </c>
      <c r="P4" s="97" t="str">
        <f t="shared" si="0"/>
        <v/>
      </c>
      <c r="Q4" s="97">
        <f>IF($C4="",$N4*100+$G4,"")</f>
        <v>300</v>
      </c>
    </row>
    <row r="5" spans="1:17" ht="20.25" customHeight="1" x14ac:dyDescent="0.15">
      <c r="A5" s="97" t="str">
        <f t="shared" ref="A5:A18" si="5">IF($C5="",IF(RANK(Q5,$Q$3:$Q$18,1)=1,"*",""),"")</f>
        <v>*</v>
      </c>
      <c r="B5" s="83" t="str">
        <f t="shared" ref="B5:B16" si="6">IF(A5="","",IF(N5=1,$F$21,IF(N5=2,$F$38,IF(N5=3,$F$55,$F$72))))</f>
        <v>①⑧⑨⑯</v>
      </c>
      <c r="C5" s="99"/>
      <c r="D5" s="100" t="s">
        <v>56</v>
      </c>
      <c r="E5" s="101" t="s">
        <v>10</v>
      </c>
      <c r="F5" s="102"/>
      <c r="G5" s="102"/>
      <c r="H5" s="103" t="s">
        <v>56</v>
      </c>
      <c r="I5" s="103" t="str">
        <f t="shared" si="2"/>
        <v/>
      </c>
      <c r="J5" s="103"/>
      <c r="K5" s="103" t="str">
        <f t="shared" si="3"/>
        <v/>
      </c>
      <c r="L5" s="87" t="str">
        <f t="shared" si="4"/>
        <v>金沢市１位</v>
      </c>
      <c r="M5" s="87" t="s">
        <v>20</v>
      </c>
      <c r="N5" s="97">
        <v>1</v>
      </c>
      <c r="O5" s="97" t="str">
        <f t="shared" ref="O5:O18" si="7">IF(C5="","",N5*100+C5)</f>
        <v/>
      </c>
      <c r="P5" s="97">
        <f t="shared" si="0"/>
        <v>1</v>
      </c>
      <c r="Q5" s="97">
        <f t="shared" ref="Q5:Q18" si="8">IF($C5="",$N5*100+$G5,"")</f>
        <v>100</v>
      </c>
    </row>
    <row r="6" spans="1:17" ht="20.25" customHeight="1" x14ac:dyDescent="0.15">
      <c r="A6" s="97" t="str">
        <f t="shared" si="5"/>
        <v/>
      </c>
      <c r="B6" s="83" t="str">
        <f>IF(A6="","",VLOOKUP($C$19,$F$55:$I$56,3))</f>
        <v/>
      </c>
      <c r="C6" s="99"/>
      <c r="D6" s="100" t="s">
        <v>56</v>
      </c>
      <c r="E6" s="101" t="s">
        <v>11</v>
      </c>
      <c r="F6" s="102"/>
      <c r="G6" s="102"/>
      <c r="H6" s="103" t="s">
        <v>56</v>
      </c>
      <c r="I6" s="103" t="str">
        <f>IF(OR(F6="星稜",F6="金沢大学附属",F6="学院大学附属",F6=""),"",IF(F6="金沢錦丘","石川県",H6))</f>
        <v/>
      </c>
      <c r="J6" s="103"/>
      <c r="K6" s="103" t="str">
        <f t="shared" si="3"/>
        <v/>
      </c>
      <c r="L6" s="87" t="str">
        <f t="shared" si="4"/>
        <v>金沢市２位</v>
      </c>
      <c r="M6" s="87" t="s">
        <v>21</v>
      </c>
      <c r="N6" s="97">
        <v>3</v>
      </c>
      <c r="O6" s="97" t="str">
        <f t="shared" si="7"/>
        <v/>
      </c>
      <c r="P6" s="97" t="str">
        <f t="shared" si="0"/>
        <v/>
      </c>
      <c r="Q6" s="97">
        <f t="shared" si="8"/>
        <v>300</v>
      </c>
    </row>
    <row r="7" spans="1:17" ht="20.25" customHeight="1" x14ac:dyDescent="0.15">
      <c r="A7" s="97" t="str">
        <f t="shared" si="5"/>
        <v/>
      </c>
      <c r="B7" s="83" t="str">
        <f t="shared" si="6"/>
        <v/>
      </c>
      <c r="C7" s="99"/>
      <c r="D7" s="100" t="s">
        <v>56</v>
      </c>
      <c r="E7" s="101" t="s">
        <v>12</v>
      </c>
      <c r="F7" s="102"/>
      <c r="G7" s="102"/>
      <c r="H7" s="103" t="s">
        <v>56</v>
      </c>
      <c r="I7" s="103" t="str">
        <f>IF(OR(F7="星稜",F7="金沢大学附属",F7="学院大学附属",F7=""),"",IF(F7="金沢錦丘","石川県",H7))</f>
        <v/>
      </c>
      <c r="J7" s="103"/>
      <c r="K7" s="103" t="str">
        <f t="shared" si="3"/>
        <v/>
      </c>
      <c r="L7" s="87" t="str">
        <f t="shared" si="4"/>
        <v>金沢市３位</v>
      </c>
      <c r="M7" s="87" t="s">
        <v>21</v>
      </c>
      <c r="N7" s="97">
        <v>4</v>
      </c>
      <c r="O7" s="97" t="str">
        <f t="shared" si="7"/>
        <v/>
      </c>
      <c r="P7" s="97" t="str">
        <f t="shared" si="0"/>
        <v/>
      </c>
      <c r="Q7" s="97">
        <f t="shared" si="8"/>
        <v>400</v>
      </c>
    </row>
    <row r="8" spans="1:17" ht="20.25" customHeight="1" x14ac:dyDescent="0.15">
      <c r="A8" s="97" t="str">
        <f t="shared" si="5"/>
        <v/>
      </c>
      <c r="B8" s="83" t="str">
        <f t="shared" si="6"/>
        <v/>
      </c>
      <c r="C8" s="99"/>
      <c r="D8" s="100" t="s">
        <v>56</v>
      </c>
      <c r="E8" s="101" t="s">
        <v>12</v>
      </c>
      <c r="F8" s="102"/>
      <c r="G8" s="102"/>
      <c r="H8" s="103" t="s">
        <v>56</v>
      </c>
      <c r="I8" s="103" t="str">
        <f>IF(OR(F8="星稜",F8="金沢大学附属",F8="学院大学附属",F8=""),"",IF(F8="金沢錦丘","石川県",H8))</f>
        <v/>
      </c>
      <c r="J8" s="103"/>
      <c r="K8" s="103" t="str">
        <f t="shared" si="3"/>
        <v/>
      </c>
      <c r="L8" s="87" t="str">
        <f t="shared" si="4"/>
        <v>金沢市３位</v>
      </c>
      <c r="M8" s="87" t="s">
        <v>21</v>
      </c>
      <c r="N8" s="97">
        <v>4</v>
      </c>
      <c r="O8" s="97" t="str">
        <f t="shared" si="7"/>
        <v/>
      </c>
      <c r="P8" s="97" t="str">
        <f t="shared" si="0"/>
        <v/>
      </c>
      <c r="Q8" s="97">
        <f t="shared" si="8"/>
        <v>400</v>
      </c>
    </row>
    <row r="9" spans="1:17" ht="20.25" customHeight="1" x14ac:dyDescent="0.15">
      <c r="A9" s="97" t="str">
        <f t="shared" si="5"/>
        <v/>
      </c>
      <c r="B9" s="83" t="str">
        <f t="shared" si="6"/>
        <v/>
      </c>
      <c r="C9" s="99"/>
      <c r="D9" s="100" t="s">
        <v>56</v>
      </c>
      <c r="E9" s="101" t="s">
        <v>13</v>
      </c>
      <c r="F9" s="102"/>
      <c r="G9" s="102"/>
      <c r="H9" s="103" t="s">
        <v>56</v>
      </c>
      <c r="I9" s="103" t="str">
        <f t="shared" ref="I9:I12" si="9">IF(OR(F9="星稜",F9="金沢大学附属",F9="学院大学附属",F9=""),"",IF(F9="金沢錦丘","石川県",H9))</f>
        <v/>
      </c>
      <c r="J9" s="103"/>
      <c r="K9" s="103" t="str">
        <f t="shared" si="3"/>
        <v/>
      </c>
      <c r="L9" s="87" t="str">
        <f t="shared" si="4"/>
        <v>金沢市５位</v>
      </c>
      <c r="M9" s="87" t="s">
        <v>21</v>
      </c>
      <c r="N9" s="97">
        <v>4</v>
      </c>
      <c r="O9" s="97" t="str">
        <f t="shared" si="7"/>
        <v/>
      </c>
      <c r="P9" s="97" t="str">
        <f t="shared" si="0"/>
        <v/>
      </c>
      <c r="Q9" s="97">
        <f t="shared" si="8"/>
        <v>400</v>
      </c>
    </row>
    <row r="10" spans="1:17" ht="20.25" customHeight="1" x14ac:dyDescent="0.15">
      <c r="A10" s="97" t="str">
        <f t="shared" si="5"/>
        <v/>
      </c>
      <c r="B10" s="83" t="str">
        <f t="shared" si="6"/>
        <v/>
      </c>
      <c r="C10" s="99"/>
      <c r="D10" s="100" t="s">
        <v>56</v>
      </c>
      <c r="E10" s="101" t="s">
        <v>13</v>
      </c>
      <c r="F10" s="102"/>
      <c r="G10" s="102"/>
      <c r="H10" s="103" t="s">
        <v>56</v>
      </c>
      <c r="I10" s="103" t="str">
        <f t="shared" si="9"/>
        <v/>
      </c>
      <c r="J10" s="103"/>
      <c r="K10" s="103" t="str">
        <f t="shared" si="3"/>
        <v/>
      </c>
      <c r="L10" s="87" t="str">
        <f t="shared" si="4"/>
        <v>金沢市５位</v>
      </c>
      <c r="M10" s="87" t="s">
        <v>21</v>
      </c>
      <c r="N10" s="97">
        <v>4</v>
      </c>
      <c r="O10" s="97" t="str">
        <f t="shared" si="7"/>
        <v/>
      </c>
      <c r="P10" s="97" t="str">
        <f t="shared" si="0"/>
        <v/>
      </c>
      <c r="Q10" s="97">
        <f t="shared" si="8"/>
        <v>400</v>
      </c>
    </row>
    <row r="11" spans="1:17" ht="20.25" customHeight="1" x14ac:dyDescent="0.15">
      <c r="A11" s="97" t="str">
        <f t="shared" si="5"/>
        <v/>
      </c>
      <c r="B11" s="83" t="str">
        <f t="shared" si="6"/>
        <v/>
      </c>
      <c r="C11" s="99"/>
      <c r="D11" s="100" t="s">
        <v>56</v>
      </c>
      <c r="E11" s="101" t="s">
        <v>13</v>
      </c>
      <c r="F11" s="102"/>
      <c r="G11" s="102"/>
      <c r="H11" s="103" t="s">
        <v>56</v>
      </c>
      <c r="I11" s="103" t="str">
        <f t="shared" si="9"/>
        <v/>
      </c>
      <c r="J11" s="103"/>
      <c r="K11" s="103" t="str">
        <f t="shared" si="3"/>
        <v/>
      </c>
      <c r="L11" s="87" t="str">
        <f t="shared" si="4"/>
        <v>金沢市５位</v>
      </c>
      <c r="M11" s="87" t="s">
        <v>21</v>
      </c>
      <c r="N11" s="97">
        <v>4</v>
      </c>
      <c r="O11" s="97" t="str">
        <f t="shared" si="7"/>
        <v/>
      </c>
      <c r="P11" s="97" t="str">
        <f t="shared" si="0"/>
        <v/>
      </c>
      <c r="Q11" s="97">
        <f t="shared" si="8"/>
        <v>400</v>
      </c>
    </row>
    <row r="12" spans="1:17" ht="20.25" customHeight="1" x14ac:dyDescent="0.15">
      <c r="A12" s="97" t="str">
        <f t="shared" si="5"/>
        <v/>
      </c>
      <c r="B12" s="83" t="str">
        <f>IF(A12="","",IF(N12=1,$F$21,IF(N12=2,$F$38,IF(N12=3,$F$55,$F$72))))</f>
        <v/>
      </c>
      <c r="C12" s="99"/>
      <c r="D12" s="100" t="s">
        <v>56</v>
      </c>
      <c r="E12" s="101" t="s">
        <v>13</v>
      </c>
      <c r="F12" s="102"/>
      <c r="G12" s="102"/>
      <c r="H12" s="103" t="s">
        <v>56</v>
      </c>
      <c r="I12" s="103" t="str">
        <f t="shared" si="9"/>
        <v/>
      </c>
      <c r="J12" s="103"/>
      <c r="K12" s="103" t="str">
        <f t="shared" si="3"/>
        <v/>
      </c>
      <c r="L12" s="87" t="str">
        <f>D12&amp;E12</f>
        <v>金沢市５位</v>
      </c>
      <c r="M12" s="87" t="s">
        <v>21</v>
      </c>
      <c r="N12" s="97">
        <v>4</v>
      </c>
      <c r="O12" s="97" t="str">
        <f t="shared" si="7"/>
        <v/>
      </c>
      <c r="P12" s="97" t="str">
        <f t="shared" si="0"/>
        <v/>
      </c>
      <c r="Q12" s="97">
        <f t="shared" si="8"/>
        <v>400</v>
      </c>
    </row>
    <row r="13" spans="1:17" ht="20.25" customHeight="1" x14ac:dyDescent="0.15">
      <c r="A13" s="97" t="str">
        <f t="shared" si="5"/>
        <v/>
      </c>
      <c r="B13" s="83" t="str">
        <f>IF(A13="","",VLOOKUP($C$19,$F$38:$I$40,2))</f>
        <v/>
      </c>
      <c r="C13" s="99"/>
      <c r="D13" s="100" t="s">
        <v>212</v>
      </c>
      <c r="E13" s="101" t="s">
        <v>10</v>
      </c>
      <c r="F13" s="102"/>
      <c r="G13" s="102"/>
      <c r="H13" s="103" t="str">
        <f>IF(F13="","",IF(F13="高松","かほく市","河北郡"))</f>
        <v/>
      </c>
      <c r="I13" s="103" t="str">
        <f>IF(F13="","",IF(F13="高松","かほく市",LEFT(F13,2)&amp;"町"))</f>
        <v/>
      </c>
      <c r="J13" s="103"/>
      <c r="K13" s="103" t="str">
        <f t="shared" si="3"/>
        <v/>
      </c>
      <c r="L13" s="87" t="str">
        <f t="shared" si="4"/>
        <v>河北郡市１位</v>
      </c>
      <c r="M13" s="87" t="s">
        <v>21</v>
      </c>
      <c r="N13" s="97">
        <v>2</v>
      </c>
      <c r="O13" s="97" t="str">
        <f t="shared" si="7"/>
        <v/>
      </c>
      <c r="P13" s="97" t="str">
        <f t="shared" si="0"/>
        <v/>
      </c>
      <c r="Q13" s="97">
        <f t="shared" si="8"/>
        <v>200</v>
      </c>
    </row>
    <row r="14" spans="1:17" ht="20.25" customHeight="1" x14ac:dyDescent="0.15">
      <c r="A14" s="97" t="str">
        <f t="shared" si="5"/>
        <v>*</v>
      </c>
      <c r="B14" s="83" t="str">
        <f>IF(A14="","",IF(N14=1,$F$21,IF(N14=2,$F$38,IF(N14=3,$F$55,$F$72))))</f>
        <v>①⑧⑨⑯</v>
      </c>
      <c r="C14" s="99"/>
      <c r="D14" s="100" t="s">
        <v>55</v>
      </c>
      <c r="E14" s="101" t="s">
        <v>10</v>
      </c>
      <c r="F14" s="102"/>
      <c r="G14" s="102"/>
      <c r="H14" s="103" t="str">
        <f>IF(F14="","",IF(OR(F14="野々市",F14="布水"),"野々市市","白山市"))</f>
        <v/>
      </c>
      <c r="I14" s="103" t="str">
        <f>H14</f>
        <v/>
      </c>
      <c r="J14" s="103"/>
      <c r="K14" s="103" t="str">
        <f t="shared" si="3"/>
        <v/>
      </c>
      <c r="L14" s="87" t="str">
        <f t="shared" si="4"/>
        <v>白山・野々市１位</v>
      </c>
      <c r="M14" s="87" t="s">
        <v>22</v>
      </c>
      <c r="N14" s="97">
        <v>1</v>
      </c>
      <c r="O14" s="97" t="str">
        <f t="shared" si="7"/>
        <v/>
      </c>
      <c r="P14" s="97">
        <f t="shared" si="0"/>
        <v>1</v>
      </c>
      <c r="Q14" s="97">
        <f t="shared" si="8"/>
        <v>100</v>
      </c>
    </row>
    <row r="15" spans="1:17" ht="20.25" customHeight="1" x14ac:dyDescent="0.15">
      <c r="A15" s="97" t="str">
        <f t="shared" si="5"/>
        <v/>
      </c>
      <c r="B15" s="83" t="str">
        <f>IF(A15="","",VLOOKUP($C$19,$F$55:$I$56,4))</f>
        <v/>
      </c>
      <c r="C15" s="99"/>
      <c r="D15" s="100" t="s">
        <v>55</v>
      </c>
      <c r="E15" s="101" t="s">
        <v>11</v>
      </c>
      <c r="F15" s="102"/>
      <c r="G15" s="102"/>
      <c r="H15" s="103" t="str">
        <f t="shared" ref="H15:H16" si="10">IF(F15="","",IF(OR(F15="野々市",F15="布水"),"野々市市","白山市"))</f>
        <v/>
      </c>
      <c r="I15" s="103" t="str">
        <f>H15</f>
        <v/>
      </c>
      <c r="J15" s="103"/>
      <c r="K15" s="103" t="str">
        <f t="shared" si="3"/>
        <v/>
      </c>
      <c r="L15" s="87" t="str">
        <f t="shared" si="4"/>
        <v>白山・野々市２位</v>
      </c>
      <c r="M15" s="87" t="s">
        <v>22</v>
      </c>
      <c r="N15" s="97">
        <v>3</v>
      </c>
      <c r="O15" s="97" t="str">
        <f t="shared" si="7"/>
        <v/>
      </c>
      <c r="P15" s="97" t="str">
        <f t="shared" si="0"/>
        <v/>
      </c>
      <c r="Q15" s="97">
        <f t="shared" si="8"/>
        <v>300</v>
      </c>
    </row>
    <row r="16" spans="1:17" ht="20.25" customHeight="1" x14ac:dyDescent="0.15">
      <c r="A16" s="97" t="str">
        <f t="shared" si="5"/>
        <v/>
      </c>
      <c r="B16" s="83" t="str">
        <f t="shared" si="6"/>
        <v/>
      </c>
      <c r="C16" s="99"/>
      <c r="D16" s="100" t="s">
        <v>55</v>
      </c>
      <c r="E16" s="101" t="s">
        <v>12</v>
      </c>
      <c r="F16" s="102"/>
      <c r="G16" s="102"/>
      <c r="H16" s="103" t="str">
        <f t="shared" si="10"/>
        <v/>
      </c>
      <c r="I16" s="103" t="str">
        <f>H16</f>
        <v/>
      </c>
      <c r="J16" s="103"/>
      <c r="K16" s="103" t="str">
        <f t="shared" si="3"/>
        <v/>
      </c>
      <c r="L16" s="87" t="str">
        <f t="shared" si="4"/>
        <v>白山・野々市３位</v>
      </c>
      <c r="M16" s="87" t="s">
        <v>22</v>
      </c>
      <c r="N16" s="97">
        <v>4</v>
      </c>
      <c r="O16" s="97" t="str">
        <f t="shared" si="7"/>
        <v/>
      </c>
      <c r="P16" s="97" t="str">
        <f t="shared" si="0"/>
        <v/>
      </c>
      <c r="Q16" s="97">
        <f t="shared" si="8"/>
        <v>400</v>
      </c>
    </row>
    <row r="17" spans="1:17" ht="20.25" customHeight="1" x14ac:dyDescent="0.15">
      <c r="A17" s="97" t="str">
        <f t="shared" si="5"/>
        <v/>
      </c>
      <c r="B17" s="83" t="str">
        <f>IF(A17="","",VLOOKUP($C$19,$F$38:$I$40,3))</f>
        <v/>
      </c>
      <c r="C17" s="99"/>
      <c r="D17" s="100" t="s">
        <v>57</v>
      </c>
      <c r="E17" s="101" t="s">
        <v>10</v>
      </c>
      <c r="F17" s="102"/>
      <c r="G17" s="102"/>
      <c r="H17" s="103" t="s">
        <v>205</v>
      </c>
      <c r="I17" s="103" t="s">
        <v>205</v>
      </c>
      <c r="J17" s="103"/>
      <c r="K17" s="103" t="str">
        <f t="shared" si="3"/>
        <v/>
      </c>
      <c r="L17" s="87" t="str">
        <f t="shared" si="4"/>
        <v>能美郡市１位</v>
      </c>
      <c r="M17" s="87" t="s">
        <v>22</v>
      </c>
      <c r="N17" s="97">
        <v>2</v>
      </c>
      <c r="O17" s="97" t="str">
        <f t="shared" si="7"/>
        <v/>
      </c>
      <c r="P17" s="97" t="str">
        <f t="shared" si="0"/>
        <v/>
      </c>
      <c r="Q17" s="97">
        <f t="shared" si="8"/>
        <v>200</v>
      </c>
    </row>
    <row r="18" spans="1:17" ht="20.25" customHeight="1" x14ac:dyDescent="0.15">
      <c r="A18" s="97" t="str">
        <f t="shared" si="5"/>
        <v/>
      </c>
      <c r="B18" s="83" t="str">
        <f>IF(A18="","",VLOOKUP($C$19,$F$38:$I$40,4))</f>
        <v/>
      </c>
      <c r="C18" s="99"/>
      <c r="D18" s="100" t="s">
        <v>40</v>
      </c>
      <c r="E18" s="101" t="s">
        <v>10</v>
      </c>
      <c r="F18" s="102"/>
      <c r="G18" s="102"/>
      <c r="H18" s="103" t="s">
        <v>206</v>
      </c>
      <c r="I18" s="103" t="s">
        <v>206</v>
      </c>
      <c r="J18" s="103"/>
      <c r="K18" s="103" t="str">
        <f t="shared" si="3"/>
        <v/>
      </c>
      <c r="L18" s="87" t="str">
        <f t="shared" si="4"/>
        <v>小松市１位</v>
      </c>
      <c r="M18" s="87" t="s">
        <v>22</v>
      </c>
      <c r="N18" s="97">
        <v>2</v>
      </c>
      <c r="O18" s="97" t="str">
        <f t="shared" si="7"/>
        <v/>
      </c>
      <c r="P18" s="97" t="str">
        <f t="shared" si="0"/>
        <v/>
      </c>
      <c r="Q18" s="97">
        <f t="shared" si="8"/>
        <v>200</v>
      </c>
    </row>
    <row r="19" spans="1:17" ht="20.25" customHeight="1" x14ac:dyDescent="0.15">
      <c r="C19" s="97">
        <f>COUNT(C3:C18)</f>
        <v>0</v>
      </c>
      <c r="F19" s="104" t="s">
        <v>549</v>
      </c>
      <c r="G19" s="97">
        <f>COUNTIF($C$3:$C$18,"&lt;9")</f>
        <v>0</v>
      </c>
      <c r="H19" s="97" t="s">
        <v>550</v>
      </c>
      <c r="I19" s="97">
        <f>COUNTIF($C$3:$C$18,"&gt;8")</f>
        <v>0</v>
      </c>
      <c r="P19" s="97">
        <f>MAX(P3:P18)</f>
        <v>1</v>
      </c>
    </row>
    <row r="21" spans="1:17" hidden="1" x14ac:dyDescent="0.15">
      <c r="C21" s="97">
        <v>1</v>
      </c>
      <c r="D21" s="97">
        <v>1</v>
      </c>
      <c r="E21" s="83" t="str">
        <f>IF(COUNTIF($O$3:$O$18,C21*100+D21)=1,"","①")</f>
        <v>①</v>
      </c>
      <c r="F21" s="104" t="str">
        <f>E21&amp;E22&amp;E23&amp;E24&amp;E25&amp;E26&amp;E27&amp;E28&amp;E29&amp;E30&amp;E31&amp;E32&amp;E33&amp;E34&amp;E35&amp;E36</f>
        <v>①⑧⑨⑯</v>
      </c>
    </row>
    <row r="22" spans="1:17" hidden="1" x14ac:dyDescent="0.15">
      <c r="C22" s="97">
        <v>1</v>
      </c>
      <c r="E22" s="83"/>
      <c r="F22" s="83"/>
    </row>
    <row r="23" spans="1:17" hidden="1" x14ac:dyDescent="0.15">
      <c r="C23" s="97">
        <v>1</v>
      </c>
      <c r="E23" s="83"/>
      <c r="F23" s="83"/>
    </row>
    <row r="24" spans="1:17" hidden="1" x14ac:dyDescent="0.15">
      <c r="C24" s="97">
        <v>1</v>
      </c>
      <c r="E24" s="83"/>
      <c r="F24" s="83"/>
    </row>
    <row r="25" spans="1:17" hidden="1" x14ac:dyDescent="0.15">
      <c r="C25" s="97">
        <v>1</v>
      </c>
      <c r="E25" s="83"/>
      <c r="F25" s="83"/>
    </row>
    <row r="26" spans="1:17" hidden="1" x14ac:dyDescent="0.15">
      <c r="C26" s="97">
        <v>1</v>
      </c>
      <c r="E26" s="83"/>
      <c r="F26" s="83"/>
    </row>
    <row r="27" spans="1:17" hidden="1" x14ac:dyDescent="0.15">
      <c r="C27" s="97">
        <v>1</v>
      </c>
      <c r="E27" s="83"/>
      <c r="F27" s="83"/>
    </row>
    <row r="28" spans="1:17" hidden="1" x14ac:dyDescent="0.15">
      <c r="C28" s="97">
        <v>1</v>
      </c>
      <c r="D28" s="97">
        <v>8</v>
      </c>
      <c r="E28" s="83" t="str">
        <f>IF(COUNTIF($O$3:$O$18,C28*100+D28)=1,"","⑧")</f>
        <v>⑧</v>
      </c>
      <c r="F28" s="83"/>
    </row>
    <row r="29" spans="1:17" hidden="1" x14ac:dyDescent="0.15">
      <c r="C29" s="97">
        <v>1</v>
      </c>
      <c r="D29" s="97">
        <v>9</v>
      </c>
      <c r="E29" s="83" t="str">
        <f>IF(COUNTIF($O$3:$O$18,C29*100+D29)=1,"","⑨")</f>
        <v>⑨</v>
      </c>
      <c r="F29" s="83"/>
    </row>
    <row r="30" spans="1:17" hidden="1" x14ac:dyDescent="0.15">
      <c r="C30" s="97">
        <v>1</v>
      </c>
      <c r="E30" s="83"/>
      <c r="F30" s="83"/>
    </row>
    <row r="31" spans="1:17" hidden="1" x14ac:dyDescent="0.15">
      <c r="C31" s="97">
        <v>1</v>
      </c>
      <c r="E31" s="83"/>
      <c r="F31" s="83"/>
    </row>
    <row r="32" spans="1:17" hidden="1" x14ac:dyDescent="0.15">
      <c r="C32" s="97">
        <v>1</v>
      </c>
      <c r="E32" s="83"/>
      <c r="F32" s="83"/>
    </row>
    <row r="33" spans="3:9" hidden="1" x14ac:dyDescent="0.15">
      <c r="C33" s="97">
        <v>1</v>
      </c>
      <c r="E33" s="83"/>
      <c r="F33" s="83"/>
    </row>
    <row r="34" spans="3:9" hidden="1" x14ac:dyDescent="0.15">
      <c r="C34" s="97">
        <v>1</v>
      </c>
      <c r="E34" s="83"/>
      <c r="F34" s="83"/>
    </row>
    <row r="35" spans="3:9" hidden="1" x14ac:dyDescent="0.15">
      <c r="C35" s="97">
        <v>1</v>
      </c>
      <c r="E35" s="83"/>
      <c r="F35" s="83"/>
    </row>
    <row r="36" spans="3:9" hidden="1" x14ac:dyDescent="0.15">
      <c r="C36" s="97">
        <v>1</v>
      </c>
      <c r="D36" s="97">
        <v>16</v>
      </c>
      <c r="E36" s="83" t="str">
        <f>IF(COUNTIF($O$3:$O$18,C36*100+D36)=1,"","⑯")</f>
        <v>⑯</v>
      </c>
      <c r="F36" s="83"/>
    </row>
    <row r="37" spans="3:9" hidden="1" x14ac:dyDescent="0.15">
      <c r="E37" s="83" t="str">
        <f>IF(COUNTIF($O$3:$O$18,C37*100+D37)=1,"",D37&amp;" ")</f>
        <v xml:space="preserve"> </v>
      </c>
      <c r="F37" s="83"/>
      <c r="G37" s="97" t="s">
        <v>269</v>
      </c>
      <c r="H37" s="97" t="s">
        <v>553</v>
      </c>
      <c r="I37" s="97" t="s">
        <v>265</v>
      </c>
    </row>
    <row r="38" spans="3:9" hidden="1" x14ac:dyDescent="0.15">
      <c r="C38" s="97">
        <v>2</v>
      </c>
      <c r="D38" s="97">
        <v>1</v>
      </c>
      <c r="E38" s="83" t="str">
        <f>IF(OR(E21="",COUNTIF($O$3:$O$18,C38*100+D38)=1),"","①")</f>
        <v>①</v>
      </c>
      <c r="F38" s="83">
        <v>3</v>
      </c>
      <c r="G38" s="104" t="str">
        <f>IF(C5&lt;9,E46&amp;E47&amp;E48&amp;E49&amp;E50&amp;E51&amp;E52&amp;E53,E38&amp;E39&amp;E40&amp;E41&amp;E42&amp;E43&amp;E44&amp;E45)</f>
        <v>⑨⑫⑬⑯</v>
      </c>
      <c r="H38" s="104" t="str">
        <f>IF(AND(C5&lt;9,I19=2),E38&amp;E39&amp;E40&amp;E41&amp;E42&amp;E43&amp;E44&amp;E45,IF(AND(C5&gt;8,G19=2),E46&amp;E47&amp;E48&amp;E49&amp;E50&amp;E51&amp;E52&amp;E53,E38&amp;E39&amp;E40&amp;E41&amp;E42&amp;E43&amp;E44&amp;E45&amp;E46&amp;E47&amp;E48&amp;E49&amp;E50&amp;E51&amp;E52&amp;E53))</f>
        <v>①④⑤⑧⑨⑫⑬⑯</v>
      </c>
      <c r="I38" s="104" t="str">
        <f>IF(AND(C5&lt;9,I19=2),E38&amp;E39&amp;E40&amp;E41&amp;E42&amp;E43&amp;E44&amp;E45,IF(AND(C5&gt;8,G19=2),E46&amp;E47&amp;E48&amp;E49&amp;E50&amp;E51&amp;E52&amp;E53,E38&amp;E39&amp;E40&amp;E41&amp;E42&amp;E43&amp;E44&amp;E45&amp;E46&amp;E47&amp;E48&amp;E49&amp;E50&amp;E51&amp;E52&amp;E53))</f>
        <v>①④⑤⑧⑨⑫⑬⑯</v>
      </c>
    </row>
    <row r="39" spans="3:9" hidden="1" x14ac:dyDescent="0.15">
      <c r="C39" s="97">
        <v>2</v>
      </c>
      <c r="E39" s="83"/>
      <c r="F39" s="83">
        <v>4</v>
      </c>
      <c r="G39" s="104" t="str">
        <f>IF(C5&lt;9,E46&amp;E47&amp;E48&amp;E49&amp;E50&amp;E51&amp;E52&amp;E53,E38&amp;E39&amp;E40&amp;E41&amp;E42&amp;E43&amp;E44&amp;E45)</f>
        <v>⑨⑫⑬⑯</v>
      </c>
      <c r="H39" s="104" t="str">
        <f>IF(AND(C13="",C5&gt;8,G19=2),E46&amp;E47&amp;E48&amp;E49&amp;E50&amp;E51&amp;E52&amp;E53,IF(AND(C13="",C5&lt;9,I19=2),E38&amp;E39&amp;E40&amp;E41&amp;E42&amp;E43&amp;E44&amp;E45,E38&amp;E39&amp;E40&amp;E41&amp;E42&amp;E43&amp;E44&amp;E45&amp;E46&amp;E47&amp;E48&amp;E49&amp;E50&amp;E51&amp;E52&amp;E53))</f>
        <v>①④⑤⑧⑨⑫⑬⑯</v>
      </c>
      <c r="I39" s="104" t="str">
        <f>IF(AND(C13="",C5&gt;8,G19=2),E46&amp;E47&amp;E48&amp;E49&amp;E50&amp;E51&amp;E52&amp;E53,IF(AND(C13="",C5&lt;9,I19=2),E38&amp;E39&amp;E40&amp;E41&amp;E42&amp;E43&amp;E44&amp;E45,E38&amp;E39&amp;E40&amp;E41&amp;E42&amp;E43&amp;E44&amp;E45&amp;E46&amp;E47&amp;E48&amp;E49&amp;E50&amp;E51&amp;E52&amp;E53))</f>
        <v>①④⑤⑧⑨⑫⑬⑯</v>
      </c>
    </row>
    <row r="40" spans="3:9" hidden="1" x14ac:dyDescent="0.15">
      <c r="C40" s="97">
        <v>2</v>
      </c>
      <c r="E40" s="83"/>
      <c r="F40" s="83">
        <v>5</v>
      </c>
      <c r="G40" s="104" t="str">
        <f>IF(C5&lt;9,E46&amp;E47&amp;E48&amp;E49&amp;E50&amp;E51&amp;E52&amp;E53,E38&amp;E39&amp;E40&amp;E41&amp;E42&amp;E43&amp;E44&amp;E45)</f>
        <v>⑨⑫⑬⑯</v>
      </c>
      <c r="H40" s="104" t="str">
        <f>IF(I19=3,E38&amp;E39&amp;E40&amp;E41&amp;E42&amp;E43&amp;E44&amp;E45,E46&amp;E47&amp;E48&amp;E49&amp;E50&amp;E51&amp;E52&amp;E53)</f>
        <v>⑨⑫⑬⑯</v>
      </c>
      <c r="I40" s="104" t="str">
        <f>IF(I19=3,E38&amp;E39&amp;E40&amp;E41&amp;E42&amp;E43&amp;E44&amp;E45,E46&amp;E47&amp;E48&amp;E49&amp;E50&amp;E51&amp;E52&amp;E53)</f>
        <v>⑨⑫⑬⑯</v>
      </c>
    </row>
    <row r="41" spans="3:9" hidden="1" x14ac:dyDescent="0.15">
      <c r="C41" s="97">
        <v>2</v>
      </c>
      <c r="D41" s="97">
        <v>4</v>
      </c>
      <c r="E41" s="83" t="str">
        <f>IF(COUNTIF($O$3:$O$18,C41*100+D41)=1,"","④")</f>
        <v>④</v>
      </c>
      <c r="F41" s="83"/>
    </row>
    <row r="42" spans="3:9" hidden="1" x14ac:dyDescent="0.15">
      <c r="C42" s="97">
        <v>2</v>
      </c>
      <c r="D42" s="97">
        <v>5</v>
      </c>
      <c r="E42" s="83" t="str">
        <f>IF(COUNTIF($O$3:$O$18,C42*100+D42)=1,"","⑤")</f>
        <v>⑤</v>
      </c>
      <c r="F42" s="83"/>
    </row>
    <row r="43" spans="3:9" hidden="1" x14ac:dyDescent="0.15">
      <c r="C43" s="97">
        <v>2</v>
      </c>
      <c r="E43" s="83"/>
      <c r="F43" s="83"/>
    </row>
    <row r="44" spans="3:9" hidden="1" x14ac:dyDescent="0.15">
      <c r="C44" s="97">
        <v>2</v>
      </c>
      <c r="E44" s="83"/>
      <c r="F44" s="83"/>
    </row>
    <row r="45" spans="3:9" hidden="1" x14ac:dyDescent="0.15">
      <c r="C45" s="97">
        <v>2</v>
      </c>
      <c r="D45" s="97">
        <v>8</v>
      </c>
      <c r="E45" s="83" t="str">
        <f>IF(OR(E28="",COUNTIF($O$3:$O$18,C45*100+D45)=1),"","⑧")</f>
        <v>⑧</v>
      </c>
      <c r="F45" s="83"/>
    </row>
    <row r="46" spans="3:9" hidden="1" x14ac:dyDescent="0.15">
      <c r="C46" s="97">
        <v>2</v>
      </c>
      <c r="D46" s="97">
        <v>9</v>
      </c>
      <c r="E46" s="83" t="str">
        <f>IF(OR(E29="",COUNTIF($O$3:$O$18,C46*100+D46)=1),"","⑨")</f>
        <v>⑨</v>
      </c>
      <c r="F46" s="83"/>
    </row>
    <row r="47" spans="3:9" hidden="1" x14ac:dyDescent="0.15">
      <c r="C47" s="97">
        <v>2</v>
      </c>
      <c r="E47" s="83"/>
      <c r="F47" s="83"/>
    </row>
    <row r="48" spans="3:9" hidden="1" x14ac:dyDescent="0.15">
      <c r="C48" s="97">
        <v>2</v>
      </c>
      <c r="E48" s="83"/>
      <c r="F48" s="83"/>
    </row>
    <row r="49" spans="3:9" hidden="1" x14ac:dyDescent="0.15">
      <c r="C49" s="97">
        <v>2</v>
      </c>
      <c r="D49" s="97">
        <v>12</v>
      </c>
      <c r="E49" s="83" t="str">
        <f>IF(COUNTIF($O$3:$O$18,C49*100+D49)=1,"","⑫")</f>
        <v>⑫</v>
      </c>
      <c r="F49" s="83"/>
    </row>
    <row r="50" spans="3:9" hidden="1" x14ac:dyDescent="0.15">
      <c r="C50" s="97">
        <v>2</v>
      </c>
      <c r="D50" s="97">
        <v>13</v>
      </c>
      <c r="E50" s="83" t="str">
        <f>IF(COUNTIF($O$3:$O$18,C50*100+D50)=1,"","⑬")</f>
        <v>⑬</v>
      </c>
      <c r="F50" s="83"/>
    </row>
    <row r="51" spans="3:9" hidden="1" x14ac:dyDescent="0.15">
      <c r="C51" s="97">
        <v>2</v>
      </c>
      <c r="E51" s="83"/>
      <c r="F51" s="83"/>
    </row>
    <row r="52" spans="3:9" hidden="1" x14ac:dyDescent="0.15">
      <c r="C52" s="97">
        <v>2</v>
      </c>
      <c r="E52" s="83"/>
      <c r="F52" s="83"/>
    </row>
    <row r="53" spans="3:9" hidden="1" x14ac:dyDescent="0.15">
      <c r="C53" s="97">
        <v>2</v>
      </c>
      <c r="D53" s="97">
        <v>16</v>
      </c>
      <c r="E53" s="83" t="str">
        <f>IF(OR(E36="",COUNTIF($O$3:$O$18,C53*100+D53)=1),"","⑯")</f>
        <v>⑯</v>
      </c>
      <c r="F53" s="83"/>
    </row>
    <row r="54" spans="3:9" hidden="1" x14ac:dyDescent="0.15">
      <c r="E54" s="83" t="str">
        <f>IF(COUNTIF($O$3:$O$18,C54*100+D54)=1,"",D54&amp;" ")</f>
        <v xml:space="preserve"> </v>
      </c>
      <c r="F54" s="83"/>
      <c r="G54" s="97" t="s">
        <v>551</v>
      </c>
      <c r="H54" s="97" t="s">
        <v>268</v>
      </c>
      <c r="I54" s="97" t="s">
        <v>552</v>
      </c>
    </row>
    <row r="55" spans="3:9" hidden="1" x14ac:dyDescent="0.15">
      <c r="C55" s="97">
        <v>3</v>
      </c>
      <c r="D55" s="97">
        <v>1</v>
      </c>
      <c r="E55" s="83" t="str">
        <f>IF(OR(E38="",COUNTIF($O$3:$O$18,C55*100+D55)=1),"","①")</f>
        <v>①</v>
      </c>
      <c r="F55" s="83">
        <v>6</v>
      </c>
      <c r="G55" s="104" t="str">
        <f>IF(ROUNDUP(C3/4,0)=1,E59&amp;E60&amp;E61&amp;E62&amp;E63&amp;E64&amp;E65&amp;E66&amp;E67&amp;E68&amp;E69&amp;E70,IF(ROUNDUP(C3/4,0)=2,E55&amp;E56&amp;E57&amp;E58&amp;E63&amp;E64&amp;E65&amp;E66&amp;E67&amp;E68&amp;E69&amp;E70,IF(ROUNDUP(C3/4,0)=3,E55&amp;E56&amp;E57&amp;E58&amp;E59&amp;E60&amp;E61&amp;E62&amp;E67&amp;E68&amp;E69&amp;E70,E55&amp;E56&amp;E57&amp;E58&amp;E59&amp;E60&amp;E61&amp;E62&amp;E63&amp;E64&amp;E65&amp;E66)))</f>
        <v>①②③④⑤⑥⑦⑧⑨⑩⑪⑫</v>
      </c>
      <c r="H55" s="104" t="str">
        <f>IF(ROUNDUP(C5/4,0)=1,E59&amp;E60&amp;E61&amp;E62&amp;E63&amp;E64&amp;E65&amp;E66&amp;E67&amp;E68&amp;E69&amp;E70,IF(ROUNDUP(C5/4,0)=2,E55&amp;E56&amp;E57&amp;E58&amp;E63&amp;E64&amp;E65&amp;E66&amp;E67&amp;E68&amp;E69&amp;E70,IF(ROUNDUP(C5/4,0)=3,E55&amp;E56&amp;E57&amp;E58&amp;E59&amp;E60&amp;E61&amp;E62&amp;E67&amp;E68&amp;E69&amp;E70,E55&amp;E56&amp;E57&amp;E58&amp;E59&amp;E60&amp;E61&amp;E62&amp;E63&amp;E64&amp;E65&amp;E66)))</f>
        <v>①②③④⑤⑥⑦⑧⑨⑩⑪⑫</v>
      </c>
      <c r="I55" s="104" t="str">
        <f>IF(ROUNDUP(C14/4,0)=1,E59&amp;E60&amp;E61&amp;E62&amp;E63&amp;E64&amp;E65&amp;E66&amp;E67&amp;E68&amp;E69&amp;E70,IF(ROUNDUP(C14/4,0)=2,E55&amp;E56&amp;E57&amp;E58&amp;E63&amp;E64&amp;E65&amp;E66&amp;E67&amp;E68&amp;E69&amp;E70,IF(ROUNDUP(C14/4,0)=3,E55&amp;E56&amp;E57&amp;E58&amp;E59&amp;E60&amp;E61&amp;E62&amp;E67&amp;E68&amp;E69&amp;E70,E55&amp;E56&amp;E57&amp;E58&amp;E59&amp;E60&amp;E61&amp;E62&amp;E63&amp;E64&amp;E65&amp;E66)))</f>
        <v>①②③④⑤⑥⑦⑧⑨⑩⑪⑫</v>
      </c>
    </row>
    <row r="56" spans="3:9" hidden="1" x14ac:dyDescent="0.15">
      <c r="C56" s="97">
        <v>3</v>
      </c>
      <c r="D56" s="97">
        <v>2</v>
      </c>
      <c r="E56" s="83" t="str">
        <f>IF(AND(E38&lt;&gt;"",COUNTIF($O$3:$O$18,C56*100+D56)&lt;&gt;1),"②","")</f>
        <v>②</v>
      </c>
      <c r="F56" s="83">
        <v>7</v>
      </c>
      <c r="G56" s="97" t="str">
        <f>IF(G57="",$G$61,G57&amp;G58)</f>
        <v>①②</v>
      </c>
      <c r="H56" s="97" t="str">
        <f t="shared" ref="H56:I56" si="11">IF(H57="",$G$61,H57&amp;H58)</f>
        <v>①②</v>
      </c>
      <c r="I56" s="97" t="str">
        <f t="shared" si="11"/>
        <v>①②</v>
      </c>
    </row>
    <row r="57" spans="3:9" hidden="1" x14ac:dyDescent="0.15">
      <c r="C57" s="97">
        <v>3</v>
      </c>
      <c r="D57" s="97">
        <v>3</v>
      </c>
      <c r="E57" s="83" t="str">
        <f>IF(AND(E41&lt;&gt;"",COUNTIF($O$3:$O$18,C57*100+D57)&lt;&gt;1),"③","")</f>
        <v>③</v>
      </c>
      <c r="F57" s="83"/>
      <c r="G57" s="97" t="str">
        <f>IF(MID(G$55,1,1)=$G$61,"",MID(G$55,1,1))</f>
        <v>①</v>
      </c>
      <c r="H57" s="97" t="str">
        <f>IF(MID(H$55,1,1)=$G$61,"",MID(H$55,1,1))</f>
        <v>①</v>
      </c>
      <c r="I57" s="97" t="str">
        <f>IF(MID(I$55,1,1)=$G$61,"",MID(I$55,1,1))</f>
        <v>①</v>
      </c>
    </row>
    <row r="58" spans="3:9" hidden="1" x14ac:dyDescent="0.15">
      <c r="C58" s="97">
        <v>3</v>
      </c>
      <c r="D58" s="97">
        <v>4</v>
      </c>
      <c r="E58" s="83" t="str">
        <f>IF(OR(E41="",COUNTIF($O$3:$O$18,C58*100+D58)=1),"","④")</f>
        <v>④</v>
      </c>
      <c r="F58" s="83"/>
      <c r="G58" s="97" t="str">
        <f>IF(MID(G$55,2,1)=$G$61,"",MID(G$55,2,1))</f>
        <v>②</v>
      </c>
      <c r="H58" s="97" t="str">
        <f>IF(MID(H$55,2,1)=$G$61,"",MID(H$55,2,1))</f>
        <v>②</v>
      </c>
      <c r="I58" s="97" t="str">
        <f>IF(MID(I$55,2,1)=$G$61,"",MID(I$55,2,1))</f>
        <v>②</v>
      </c>
    </row>
    <row r="59" spans="3:9" hidden="1" x14ac:dyDescent="0.15">
      <c r="C59" s="97">
        <v>3</v>
      </c>
      <c r="D59" s="97">
        <v>5</v>
      </c>
      <c r="E59" s="83" t="str">
        <f>IF(OR(E42="",COUNTIF($O$3:$O$18,C59*100+D59)=1),"","⑤")</f>
        <v>⑤</v>
      </c>
      <c r="F59" s="83"/>
      <c r="G59" s="97" t="str">
        <f>IF(MID(G$55,3,1)=$G$61,"",MID(G$55,3,1))</f>
        <v>③</v>
      </c>
      <c r="H59" s="97" t="str">
        <f>IF(MID(H$55,3,1)=$G$61,"",MID(H$55,3,1))</f>
        <v>③</v>
      </c>
      <c r="I59" s="97" t="str">
        <f>IF(MID(I$55,3,1)=$G$61,"",MID(I$55,3,1))</f>
        <v>③</v>
      </c>
    </row>
    <row r="60" spans="3:9" hidden="1" x14ac:dyDescent="0.15">
      <c r="C60" s="97">
        <v>3</v>
      </c>
      <c r="D60" s="97">
        <v>6</v>
      </c>
      <c r="E60" s="83" t="str">
        <f>IF(AND(E42&lt;&gt;"",COUNTIF($O$3:$O$18,C60*100+D60)&lt;&gt;1),"⑥","")</f>
        <v>⑥</v>
      </c>
      <c r="F60" s="83"/>
      <c r="G60" s="97" t="str">
        <f>IF(LEN(G55)=1,G55,"")</f>
        <v/>
      </c>
      <c r="H60" s="97" t="str">
        <f t="shared" ref="H60:I60" si="12">IF(LEN(H55)=1,H55,"")</f>
        <v/>
      </c>
      <c r="I60" s="97" t="str">
        <f t="shared" si="12"/>
        <v/>
      </c>
    </row>
    <row r="61" spans="3:9" hidden="1" x14ac:dyDescent="0.15">
      <c r="C61" s="97">
        <v>3</v>
      </c>
      <c r="D61" s="97">
        <v>7</v>
      </c>
      <c r="E61" s="83" t="str">
        <f>IF(AND(E45&lt;&gt;"",COUNTIF($O$3:$O$18,C61*100+D61)&lt;&gt;1),"⑦","")</f>
        <v>⑦</v>
      </c>
      <c r="F61" s="83"/>
      <c r="G61" s="97" t="str">
        <f>G60&amp;H60&amp;I60</f>
        <v/>
      </c>
    </row>
    <row r="62" spans="3:9" hidden="1" x14ac:dyDescent="0.15">
      <c r="C62" s="97">
        <v>3</v>
      </c>
      <c r="D62" s="97">
        <v>8</v>
      </c>
      <c r="E62" s="83" t="str">
        <f>IF(OR(E45="",COUNTIF($O$3:$O$18,C62*100+D62)=1),"","⑧")</f>
        <v>⑧</v>
      </c>
      <c r="F62" s="83"/>
    </row>
    <row r="63" spans="3:9" hidden="1" x14ac:dyDescent="0.15">
      <c r="C63" s="97">
        <v>3</v>
      </c>
      <c r="D63" s="97">
        <v>9</v>
      </c>
      <c r="E63" s="83" t="str">
        <f>IF(OR(E46="",COUNTIF($O$3:$O$18,C63*100+D63)=1),"","⑨")</f>
        <v>⑨</v>
      </c>
      <c r="F63" s="83"/>
    </row>
    <row r="64" spans="3:9" hidden="1" x14ac:dyDescent="0.15">
      <c r="C64" s="97">
        <v>3</v>
      </c>
      <c r="D64" s="97">
        <v>10</v>
      </c>
      <c r="E64" s="83" t="str">
        <f>IF(AND(E46&lt;&gt;"",COUNTIF($O$3:$O$18,C64*100+D64)&lt;&gt;1),"⑩","")</f>
        <v>⑩</v>
      </c>
      <c r="F64" s="83"/>
    </row>
    <row r="65" spans="3:6" hidden="1" x14ac:dyDescent="0.15">
      <c r="C65" s="97">
        <v>3</v>
      </c>
      <c r="D65" s="97">
        <v>11</v>
      </c>
      <c r="E65" s="83" t="str">
        <f>IF(AND(E49&lt;&gt;"",COUNTIF($O$3:$O$18,C65*100+D65)&lt;&gt;1),"⑪","")</f>
        <v>⑪</v>
      </c>
      <c r="F65" s="83"/>
    </row>
    <row r="66" spans="3:6" hidden="1" x14ac:dyDescent="0.15">
      <c r="C66" s="97">
        <v>3</v>
      </c>
      <c r="D66" s="97">
        <v>12</v>
      </c>
      <c r="E66" s="83" t="str">
        <f>IF(OR(E49="",COUNTIF($O$3:$O$18,C66*100+D66)=1),"","⑫")</f>
        <v>⑫</v>
      </c>
      <c r="F66" s="83"/>
    </row>
    <row r="67" spans="3:6" hidden="1" x14ac:dyDescent="0.15">
      <c r="C67" s="97">
        <v>3</v>
      </c>
      <c r="D67" s="97">
        <v>13</v>
      </c>
      <c r="E67" s="83" t="str">
        <f>IF(OR(E50="",COUNTIF($O$3:$O$18,C67*100+D67)=1),"","⑬")</f>
        <v>⑬</v>
      </c>
      <c r="F67" s="83"/>
    </row>
    <row r="68" spans="3:6" hidden="1" x14ac:dyDescent="0.15">
      <c r="C68" s="97">
        <v>3</v>
      </c>
      <c r="D68" s="97">
        <v>14</v>
      </c>
      <c r="E68" s="83" t="str">
        <f>IF(AND(E50&lt;&gt;"",COUNTIF($O$3:$O$18,C68*100+D68)&lt;&gt;1),"⑭","")</f>
        <v>⑭</v>
      </c>
      <c r="F68" s="83"/>
    </row>
    <row r="69" spans="3:6" hidden="1" x14ac:dyDescent="0.15">
      <c r="C69" s="97">
        <v>3</v>
      </c>
      <c r="D69" s="97">
        <v>15</v>
      </c>
      <c r="E69" s="83" t="str">
        <f>IF(AND(E53&lt;&gt;"",COUNTIF($O$3:$O$18,C69*100+D69)&lt;&gt;1),"⑮","")</f>
        <v>⑮</v>
      </c>
      <c r="F69" s="83"/>
    </row>
    <row r="70" spans="3:6" hidden="1" x14ac:dyDescent="0.15">
      <c r="C70" s="97">
        <v>3</v>
      </c>
      <c r="D70" s="97">
        <v>16</v>
      </c>
      <c r="E70" s="83" t="str">
        <f>IF(OR(E53="",COUNTIF($O$3:$O$18,C70*100+D70)=1),"","⑯")</f>
        <v>⑯</v>
      </c>
      <c r="F70" s="83"/>
    </row>
    <row r="71" spans="3:6" hidden="1" x14ac:dyDescent="0.15">
      <c r="F71" s="83"/>
    </row>
    <row r="72" spans="3:6" hidden="1" x14ac:dyDescent="0.15">
      <c r="C72" s="97">
        <v>4</v>
      </c>
      <c r="D72" s="97">
        <v>1</v>
      </c>
      <c r="E72" s="83" t="str">
        <f>IF(COUNTIF($C$3:$C$18,D72)=1,"","①")</f>
        <v>①</v>
      </c>
      <c r="F72" s="104" t="str">
        <f>E72&amp;E73&amp;E74&amp;E75&amp;E76&amp;E77&amp;E78&amp;E79&amp;E80&amp;E81&amp;E82&amp;E83&amp;E84&amp;E85&amp;E86&amp;E87</f>
        <v>①②③④⑤⑥⑦⑧⑨⑩⑪⑫⑬⑭⑮⑯</v>
      </c>
    </row>
    <row r="73" spans="3:6" hidden="1" x14ac:dyDescent="0.15">
      <c r="C73" s="97">
        <v>4</v>
      </c>
      <c r="D73" s="97">
        <v>2</v>
      </c>
      <c r="E73" s="83" t="str">
        <f>IF(COUNTIF($C$3:$C$18,D73)=1,"","②")</f>
        <v>②</v>
      </c>
      <c r="F73" s="83"/>
    </row>
    <row r="74" spans="3:6" hidden="1" x14ac:dyDescent="0.15">
      <c r="C74" s="97">
        <v>4</v>
      </c>
      <c r="D74" s="97">
        <v>3</v>
      </c>
      <c r="E74" s="83" t="str">
        <f>IF(COUNTIF($C$3:$C$18,D74)=1,"","③")</f>
        <v>③</v>
      </c>
      <c r="F74" s="83"/>
    </row>
    <row r="75" spans="3:6" hidden="1" x14ac:dyDescent="0.15">
      <c r="C75" s="97">
        <v>4</v>
      </c>
      <c r="D75" s="97">
        <v>4</v>
      </c>
      <c r="E75" s="83" t="str">
        <f>IF(COUNTIF($C$3:$C$18,D75)=1,"","④")</f>
        <v>④</v>
      </c>
      <c r="F75" s="83"/>
    </row>
    <row r="76" spans="3:6" hidden="1" x14ac:dyDescent="0.15">
      <c r="C76" s="97">
        <v>4</v>
      </c>
      <c r="D76" s="97">
        <v>5</v>
      </c>
      <c r="E76" s="83" t="str">
        <f>IF(COUNTIF($C$3:$C$18,D76)=1,"","⑤")</f>
        <v>⑤</v>
      </c>
      <c r="F76" s="83"/>
    </row>
    <row r="77" spans="3:6" hidden="1" x14ac:dyDescent="0.15">
      <c r="C77" s="97">
        <v>4</v>
      </c>
      <c r="D77" s="97">
        <v>6</v>
      </c>
      <c r="E77" s="83" t="str">
        <f>IF(COUNTIF($C$3:$C$18,D77)=1,"","⑥")</f>
        <v>⑥</v>
      </c>
      <c r="F77" s="83"/>
    </row>
    <row r="78" spans="3:6" hidden="1" x14ac:dyDescent="0.15">
      <c r="C78" s="97">
        <v>4</v>
      </c>
      <c r="D78" s="97">
        <v>7</v>
      </c>
      <c r="E78" s="83" t="str">
        <f>IF(COUNTIF($C$3:$C$18,D78)=1,"","⑦")</f>
        <v>⑦</v>
      </c>
      <c r="F78" s="83"/>
    </row>
    <row r="79" spans="3:6" hidden="1" x14ac:dyDescent="0.15">
      <c r="C79" s="97">
        <v>4</v>
      </c>
      <c r="D79" s="97">
        <v>8</v>
      </c>
      <c r="E79" s="83" t="str">
        <f>IF(COUNTIF($C$3:$C$18,D79)=1,"","⑧")</f>
        <v>⑧</v>
      </c>
      <c r="F79" s="83"/>
    </row>
    <row r="80" spans="3:6" hidden="1" x14ac:dyDescent="0.15">
      <c r="C80" s="97">
        <v>4</v>
      </c>
      <c r="D80" s="97">
        <v>9</v>
      </c>
      <c r="E80" s="83" t="str">
        <f>IF(COUNTIF($C$3:$C$18,D80)=1,"","⑨")</f>
        <v>⑨</v>
      </c>
      <c r="F80" s="83"/>
    </row>
    <row r="81" spans="3:6" hidden="1" x14ac:dyDescent="0.15">
      <c r="C81" s="97">
        <v>4</v>
      </c>
      <c r="D81" s="97">
        <v>10</v>
      </c>
      <c r="E81" s="83" t="str">
        <f>IF(COUNTIF($C$3:$C$18,D81)=1,"","⑩")</f>
        <v>⑩</v>
      </c>
      <c r="F81" s="83"/>
    </row>
    <row r="82" spans="3:6" hidden="1" x14ac:dyDescent="0.15">
      <c r="C82" s="97">
        <v>4</v>
      </c>
      <c r="D82" s="97">
        <v>11</v>
      </c>
      <c r="E82" s="83" t="str">
        <f>IF(COUNTIF($C$3:$C$18,D82)=1,"","⑪")</f>
        <v>⑪</v>
      </c>
      <c r="F82" s="83"/>
    </row>
    <row r="83" spans="3:6" hidden="1" x14ac:dyDescent="0.15">
      <c r="C83" s="97">
        <v>4</v>
      </c>
      <c r="D83" s="97">
        <v>12</v>
      </c>
      <c r="E83" s="83" t="str">
        <f>IF(COUNTIF($C$3:$C$18,D83)=1,"","⑫")</f>
        <v>⑫</v>
      </c>
      <c r="F83" s="83"/>
    </row>
    <row r="84" spans="3:6" hidden="1" x14ac:dyDescent="0.15">
      <c r="C84" s="97">
        <v>4</v>
      </c>
      <c r="D84" s="97">
        <v>13</v>
      </c>
      <c r="E84" s="83" t="str">
        <f>IF(COUNTIF($C$3:$C$18,D84)=1,"","⑬")</f>
        <v>⑬</v>
      </c>
      <c r="F84" s="83"/>
    </row>
    <row r="85" spans="3:6" hidden="1" x14ac:dyDescent="0.15">
      <c r="C85" s="97">
        <v>4</v>
      </c>
      <c r="D85" s="97">
        <v>14</v>
      </c>
      <c r="E85" s="83" t="str">
        <f>IF(COUNTIF($C$3:$C$18,D85)=1,"","⑭")</f>
        <v>⑭</v>
      </c>
      <c r="F85" s="83"/>
    </row>
    <row r="86" spans="3:6" hidden="1" x14ac:dyDescent="0.15">
      <c r="C86" s="97">
        <v>4</v>
      </c>
      <c r="D86" s="97">
        <v>15</v>
      </c>
      <c r="E86" s="83" t="str">
        <f>IF(COUNTIF($C$3:$C$18,D86)=1,"","⑮")</f>
        <v>⑮</v>
      </c>
      <c r="F86" s="83"/>
    </row>
    <row r="87" spans="3:6" hidden="1" x14ac:dyDescent="0.15">
      <c r="C87" s="97">
        <v>4</v>
      </c>
      <c r="D87" s="97">
        <v>16</v>
      </c>
      <c r="E87" s="83" t="str">
        <f>IF(COUNTIF($C$3:$C$18,D87)=1,"","⑯")</f>
        <v>⑯</v>
      </c>
      <c r="F87" s="83"/>
    </row>
  </sheetData>
  <mergeCells count="1">
    <mergeCell ref="F1:G1"/>
  </mergeCells>
  <phoneticPr fontId="3"/>
  <conditionalFormatting sqref="C3:C18">
    <cfRule type="expression" dxfId="82" priority="1">
      <formula>AND(A3="*",E4="２位")</formula>
    </cfRule>
    <cfRule type="expression" dxfId="81" priority="2">
      <formula>AND(A3="*",E3="１位")</formula>
    </cfRule>
    <cfRule type="expression" dxfId="80" priority="3">
      <formula>AND(A3="*",E3="２位")</formula>
    </cfRule>
    <cfRule type="expression" dxfId="79" priority="5">
      <formula>AND(A3="*",E3&lt;&gt;"１位",E3&lt;&gt;"２位")</formula>
    </cfRule>
  </conditionalFormatting>
  <conditionalFormatting sqref="F3:G18">
    <cfRule type="notContainsBlanks" dxfId="78" priority="6">
      <formula>LEN(TRIM(F3))&gt;0</formula>
    </cfRule>
  </conditionalFormatting>
  <pageMargins left="0.78700000000000003" right="0.78700000000000003" top="0.98399999999999999" bottom="0.98399999999999999" header="0.51200000000000001" footer="0.51200000000000001"/>
  <pageSetup paperSize="9" orientation="portrait" horizontalDpi="4294967292" verticalDpi="2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BX73"/>
  <sheetViews>
    <sheetView showGridLines="0" topLeftCell="A41" zoomScaleNormal="100" zoomScaleSheetLayoutView="100" workbookViewId="0">
      <selection activeCell="B51" sqref="B51:BK72"/>
    </sheetView>
  </sheetViews>
  <sheetFormatPr defaultRowHeight="14.25" x14ac:dyDescent="0.15"/>
  <cols>
    <col min="1" max="1" width="6.75" style="126" customWidth="1"/>
    <col min="2" max="3" width="1.75" style="126" customWidth="1"/>
    <col min="4" max="5" width="0.875" style="126" customWidth="1"/>
    <col min="6" max="6" width="1.625" style="126" customWidth="1"/>
    <col min="7" max="7" width="1.875" style="126" customWidth="1"/>
    <col min="8" max="9" width="0.875" style="126" customWidth="1"/>
    <col min="10" max="11" width="1.75" style="126" customWidth="1"/>
    <col min="12" max="13" width="0.875" style="126" customWidth="1"/>
    <col min="14" max="15" width="1.75" style="126" customWidth="1"/>
    <col min="16" max="17" width="0.875" style="126" customWidth="1"/>
    <col min="18" max="19" width="1.75" style="126" customWidth="1"/>
    <col min="20" max="21" width="0.875" style="126" customWidth="1"/>
    <col min="22" max="23" width="1.75" style="126" customWidth="1"/>
    <col min="24" max="25" width="0.875" style="126" customWidth="1"/>
    <col min="26" max="27" width="1.75" style="126" customWidth="1"/>
    <col min="28" max="29" width="0.875" style="126" customWidth="1"/>
    <col min="30" max="31" width="1.75" style="126" customWidth="1"/>
    <col min="32" max="33" width="0.875" style="126" customWidth="1"/>
    <col min="34" max="35" width="1.75" style="126" customWidth="1"/>
    <col min="36" max="37" width="0.875" style="126" customWidth="1"/>
    <col min="38" max="39" width="1.75" style="126" customWidth="1"/>
    <col min="40" max="41" width="0.875" style="126" customWidth="1"/>
    <col min="42" max="43" width="1.75" style="126" customWidth="1"/>
    <col min="44" max="45" width="0.875" style="126" customWidth="1"/>
    <col min="46" max="47" width="1.75" style="126" customWidth="1"/>
    <col min="48" max="49" width="0.875" style="126" customWidth="1"/>
    <col min="50" max="51" width="1.75" style="126" customWidth="1"/>
    <col min="52" max="53" width="0.875" style="126" customWidth="1"/>
    <col min="54" max="55" width="1.75" style="126" customWidth="1"/>
    <col min="56" max="57" width="0.875" style="126" customWidth="1"/>
    <col min="58" max="59" width="1.75" style="126" customWidth="1"/>
    <col min="60" max="61" width="0.875" style="126" customWidth="1"/>
    <col min="62" max="63" width="1.75" style="126" customWidth="1"/>
    <col min="64" max="64" width="0.875" style="126" customWidth="1"/>
    <col min="65" max="65" width="2.5" style="126" customWidth="1"/>
    <col min="66" max="66" width="4" style="126" customWidth="1"/>
    <col min="67" max="67" width="2.875" style="126" customWidth="1"/>
    <col min="68" max="68" width="4.5" style="126" bestFit="1" customWidth="1"/>
    <col min="69" max="69" width="2.25" style="126" bestFit="1" customWidth="1"/>
    <col min="70" max="76" width="3" style="126" bestFit="1" customWidth="1"/>
    <col min="77" max="80" width="4" style="126" bestFit="1" customWidth="1"/>
    <col min="81" max="256" width="9" style="126"/>
    <col min="257" max="257" width="6.75" style="126" customWidth="1"/>
    <col min="258" max="259" width="1.75" style="126" customWidth="1"/>
    <col min="260" max="261" width="0.875" style="126" customWidth="1"/>
    <col min="262" max="262" width="1.625" style="126" customWidth="1"/>
    <col min="263" max="263" width="1.875" style="126" customWidth="1"/>
    <col min="264" max="265" width="0.875" style="126" customWidth="1"/>
    <col min="266" max="267" width="1.75" style="126" customWidth="1"/>
    <col min="268" max="269" width="0.875" style="126" customWidth="1"/>
    <col min="270" max="271" width="1.75" style="126" customWidth="1"/>
    <col min="272" max="273" width="0.875" style="126" customWidth="1"/>
    <col min="274" max="275" width="1.75" style="126" customWidth="1"/>
    <col min="276" max="277" width="0.875" style="126" customWidth="1"/>
    <col min="278" max="279" width="1.75" style="126" customWidth="1"/>
    <col min="280" max="281" width="0.875" style="126" customWidth="1"/>
    <col min="282" max="283" width="1.75" style="126" customWidth="1"/>
    <col min="284" max="285" width="0.875" style="126" customWidth="1"/>
    <col min="286" max="287" width="1.75" style="126" customWidth="1"/>
    <col min="288" max="289" width="0.875" style="126" customWidth="1"/>
    <col min="290" max="291" width="1.75" style="126" customWidth="1"/>
    <col min="292" max="293" width="0.875" style="126" customWidth="1"/>
    <col min="294" max="295" width="1.75" style="126" customWidth="1"/>
    <col min="296" max="297" width="0.875" style="126" customWidth="1"/>
    <col min="298" max="299" width="1.75" style="126" customWidth="1"/>
    <col min="300" max="301" width="0.875" style="126" customWidth="1"/>
    <col min="302" max="303" width="1.75" style="126" customWidth="1"/>
    <col min="304" max="305" width="0.875" style="126" customWidth="1"/>
    <col min="306" max="307" width="1.75" style="126" customWidth="1"/>
    <col min="308" max="309" width="0.875" style="126" customWidth="1"/>
    <col min="310" max="311" width="1.75" style="126" customWidth="1"/>
    <col min="312" max="313" width="0.875" style="126" customWidth="1"/>
    <col min="314" max="315" width="1.75" style="126" customWidth="1"/>
    <col min="316" max="317" width="0.875" style="126" customWidth="1"/>
    <col min="318" max="319" width="1.75" style="126" customWidth="1"/>
    <col min="320" max="320" width="0.875" style="126" customWidth="1"/>
    <col min="321" max="321" width="2.5" style="126" customWidth="1"/>
    <col min="322" max="322" width="4" style="126" customWidth="1"/>
    <col min="323" max="323" width="2.875" style="126" customWidth="1"/>
    <col min="324" max="324" width="4.5" style="126" bestFit="1" customWidth="1"/>
    <col min="325" max="325" width="2.25" style="126" bestFit="1" customWidth="1"/>
    <col min="326" max="332" width="3" style="126" bestFit="1" customWidth="1"/>
    <col min="333" max="336" width="4" style="126" bestFit="1" customWidth="1"/>
    <col min="337" max="512" width="9" style="126"/>
    <col min="513" max="513" width="6.75" style="126" customWidth="1"/>
    <col min="514" max="515" width="1.75" style="126" customWidth="1"/>
    <col min="516" max="517" width="0.875" style="126" customWidth="1"/>
    <col min="518" max="518" width="1.625" style="126" customWidth="1"/>
    <col min="519" max="519" width="1.875" style="126" customWidth="1"/>
    <col min="520" max="521" width="0.875" style="126" customWidth="1"/>
    <col min="522" max="523" width="1.75" style="126" customWidth="1"/>
    <col min="524" max="525" width="0.875" style="126" customWidth="1"/>
    <col min="526" max="527" width="1.75" style="126" customWidth="1"/>
    <col min="528" max="529" width="0.875" style="126" customWidth="1"/>
    <col min="530" max="531" width="1.75" style="126" customWidth="1"/>
    <col min="532" max="533" width="0.875" style="126" customWidth="1"/>
    <col min="534" max="535" width="1.75" style="126" customWidth="1"/>
    <col min="536" max="537" width="0.875" style="126" customWidth="1"/>
    <col min="538" max="539" width="1.75" style="126" customWidth="1"/>
    <col min="540" max="541" width="0.875" style="126" customWidth="1"/>
    <col min="542" max="543" width="1.75" style="126" customWidth="1"/>
    <col min="544" max="545" width="0.875" style="126" customWidth="1"/>
    <col min="546" max="547" width="1.75" style="126" customWidth="1"/>
    <col min="548" max="549" width="0.875" style="126" customWidth="1"/>
    <col min="550" max="551" width="1.75" style="126" customWidth="1"/>
    <col min="552" max="553" width="0.875" style="126" customWidth="1"/>
    <col min="554" max="555" width="1.75" style="126" customWidth="1"/>
    <col min="556" max="557" width="0.875" style="126" customWidth="1"/>
    <col min="558" max="559" width="1.75" style="126" customWidth="1"/>
    <col min="560" max="561" width="0.875" style="126" customWidth="1"/>
    <col min="562" max="563" width="1.75" style="126" customWidth="1"/>
    <col min="564" max="565" width="0.875" style="126" customWidth="1"/>
    <col min="566" max="567" width="1.75" style="126" customWidth="1"/>
    <col min="568" max="569" width="0.875" style="126" customWidth="1"/>
    <col min="570" max="571" width="1.75" style="126" customWidth="1"/>
    <col min="572" max="573" width="0.875" style="126" customWidth="1"/>
    <col min="574" max="575" width="1.75" style="126" customWidth="1"/>
    <col min="576" max="576" width="0.875" style="126" customWidth="1"/>
    <col min="577" max="577" width="2.5" style="126" customWidth="1"/>
    <col min="578" max="578" width="4" style="126" customWidth="1"/>
    <col min="579" max="579" width="2.875" style="126" customWidth="1"/>
    <col min="580" max="580" width="4.5" style="126" bestFit="1" customWidth="1"/>
    <col min="581" max="581" width="2.25" style="126" bestFit="1" customWidth="1"/>
    <col min="582" max="588" width="3" style="126" bestFit="1" customWidth="1"/>
    <col min="589" max="592" width="4" style="126" bestFit="1" customWidth="1"/>
    <col min="593" max="768" width="9" style="126"/>
    <col min="769" max="769" width="6.75" style="126" customWidth="1"/>
    <col min="770" max="771" width="1.75" style="126" customWidth="1"/>
    <col min="772" max="773" width="0.875" style="126" customWidth="1"/>
    <col min="774" max="774" width="1.625" style="126" customWidth="1"/>
    <col min="775" max="775" width="1.875" style="126" customWidth="1"/>
    <col min="776" max="777" width="0.875" style="126" customWidth="1"/>
    <col min="778" max="779" width="1.75" style="126" customWidth="1"/>
    <col min="780" max="781" width="0.875" style="126" customWidth="1"/>
    <col min="782" max="783" width="1.75" style="126" customWidth="1"/>
    <col min="784" max="785" width="0.875" style="126" customWidth="1"/>
    <col min="786" max="787" width="1.75" style="126" customWidth="1"/>
    <col min="788" max="789" width="0.875" style="126" customWidth="1"/>
    <col min="790" max="791" width="1.75" style="126" customWidth="1"/>
    <col min="792" max="793" width="0.875" style="126" customWidth="1"/>
    <col min="794" max="795" width="1.75" style="126" customWidth="1"/>
    <col min="796" max="797" width="0.875" style="126" customWidth="1"/>
    <col min="798" max="799" width="1.75" style="126" customWidth="1"/>
    <col min="800" max="801" width="0.875" style="126" customWidth="1"/>
    <col min="802" max="803" width="1.75" style="126" customWidth="1"/>
    <col min="804" max="805" width="0.875" style="126" customWidth="1"/>
    <col min="806" max="807" width="1.75" style="126" customWidth="1"/>
    <col min="808" max="809" width="0.875" style="126" customWidth="1"/>
    <col min="810" max="811" width="1.75" style="126" customWidth="1"/>
    <col min="812" max="813" width="0.875" style="126" customWidth="1"/>
    <col min="814" max="815" width="1.75" style="126" customWidth="1"/>
    <col min="816" max="817" width="0.875" style="126" customWidth="1"/>
    <col min="818" max="819" width="1.75" style="126" customWidth="1"/>
    <col min="820" max="821" width="0.875" style="126" customWidth="1"/>
    <col min="822" max="823" width="1.75" style="126" customWidth="1"/>
    <col min="824" max="825" width="0.875" style="126" customWidth="1"/>
    <col min="826" max="827" width="1.75" style="126" customWidth="1"/>
    <col min="828" max="829" width="0.875" style="126" customWidth="1"/>
    <col min="830" max="831" width="1.75" style="126" customWidth="1"/>
    <col min="832" max="832" width="0.875" style="126" customWidth="1"/>
    <col min="833" max="833" width="2.5" style="126" customWidth="1"/>
    <col min="834" max="834" width="4" style="126" customWidth="1"/>
    <col min="835" max="835" width="2.875" style="126" customWidth="1"/>
    <col min="836" max="836" width="4.5" style="126" bestFit="1" customWidth="1"/>
    <col min="837" max="837" width="2.25" style="126" bestFit="1" customWidth="1"/>
    <col min="838" max="844" width="3" style="126" bestFit="1" customWidth="1"/>
    <col min="845" max="848" width="4" style="126" bestFit="1" customWidth="1"/>
    <col min="849" max="1024" width="9" style="126"/>
    <col min="1025" max="1025" width="6.75" style="126" customWidth="1"/>
    <col min="1026" max="1027" width="1.75" style="126" customWidth="1"/>
    <col min="1028" max="1029" width="0.875" style="126" customWidth="1"/>
    <col min="1030" max="1030" width="1.625" style="126" customWidth="1"/>
    <col min="1031" max="1031" width="1.875" style="126" customWidth="1"/>
    <col min="1032" max="1033" width="0.875" style="126" customWidth="1"/>
    <col min="1034" max="1035" width="1.75" style="126" customWidth="1"/>
    <col min="1036" max="1037" width="0.875" style="126" customWidth="1"/>
    <col min="1038" max="1039" width="1.75" style="126" customWidth="1"/>
    <col min="1040" max="1041" width="0.875" style="126" customWidth="1"/>
    <col min="1042" max="1043" width="1.75" style="126" customWidth="1"/>
    <col min="1044" max="1045" width="0.875" style="126" customWidth="1"/>
    <col min="1046" max="1047" width="1.75" style="126" customWidth="1"/>
    <col min="1048" max="1049" width="0.875" style="126" customWidth="1"/>
    <col min="1050" max="1051" width="1.75" style="126" customWidth="1"/>
    <col min="1052" max="1053" width="0.875" style="126" customWidth="1"/>
    <col min="1054" max="1055" width="1.75" style="126" customWidth="1"/>
    <col min="1056" max="1057" width="0.875" style="126" customWidth="1"/>
    <col min="1058" max="1059" width="1.75" style="126" customWidth="1"/>
    <col min="1060" max="1061" width="0.875" style="126" customWidth="1"/>
    <col min="1062" max="1063" width="1.75" style="126" customWidth="1"/>
    <col min="1064" max="1065" width="0.875" style="126" customWidth="1"/>
    <col min="1066" max="1067" width="1.75" style="126" customWidth="1"/>
    <col min="1068" max="1069" width="0.875" style="126" customWidth="1"/>
    <col min="1070" max="1071" width="1.75" style="126" customWidth="1"/>
    <col min="1072" max="1073" width="0.875" style="126" customWidth="1"/>
    <col min="1074" max="1075" width="1.75" style="126" customWidth="1"/>
    <col min="1076" max="1077" width="0.875" style="126" customWidth="1"/>
    <col min="1078" max="1079" width="1.75" style="126" customWidth="1"/>
    <col min="1080" max="1081" width="0.875" style="126" customWidth="1"/>
    <col min="1082" max="1083" width="1.75" style="126" customWidth="1"/>
    <col min="1084" max="1085" width="0.875" style="126" customWidth="1"/>
    <col min="1086" max="1087" width="1.75" style="126" customWidth="1"/>
    <col min="1088" max="1088" width="0.875" style="126" customWidth="1"/>
    <col min="1089" max="1089" width="2.5" style="126" customWidth="1"/>
    <col min="1090" max="1090" width="4" style="126" customWidth="1"/>
    <col min="1091" max="1091" width="2.875" style="126" customWidth="1"/>
    <col min="1092" max="1092" width="4.5" style="126" bestFit="1" customWidth="1"/>
    <col min="1093" max="1093" width="2.25" style="126" bestFit="1" customWidth="1"/>
    <col min="1094" max="1100" width="3" style="126" bestFit="1" customWidth="1"/>
    <col min="1101" max="1104" width="4" style="126" bestFit="1" customWidth="1"/>
    <col min="1105" max="1280" width="9" style="126"/>
    <col min="1281" max="1281" width="6.75" style="126" customWidth="1"/>
    <col min="1282" max="1283" width="1.75" style="126" customWidth="1"/>
    <col min="1284" max="1285" width="0.875" style="126" customWidth="1"/>
    <col min="1286" max="1286" width="1.625" style="126" customWidth="1"/>
    <col min="1287" max="1287" width="1.875" style="126" customWidth="1"/>
    <col min="1288" max="1289" width="0.875" style="126" customWidth="1"/>
    <col min="1290" max="1291" width="1.75" style="126" customWidth="1"/>
    <col min="1292" max="1293" width="0.875" style="126" customWidth="1"/>
    <col min="1294" max="1295" width="1.75" style="126" customWidth="1"/>
    <col min="1296" max="1297" width="0.875" style="126" customWidth="1"/>
    <col min="1298" max="1299" width="1.75" style="126" customWidth="1"/>
    <col min="1300" max="1301" width="0.875" style="126" customWidth="1"/>
    <col min="1302" max="1303" width="1.75" style="126" customWidth="1"/>
    <col min="1304" max="1305" width="0.875" style="126" customWidth="1"/>
    <col min="1306" max="1307" width="1.75" style="126" customWidth="1"/>
    <col min="1308" max="1309" width="0.875" style="126" customWidth="1"/>
    <col min="1310" max="1311" width="1.75" style="126" customWidth="1"/>
    <col min="1312" max="1313" width="0.875" style="126" customWidth="1"/>
    <col min="1314" max="1315" width="1.75" style="126" customWidth="1"/>
    <col min="1316" max="1317" width="0.875" style="126" customWidth="1"/>
    <col min="1318" max="1319" width="1.75" style="126" customWidth="1"/>
    <col min="1320" max="1321" width="0.875" style="126" customWidth="1"/>
    <col min="1322" max="1323" width="1.75" style="126" customWidth="1"/>
    <col min="1324" max="1325" width="0.875" style="126" customWidth="1"/>
    <col min="1326" max="1327" width="1.75" style="126" customWidth="1"/>
    <col min="1328" max="1329" width="0.875" style="126" customWidth="1"/>
    <col min="1330" max="1331" width="1.75" style="126" customWidth="1"/>
    <col min="1332" max="1333" width="0.875" style="126" customWidth="1"/>
    <col min="1334" max="1335" width="1.75" style="126" customWidth="1"/>
    <col min="1336" max="1337" width="0.875" style="126" customWidth="1"/>
    <col min="1338" max="1339" width="1.75" style="126" customWidth="1"/>
    <col min="1340" max="1341" width="0.875" style="126" customWidth="1"/>
    <col min="1342" max="1343" width="1.75" style="126" customWidth="1"/>
    <col min="1344" max="1344" width="0.875" style="126" customWidth="1"/>
    <col min="1345" max="1345" width="2.5" style="126" customWidth="1"/>
    <col min="1346" max="1346" width="4" style="126" customWidth="1"/>
    <col min="1347" max="1347" width="2.875" style="126" customWidth="1"/>
    <col min="1348" max="1348" width="4.5" style="126" bestFit="1" customWidth="1"/>
    <col min="1349" max="1349" width="2.25" style="126" bestFit="1" customWidth="1"/>
    <col min="1350" max="1356" width="3" style="126" bestFit="1" customWidth="1"/>
    <col min="1357" max="1360" width="4" style="126" bestFit="1" customWidth="1"/>
    <col min="1361" max="1536" width="9" style="126"/>
    <col min="1537" max="1537" width="6.75" style="126" customWidth="1"/>
    <col min="1538" max="1539" width="1.75" style="126" customWidth="1"/>
    <col min="1540" max="1541" width="0.875" style="126" customWidth="1"/>
    <col min="1542" max="1542" width="1.625" style="126" customWidth="1"/>
    <col min="1543" max="1543" width="1.875" style="126" customWidth="1"/>
    <col min="1544" max="1545" width="0.875" style="126" customWidth="1"/>
    <col min="1546" max="1547" width="1.75" style="126" customWidth="1"/>
    <col min="1548" max="1549" width="0.875" style="126" customWidth="1"/>
    <col min="1550" max="1551" width="1.75" style="126" customWidth="1"/>
    <col min="1552" max="1553" width="0.875" style="126" customWidth="1"/>
    <col min="1554" max="1555" width="1.75" style="126" customWidth="1"/>
    <col min="1556" max="1557" width="0.875" style="126" customWidth="1"/>
    <col min="1558" max="1559" width="1.75" style="126" customWidth="1"/>
    <col min="1560" max="1561" width="0.875" style="126" customWidth="1"/>
    <col min="1562" max="1563" width="1.75" style="126" customWidth="1"/>
    <col min="1564" max="1565" width="0.875" style="126" customWidth="1"/>
    <col min="1566" max="1567" width="1.75" style="126" customWidth="1"/>
    <col min="1568" max="1569" width="0.875" style="126" customWidth="1"/>
    <col min="1570" max="1571" width="1.75" style="126" customWidth="1"/>
    <col min="1572" max="1573" width="0.875" style="126" customWidth="1"/>
    <col min="1574" max="1575" width="1.75" style="126" customWidth="1"/>
    <col min="1576" max="1577" width="0.875" style="126" customWidth="1"/>
    <col min="1578" max="1579" width="1.75" style="126" customWidth="1"/>
    <col min="1580" max="1581" width="0.875" style="126" customWidth="1"/>
    <col min="1582" max="1583" width="1.75" style="126" customWidth="1"/>
    <col min="1584" max="1585" width="0.875" style="126" customWidth="1"/>
    <col min="1586" max="1587" width="1.75" style="126" customWidth="1"/>
    <col min="1588" max="1589" width="0.875" style="126" customWidth="1"/>
    <col min="1590" max="1591" width="1.75" style="126" customWidth="1"/>
    <col min="1592" max="1593" width="0.875" style="126" customWidth="1"/>
    <col min="1594" max="1595" width="1.75" style="126" customWidth="1"/>
    <col min="1596" max="1597" width="0.875" style="126" customWidth="1"/>
    <col min="1598" max="1599" width="1.75" style="126" customWidth="1"/>
    <col min="1600" max="1600" width="0.875" style="126" customWidth="1"/>
    <col min="1601" max="1601" width="2.5" style="126" customWidth="1"/>
    <col min="1602" max="1602" width="4" style="126" customWidth="1"/>
    <col min="1603" max="1603" width="2.875" style="126" customWidth="1"/>
    <col min="1604" max="1604" width="4.5" style="126" bestFit="1" customWidth="1"/>
    <col min="1605" max="1605" width="2.25" style="126" bestFit="1" customWidth="1"/>
    <col min="1606" max="1612" width="3" style="126" bestFit="1" customWidth="1"/>
    <col min="1613" max="1616" width="4" style="126" bestFit="1" customWidth="1"/>
    <col min="1617" max="1792" width="9" style="126"/>
    <col min="1793" max="1793" width="6.75" style="126" customWidth="1"/>
    <col min="1794" max="1795" width="1.75" style="126" customWidth="1"/>
    <col min="1796" max="1797" width="0.875" style="126" customWidth="1"/>
    <col min="1798" max="1798" width="1.625" style="126" customWidth="1"/>
    <col min="1799" max="1799" width="1.875" style="126" customWidth="1"/>
    <col min="1800" max="1801" width="0.875" style="126" customWidth="1"/>
    <col min="1802" max="1803" width="1.75" style="126" customWidth="1"/>
    <col min="1804" max="1805" width="0.875" style="126" customWidth="1"/>
    <col min="1806" max="1807" width="1.75" style="126" customWidth="1"/>
    <col min="1808" max="1809" width="0.875" style="126" customWidth="1"/>
    <col min="1810" max="1811" width="1.75" style="126" customWidth="1"/>
    <col min="1812" max="1813" width="0.875" style="126" customWidth="1"/>
    <col min="1814" max="1815" width="1.75" style="126" customWidth="1"/>
    <col min="1816" max="1817" width="0.875" style="126" customWidth="1"/>
    <col min="1818" max="1819" width="1.75" style="126" customWidth="1"/>
    <col min="1820" max="1821" width="0.875" style="126" customWidth="1"/>
    <col min="1822" max="1823" width="1.75" style="126" customWidth="1"/>
    <col min="1824" max="1825" width="0.875" style="126" customWidth="1"/>
    <col min="1826" max="1827" width="1.75" style="126" customWidth="1"/>
    <col min="1828" max="1829" width="0.875" style="126" customWidth="1"/>
    <col min="1830" max="1831" width="1.75" style="126" customWidth="1"/>
    <col min="1832" max="1833" width="0.875" style="126" customWidth="1"/>
    <col min="1834" max="1835" width="1.75" style="126" customWidth="1"/>
    <col min="1836" max="1837" width="0.875" style="126" customWidth="1"/>
    <col min="1838" max="1839" width="1.75" style="126" customWidth="1"/>
    <col min="1840" max="1841" width="0.875" style="126" customWidth="1"/>
    <col min="1842" max="1843" width="1.75" style="126" customWidth="1"/>
    <col min="1844" max="1845" width="0.875" style="126" customWidth="1"/>
    <col min="1846" max="1847" width="1.75" style="126" customWidth="1"/>
    <col min="1848" max="1849" width="0.875" style="126" customWidth="1"/>
    <col min="1850" max="1851" width="1.75" style="126" customWidth="1"/>
    <col min="1852" max="1853" width="0.875" style="126" customWidth="1"/>
    <col min="1854" max="1855" width="1.75" style="126" customWidth="1"/>
    <col min="1856" max="1856" width="0.875" style="126" customWidth="1"/>
    <col min="1857" max="1857" width="2.5" style="126" customWidth="1"/>
    <col min="1858" max="1858" width="4" style="126" customWidth="1"/>
    <col min="1859" max="1859" width="2.875" style="126" customWidth="1"/>
    <col min="1860" max="1860" width="4.5" style="126" bestFit="1" customWidth="1"/>
    <col min="1861" max="1861" width="2.25" style="126" bestFit="1" customWidth="1"/>
    <col min="1862" max="1868" width="3" style="126" bestFit="1" customWidth="1"/>
    <col min="1869" max="1872" width="4" style="126" bestFit="1" customWidth="1"/>
    <col min="1873" max="2048" width="9" style="126"/>
    <col min="2049" max="2049" width="6.75" style="126" customWidth="1"/>
    <col min="2050" max="2051" width="1.75" style="126" customWidth="1"/>
    <col min="2052" max="2053" width="0.875" style="126" customWidth="1"/>
    <col min="2054" max="2054" width="1.625" style="126" customWidth="1"/>
    <col min="2055" max="2055" width="1.875" style="126" customWidth="1"/>
    <col min="2056" max="2057" width="0.875" style="126" customWidth="1"/>
    <col min="2058" max="2059" width="1.75" style="126" customWidth="1"/>
    <col min="2060" max="2061" width="0.875" style="126" customWidth="1"/>
    <col min="2062" max="2063" width="1.75" style="126" customWidth="1"/>
    <col min="2064" max="2065" width="0.875" style="126" customWidth="1"/>
    <col min="2066" max="2067" width="1.75" style="126" customWidth="1"/>
    <col min="2068" max="2069" width="0.875" style="126" customWidth="1"/>
    <col min="2070" max="2071" width="1.75" style="126" customWidth="1"/>
    <col min="2072" max="2073" width="0.875" style="126" customWidth="1"/>
    <col min="2074" max="2075" width="1.75" style="126" customWidth="1"/>
    <col min="2076" max="2077" width="0.875" style="126" customWidth="1"/>
    <col min="2078" max="2079" width="1.75" style="126" customWidth="1"/>
    <col min="2080" max="2081" width="0.875" style="126" customWidth="1"/>
    <col min="2082" max="2083" width="1.75" style="126" customWidth="1"/>
    <col min="2084" max="2085" width="0.875" style="126" customWidth="1"/>
    <col min="2086" max="2087" width="1.75" style="126" customWidth="1"/>
    <col min="2088" max="2089" width="0.875" style="126" customWidth="1"/>
    <col min="2090" max="2091" width="1.75" style="126" customWidth="1"/>
    <col min="2092" max="2093" width="0.875" style="126" customWidth="1"/>
    <col min="2094" max="2095" width="1.75" style="126" customWidth="1"/>
    <col min="2096" max="2097" width="0.875" style="126" customWidth="1"/>
    <col min="2098" max="2099" width="1.75" style="126" customWidth="1"/>
    <col min="2100" max="2101" width="0.875" style="126" customWidth="1"/>
    <col min="2102" max="2103" width="1.75" style="126" customWidth="1"/>
    <col min="2104" max="2105" width="0.875" style="126" customWidth="1"/>
    <col min="2106" max="2107" width="1.75" style="126" customWidth="1"/>
    <col min="2108" max="2109" width="0.875" style="126" customWidth="1"/>
    <col min="2110" max="2111" width="1.75" style="126" customWidth="1"/>
    <col min="2112" max="2112" width="0.875" style="126" customWidth="1"/>
    <col min="2113" max="2113" width="2.5" style="126" customWidth="1"/>
    <col min="2114" max="2114" width="4" style="126" customWidth="1"/>
    <col min="2115" max="2115" width="2.875" style="126" customWidth="1"/>
    <col min="2116" max="2116" width="4.5" style="126" bestFit="1" customWidth="1"/>
    <col min="2117" max="2117" width="2.25" style="126" bestFit="1" customWidth="1"/>
    <col min="2118" max="2124" width="3" style="126" bestFit="1" customWidth="1"/>
    <col min="2125" max="2128" width="4" style="126" bestFit="1" customWidth="1"/>
    <col min="2129" max="2304" width="9" style="126"/>
    <col min="2305" max="2305" width="6.75" style="126" customWidth="1"/>
    <col min="2306" max="2307" width="1.75" style="126" customWidth="1"/>
    <col min="2308" max="2309" width="0.875" style="126" customWidth="1"/>
    <col min="2310" max="2310" width="1.625" style="126" customWidth="1"/>
    <col min="2311" max="2311" width="1.875" style="126" customWidth="1"/>
    <col min="2312" max="2313" width="0.875" style="126" customWidth="1"/>
    <col min="2314" max="2315" width="1.75" style="126" customWidth="1"/>
    <col min="2316" max="2317" width="0.875" style="126" customWidth="1"/>
    <col min="2318" max="2319" width="1.75" style="126" customWidth="1"/>
    <col min="2320" max="2321" width="0.875" style="126" customWidth="1"/>
    <col min="2322" max="2323" width="1.75" style="126" customWidth="1"/>
    <col min="2324" max="2325" width="0.875" style="126" customWidth="1"/>
    <col min="2326" max="2327" width="1.75" style="126" customWidth="1"/>
    <col min="2328" max="2329" width="0.875" style="126" customWidth="1"/>
    <col min="2330" max="2331" width="1.75" style="126" customWidth="1"/>
    <col min="2332" max="2333" width="0.875" style="126" customWidth="1"/>
    <col min="2334" max="2335" width="1.75" style="126" customWidth="1"/>
    <col min="2336" max="2337" width="0.875" style="126" customWidth="1"/>
    <col min="2338" max="2339" width="1.75" style="126" customWidth="1"/>
    <col min="2340" max="2341" width="0.875" style="126" customWidth="1"/>
    <col min="2342" max="2343" width="1.75" style="126" customWidth="1"/>
    <col min="2344" max="2345" width="0.875" style="126" customWidth="1"/>
    <col min="2346" max="2347" width="1.75" style="126" customWidth="1"/>
    <col min="2348" max="2349" width="0.875" style="126" customWidth="1"/>
    <col min="2350" max="2351" width="1.75" style="126" customWidth="1"/>
    <col min="2352" max="2353" width="0.875" style="126" customWidth="1"/>
    <col min="2354" max="2355" width="1.75" style="126" customWidth="1"/>
    <col min="2356" max="2357" width="0.875" style="126" customWidth="1"/>
    <col min="2358" max="2359" width="1.75" style="126" customWidth="1"/>
    <col min="2360" max="2361" width="0.875" style="126" customWidth="1"/>
    <col min="2362" max="2363" width="1.75" style="126" customWidth="1"/>
    <col min="2364" max="2365" width="0.875" style="126" customWidth="1"/>
    <col min="2366" max="2367" width="1.75" style="126" customWidth="1"/>
    <col min="2368" max="2368" width="0.875" style="126" customWidth="1"/>
    <col min="2369" max="2369" width="2.5" style="126" customWidth="1"/>
    <col min="2370" max="2370" width="4" style="126" customWidth="1"/>
    <col min="2371" max="2371" width="2.875" style="126" customWidth="1"/>
    <col min="2372" max="2372" width="4.5" style="126" bestFit="1" customWidth="1"/>
    <col min="2373" max="2373" width="2.25" style="126" bestFit="1" customWidth="1"/>
    <col min="2374" max="2380" width="3" style="126" bestFit="1" customWidth="1"/>
    <col min="2381" max="2384" width="4" style="126" bestFit="1" customWidth="1"/>
    <col min="2385" max="2560" width="9" style="126"/>
    <col min="2561" max="2561" width="6.75" style="126" customWidth="1"/>
    <col min="2562" max="2563" width="1.75" style="126" customWidth="1"/>
    <col min="2564" max="2565" width="0.875" style="126" customWidth="1"/>
    <col min="2566" max="2566" width="1.625" style="126" customWidth="1"/>
    <col min="2567" max="2567" width="1.875" style="126" customWidth="1"/>
    <col min="2568" max="2569" width="0.875" style="126" customWidth="1"/>
    <col min="2570" max="2571" width="1.75" style="126" customWidth="1"/>
    <col min="2572" max="2573" width="0.875" style="126" customWidth="1"/>
    <col min="2574" max="2575" width="1.75" style="126" customWidth="1"/>
    <col min="2576" max="2577" width="0.875" style="126" customWidth="1"/>
    <col min="2578" max="2579" width="1.75" style="126" customWidth="1"/>
    <col min="2580" max="2581" width="0.875" style="126" customWidth="1"/>
    <col min="2582" max="2583" width="1.75" style="126" customWidth="1"/>
    <col min="2584" max="2585" width="0.875" style="126" customWidth="1"/>
    <col min="2586" max="2587" width="1.75" style="126" customWidth="1"/>
    <col min="2588" max="2589" width="0.875" style="126" customWidth="1"/>
    <col min="2590" max="2591" width="1.75" style="126" customWidth="1"/>
    <col min="2592" max="2593" width="0.875" style="126" customWidth="1"/>
    <col min="2594" max="2595" width="1.75" style="126" customWidth="1"/>
    <col min="2596" max="2597" width="0.875" style="126" customWidth="1"/>
    <col min="2598" max="2599" width="1.75" style="126" customWidth="1"/>
    <col min="2600" max="2601" width="0.875" style="126" customWidth="1"/>
    <col min="2602" max="2603" width="1.75" style="126" customWidth="1"/>
    <col min="2604" max="2605" width="0.875" style="126" customWidth="1"/>
    <col min="2606" max="2607" width="1.75" style="126" customWidth="1"/>
    <col min="2608" max="2609" width="0.875" style="126" customWidth="1"/>
    <col min="2610" max="2611" width="1.75" style="126" customWidth="1"/>
    <col min="2612" max="2613" width="0.875" style="126" customWidth="1"/>
    <col min="2614" max="2615" width="1.75" style="126" customWidth="1"/>
    <col min="2616" max="2617" width="0.875" style="126" customWidth="1"/>
    <col min="2618" max="2619" width="1.75" style="126" customWidth="1"/>
    <col min="2620" max="2621" width="0.875" style="126" customWidth="1"/>
    <col min="2622" max="2623" width="1.75" style="126" customWidth="1"/>
    <col min="2624" max="2624" width="0.875" style="126" customWidth="1"/>
    <col min="2625" max="2625" width="2.5" style="126" customWidth="1"/>
    <col min="2626" max="2626" width="4" style="126" customWidth="1"/>
    <col min="2627" max="2627" width="2.875" style="126" customWidth="1"/>
    <col min="2628" max="2628" width="4.5" style="126" bestFit="1" customWidth="1"/>
    <col min="2629" max="2629" width="2.25" style="126" bestFit="1" customWidth="1"/>
    <col min="2630" max="2636" width="3" style="126" bestFit="1" customWidth="1"/>
    <col min="2637" max="2640" width="4" style="126" bestFit="1" customWidth="1"/>
    <col min="2641" max="2816" width="9" style="126"/>
    <col min="2817" max="2817" width="6.75" style="126" customWidth="1"/>
    <col min="2818" max="2819" width="1.75" style="126" customWidth="1"/>
    <col min="2820" max="2821" width="0.875" style="126" customWidth="1"/>
    <col min="2822" max="2822" width="1.625" style="126" customWidth="1"/>
    <col min="2823" max="2823" width="1.875" style="126" customWidth="1"/>
    <col min="2824" max="2825" width="0.875" style="126" customWidth="1"/>
    <col min="2826" max="2827" width="1.75" style="126" customWidth="1"/>
    <col min="2828" max="2829" width="0.875" style="126" customWidth="1"/>
    <col min="2830" max="2831" width="1.75" style="126" customWidth="1"/>
    <col min="2832" max="2833" width="0.875" style="126" customWidth="1"/>
    <col min="2834" max="2835" width="1.75" style="126" customWidth="1"/>
    <col min="2836" max="2837" width="0.875" style="126" customWidth="1"/>
    <col min="2838" max="2839" width="1.75" style="126" customWidth="1"/>
    <col min="2840" max="2841" width="0.875" style="126" customWidth="1"/>
    <col min="2842" max="2843" width="1.75" style="126" customWidth="1"/>
    <col min="2844" max="2845" width="0.875" style="126" customWidth="1"/>
    <col min="2846" max="2847" width="1.75" style="126" customWidth="1"/>
    <col min="2848" max="2849" width="0.875" style="126" customWidth="1"/>
    <col min="2850" max="2851" width="1.75" style="126" customWidth="1"/>
    <col min="2852" max="2853" width="0.875" style="126" customWidth="1"/>
    <col min="2854" max="2855" width="1.75" style="126" customWidth="1"/>
    <col min="2856" max="2857" width="0.875" style="126" customWidth="1"/>
    <col min="2858" max="2859" width="1.75" style="126" customWidth="1"/>
    <col min="2860" max="2861" width="0.875" style="126" customWidth="1"/>
    <col min="2862" max="2863" width="1.75" style="126" customWidth="1"/>
    <col min="2864" max="2865" width="0.875" style="126" customWidth="1"/>
    <col min="2866" max="2867" width="1.75" style="126" customWidth="1"/>
    <col min="2868" max="2869" width="0.875" style="126" customWidth="1"/>
    <col min="2870" max="2871" width="1.75" style="126" customWidth="1"/>
    <col min="2872" max="2873" width="0.875" style="126" customWidth="1"/>
    <col min="2874" max="2875" width="1.75" style="126" customWidth="1"/>
    <col min="2876" max="2877" width="0.875" style="126" customWidth="1"/>
    <col min="2878" max="2879" width="1.75" style="126" customWidth="1"/>
    <col min="2880" max="2880" width="0.875" style="126" customWidth="1"/>
    <col min="2881" max="2881" width="2.5" style="126" customWidth="1"/>
    <col min="2882" max="2882" width="4" style="126" customWidth="1"/>
    <col min="2883" max="2883" width="2.875" style="126" customWidth="1"/>
    <col min="2884" max="2884" width="4.5" style="126" bestFit="1" customWidth="1"/>
    <col min="2885" max="2885" width="2.25" style="126" bestFit="1" customWidth="1"/>
    <col min="2886" max="2892" width="3" style="126" bestFit="1" customWidth="1"/>
    <col min="2893" max="2896" width="4" style="126" bestFit="1" customWidth="1"/>
    <col min="2897" max="3072" width="9" style="126"/>
    <col min="3073" max="3073" width="6.75" style="126" customWidth="1"/>
    <col min="3074" max="3075" width="1.75" style="126" customWidth="1"/>
    <col min="3076" max="3077" width="0.875" style="126" customWidth="1"/>
    <col min="3078" max="3078" width="1.625" style="126" customWidth="1"/>
    <col min="3079" max="3079" width="1.875" style="126" customWidth="1"/>
    <col min="3080" max="3081" width="0.875" style="126" customWidth="1"/>
    <col min="3082" max="3083" width="1.75" style="126" customWidth="1"/>
    <col min="3084" max="3085" width="0.875" style="126" customWidth="1"/>
    <col min="3086" max="3087" width="1.75" style="126" customWidth="1"/>
    <col min="3088" max="3089" width="0.875" style="126" customWidth="1"/>
    <col min="3090" max="3091" width="1.75" style="126" customWidth="1"/>
    <col min="3092" max="3093" width="0.875" style="126" customWidth="1"/>
    <col min="3094" max="3095" width="1.75" style="126" customWidth="1"/>
    <col min="3096" max="3097" width="0.875" style="126" customWidth="1"/>
    <col min="3098" max="3099" width="1.75" style="126" customWidth="1"/>
    <col min="3100" max="3101" width="0.875" style="126" customWidth="1"/>
    <col min="3102" max="3103" width="1.75" style="126" customWidth="1"/>
    <col min="3104" max="3105" width="0.875" style="126" customWidth="1"/>
    <col min="3106" max="3107" width="1.75" style="126" customWidth="1"/>
    <col min="3108" max="3109" width="0.875" style="126" customWidth="1"/>
    <col min="3110" max="3111" width="1.75" style="126" customWidth="1"/>
    <col min="3112" max="3113" width="0.875" style="126" customWidth="1"/>
    <col min="3114" max="3115" width="1.75" style="126" customWidth="1"/>
    <col min="3116" max="3117" width="0.875" style="126" customWidth="1"/>
    <col min="3118" max="3119" width="1.75" style="126" customWidth="1"/>
    <col min="3120" max="3121" width="0.875" style="126" customWidth="1"/>
    <col min="3122" max="3123" width="1.75" style="126" customWidth="1"/>
    <col min="3124" max="3125" width="0.875" style="126" customWidth="1"/>
    <col min="3126" max="3127" width="1.75" style="126" customWidth="1"/>
    <col min="3128" max="3129" width="0.875" style="126" customWidth="1"/>
    <col min="3130" max="3131" width="1.75" style="126" customWidth="1"/>
    <col min="3132" max="3133" width="0.875" style="126" customWidth="1"/>
    <col min="3134" max="3135" width="1.75" style="126" customWidth="1"/>
    <col min="3136" max="3136" width="0.875" style="126" customWidth="1"/>
    <col min="3137" max="3137" width="2.5" style="126" customWidth="1"/>
    <col min="3138" max="3138" width="4" style="126" customWidth="1"/>
    <col min="3139" max="3139" width="2.875" style="126" customWidth="1"/>
    <col min="3140" max="3140" width="4.5" style="126" bestFit="1" customWidth="1"/>
    <col min="3141" max="3141" width="2.25" style="126" bestFit="1" customWidth="1"/>
    <col min="3142" max="3148" width="3" style="126" bestFit="1" customWidth="1"/>
    <col min="3149" max="3152" width="4" style="126" bestFit="1" customWidth="1"/>
    <col min="3153" max="3328" width="9" style="126"/>
    <col min="3329" max="3329" width="6.75" style="126" customWidth="1"/>
    <col min="3330" max="3331" width="1.75" style="126" customWidth="1"/>
    <col min="3332" max="3333" width="0.875" style="126" customWidth="1"/>
    <col min="3334" max="3334" width="1.625" style="126" customWidth="1"/>
    <col min="3335" max="3335" width="1.875" style="126" customWidth="1"/>
    <col min="3336" max="3337" width="0.875" style="126" customWidth="1"/>
    <col min="3338" max="3339" width="1.75" style="126" customWidth="1"/>
    <col min="3340" max="3341" width="0.875" style="126" customWidth="1"/>
    <col min="3342" max="3343" width="1.75" style="126" customWidth="1"/>
    <col min="3344" max="3345" width="0.875" style="126" customWidth="1"/>
    <col min="3346" max="3347" width="1.75" style="126" customWidth="1"/>
    <col min="3348" max="3349" width="0.875" style="126" customWidth="1"/>
    <col min="3350" max="3351" width="1.75" style="126" customWidth="1"/>
    <col min="3352" max="3353" width="0.875" style="126" customWidth="1"/>
    <col min="3354" max="3355" width="1.75" style="126" customWidth="1"/>
    <col min="3356" max="3357" width="0.875" style="126" customWidth="1"/>
    <col min="3358" max="3359" width="1.75" style="126" customWidth="1"/>
    <col min="3360" max="3361" width="0.875" style="126" customWidth="1"/>
    <col min="3362" max="3363" width="1.75" style="126" customWidth="1"/>
    <col min="3364" max="3365" width="0.875" style="126" customWidth="1"/>
    <col min="3366" max="3367" width="1.75" style="126" customWidth="1"/>
    <col min="3368" max="3369" width="0.875" style="126" customWidth="1"/>
    <col min="3370" max="3371" width="1.75" style="126" customWidth="1"/>
    <col min="3372" max="3373" width="0.875" style="126" customWidth="1"/>
    <col min="3374" max="3375" width="1.75" style="126" customWidth="1"/>
    <col min="3376" max="3377" width="0.875" style="126" customWidth="1"/>
    <col min="3378" max="3379" width="1.75" style="126" customWidth="1"/>
    <col min="3380" max="3381" width="0.875" style="126" customWidth="1"/>
    <col min="3382" max="3383" width="1.75" style="126" customWidth="1"/>
    <col min="3384" max="3385" width="0.875" style="126" customWidth="1"/>
    <col min="3386" max="3387" width="1.75" style="126" customWidth="1"/>
    <col min="3388" max="3389" width="0.875" style="126" customWidth="1"/>
    <col min="3390" max="3391" width="1.75" style="126" customWidth="1"/>
    <col min="3392" max="3392" width="0.875" style="126" customWidth="1"/>
    <col min="3393" max="3393" width="2.5" style="126" customWidth="1"/>
    <col min="3394" max="3394" width="4" style="126" customWidth="1"/>
    <col min="3395" max="3395" width="2.875" style="126" customWidth="1"/>
    <col min="3396" max="3396" width="4.5" style="126" bestFit="1" customWidth="1"/>
    <col min="3397" max="3397" width="2.25" style="126" bestFit="1" customWidth="1"/>
    <col min="3398" max="3404" width="3" style="126" bestFit="1" customWidth="1"/>
    <col min="3405" max="3408" width="4" style="126" bestFit="1" customWidth="1"/>
    <col min="3409" max="3584" width="9" style="126"/>
    <col min="3585" max="3585" width="6.75" style="126" customWidth="1"/>
    <col min="3586" max="3587" width="1.75" style="126" customWidth="1"/>
    <col min="3588" max="3589" width="0.875" style="126" customWidth="1"/>
    <col min="3590" max="3590" width="1.625" style="126" customWidth="1"/>
    <col min="3591" max="3591" width="1.875" style="126" customWidth="1"/>
    <col min="3592" max="3593" width="0.875" style="126" customWidth="1"/>
    <col min="3594" max="3595" width="1.75" style="126" customWidth="1"/>
    <col min="3596" max="3597" width="0.875" style="126" customWidth="1"/>
    <col min="3598" max="3599" width="1.75" style="126" customWidth="1"/>
    <col min="3600" max="3601" width="0.875" style="126" customWidth="1"/>
    <col min="3602" max="3603" width="1.75" style="126" customWidth="1"/>
    <col min="3604" max="3605" width="0.875" style="126" customWidth="1"/>
    <col min="3606" max="3607" width="1.75" style="126" customWidth="1"/>
    <col min="3608" max="3609" width="0.875" style="126" customWidth="1"/>
    <col min="3610" max="3611" width="1.75" style="126" customWidth="1"/>
    <col min="3612" max="3613" width="0.875" style="126" customWidth="1"/>
    <col min="3614" max="3615" width="1.75" style="126" customWidth="1"/>
    <col min="3616" max="3617" width="0.875" style="126" customWidth="1"/>
    <col min="3618" max="3619" width="1.75" style="126" customWidth="1"/>
    <col min="3620" max="3621" width="0.875" style="126" customWidth="1"/>
    <col min="3622" max="3623" width="1.75" style="126" customWidth="1"/>
    <col min="3624" max="3625" width="0.875" style="126" customWidth="1"/>
    <col min="3626" max="3627" width="1.75" style="126" customWidth="1"/>
    <col min="3628" max="3629" width="0.875" style="126" customWidth="1"/>
    <col min="3630" max="3631" width="1.75" style="126" customWidth="1"/>
    <col min="3632" max="3633" width="0.875" style="126" customWidth="1"/>
    <col min="3634" max="3635" width="1.75" style="126" customWidth="1"/>
    <col min="3636" max="3637" width="0.875" style="126" customWidth="1"/>
    <col min="3638" max="3639" width="1.75" style="126" customWidth="1"/>
    <col min="3640" max="3641" width="0.875" style="126" customWidth="1"/>
    <col min="3642" max="3643" width="1.75" style="126" customWidth="1"/>
    <col min="3644" max="3645" width="0.875" style="126" customWidth="1"/>
    <col min="3646" max="3647" width="1.75" style="126" customWidth="1"/>
    <col min="3648" max="3648" width="0.875" style="126" customWidth="1"/>
    <col min="3649" max="3649" width="2.5" style="126" customWidth="1"/>
    <col min="3650" max="3650" width="4" style="126" customWidth="1"/>
    <col min="3651" max="3651" width="2.875" style="126" customWidth="1"/>
    <col min="3652" max="3652" width="4.5" style="126" bestFit="1" customWidth="1"/>
    <col min="3653" max="3653" width="2.25" style="126" bestFit="1" customWidth="1"/>
    <col min="3654" max="3660" width="3" style="126" bestFit="1" customWidth="1"/>
    <col min="3661" max="3664" width="4" style="126" bestFit="1" customWidth="1"/>
    <col min="3665" max="3840" width="9" style="126"/>
    <col min="3841" max="3841" width="6.75" style="126" customWidth="1"/>
    <col min="3842" max="3843" width="1.75" style="126" customWidth="1"/>
    <col min="3844" max="3845" width="0.875" style="126" customWidth="1"/>
    <col min="3846" max="3846" width="1.625" style="126" customWidth="1"/>
    <col min="3847" max="3847" width="1.875" style="126" customWidth="1"/>
    <col min="3848" max="3849" width="0.875" style="126" customWidth="1"/>
    <col min="3850" max="3851" width="1.75" style="126" customWidth="1"/>
    <col min="3852" max="3853" width="0.875" style="126" customWidth="1"/>
    <col min="3854" max="3855" width="1.75" style="126" customWidth="1"/>
    <col min="3856" max="3857" width="0.875" style="126" customWidth="1"/>
    <col min="3858" max="3859" width="1.75" style="126" customWidth="1"/>
    <col min="3860" max="3861" width="0.875" style="126" customWidth="1"/>
    <col min="3862" max="3863" width="1.75" style="126" customWidth="1"/>
    <col min="3864" max="3865" width="0.875" style="126" customWidth="1"/>
    <col min="3866" max="3867" width="1.75" style="126" customWidth="1"/>
    <col min="3868" max="3869" width="0.875" style="126" customWidth="1"/>
    <col min="3870" max="3871" width="1.75" style="126" customWidth="1"/>
    <col min="3872" max="3873" width="0.875" style="126" customWidth="1"/>
    <col min="3874" max="3875" width="1.75" style="126" customWidth="1"/>
    <col min="3876" max="3877" width="0.875" style="126" customWidth="1"/>
    <col min="3878" max="3879" width="1.75" style="126" customWidth="1"/>
    <col min="3880" max="3881" width="0.875" style="126" customWidth="1"/>
    <col min="3882" max="3883" width="1.75" style="126" customWidth="1"/>
    <col min="3884" max="3885" width="0.875" style="126" customWidth="1"/>
    <col min="3886" max="3887" width="1.75" style="126" customWidth="1"/>
    <col min="3888" max="3889" width="0.875" style="126" customWidth="1"/>
    <col min="3890" max="3891" width="1.75" style="126" customWidth="1"/>
    <col min="3892" max="3893" width="0.875" style="126" customWidth="1"/>
    <col min="3894" max="3895" width="1.75" style="126" customWidth="1"/>
    <col min="3896" max="3897" width="0.875" style="126" customWidth="1"/>
    <col min="3898" max="3899" width="1.75" style="126" customWidth="1"/>
    <col min="3900" max="3901" width="0.875" style="126" customWidth="1"/>
    <col min="3902" max="3903" width="1.75" style="126" customWidth="1"/>
    <col min="3904" max="3904" width="0.875" style="126" customWidth="1"/>
    <col min="3905" max="3905" width="2.5" style="126" customWidth="1"/>
    <col min="3906" max="3906" width="4" style="126" customWidth="1"/>
    <col min="3907" max="3907" width="2.875" style="126" customWidth="1"/>
    <col min="3908" max="3908" width="4.5" style="126" bestFit="1" customWidth="1"/>
    <col min="3909" max="3909" width="2.25" style="126" bestFit="1" customWidth="1"/>
    <col min="3910" max="3916" width="3" style="126" bestFit="1" customWidth="1"/>
    <col min="3917" max="3920" width="4" style="126" bestFit="1" customWidth="1"/>
    <col min="3921" max="4096" width="9" style="126"/>
    <col min="4097" max="4097" width="6.75" style="126" customWidth="1"/>
    <col min="4098" max="4099" width="1.75" style="126" customWidth="1"/>
    <col min="4100" max="4101" width="0.875" style="126" customWidth="1"/>
    <col min="4102" max="4102" width="1.625" style="126" customWidth="1"/>
    <col min="4103" max="4103" width="1.875" style="126" customWidth="1"/>
    <col min="4104" max="4105" width="0.875" style="126" customWidth="1"/>
    <col min="4106" max="4107" width="1.75" style="126" customWidth="1"/>
    <col min="4108" max="4109" width="0.875" style="126" customWidth="1"/>
    <col min="4110" max="4111" width="1.75" style="126" customWidth="1"/>
    <col min="4112" max="4113" width="0.875" style="126" customWidth="1"/>
    <col min="4114" max="4115" width="1.75" style="126" customWidth="1"/>
    <col min="4116" max="4117" width="0.875" style="126" customWidth="1"/>
    <col min="4118" max="4119" width="1.75" style="126" customWidth="1"/>
    <col min="4120" max="4121" width="0.875" style="126" customWidth="1"/>
    <col min="4122" max="4123" width="1.75" style="126" customWidth="1"/>
    <col min="4124" max="4125" width="0.875" style="126" customWidth="1"/>
    <col min="4126" max="4127" width="1.75" style="126" customWidth="1"/>
    <col min="4128" max="4129" width="0.875" style="126" customWidth="1"/>
    <col min="4130" max="4131" width="1.75" style="126" customWidth="1"/>
    <col min="4132" max="4133" width="0.875" style="126" customWidth="1"/>
    <col min="4134" max="4135" width="1.75" style="126" customWidth="1"/>
    <col min="4136" max="4137" width="0.875" style="126" customWidth="1"/>
    <col min="4138" max="4139" width="1.75" style="126" customWidth="1"/>
    <col min="4140" max="4141" width="0.875" style="126" customWidth="1"/>
    <col min="4142" max="4143" width="1.75" style="126" customWidth="1"/>
    <col min="4144" max="4145" width="0.875" style="126" customWidth="1"/>
    <col min="4146" max="4147" width="1.75" style="126" customWidth="1"/>
    <col min="4148" max="4149" width="0.875" style="126" customWidth="1"/>
    <col min="4150" max="4151" width="1.75" style="126" customWidth="1"/>
    <col min="4152" max="4153" width="0.875" style="126" customWidth="1"/>
    <col min="4154" max="4155" width="1.75" style="126" customWidth="1"/>
    <col min="4156" max="4157" width="0.875" style="126" customWidth="1"/>
    <col min="4158" max="4159" width="1.75" style="126" customWidth="1"/>
    <col min="4160" max="4160" width="0.875" style="126" customWidth="1"/>
    <col min="4161" max="4161" width="2.5" style="126" customWidth="1"/>
    <col min="4162" max="4162" width="4" style="126" customWidth="1"/>
    <col min="4163" max="4163" width="2.875" style="126" customWidth="1"/>
    <col min="4164" max="4164" width="4.5" style="126" bestFit="1" customWidth="1"/>
    <col min="4165" max="4165" width="2.25" style="126" bestFit="1" customWidth="1"/>
    <col min="4166" max="4172" width="3" style="126" bestFit="1" customWidth="1"/>
    <col min="4173" max="4176" width="4" style="126" bestFit="1" customWidth="1"/>
    <col min="4177" max="4352" width="9" style="126"/>
    <col min="4353" max="4353" width="6.75" style="126" customWidth="1"/>
    <col min="4354" max="4355" width="1.75" style="126" customWidth="1"/>
    <col min="4356" max="4357" width="0.875" style="126" customWidth="1"/>
    <col min="4358" max="4358" width="1.625" style="126" customWidth="1"/>
    <col min="4359" max="4359" width="1.875" style="126" customWidth="1"/>
    <col min="4360" max="4361" width="0.875" style="126" customWidth="1"/>
    <col min="4362" max="4363" width="1.75" style="126" customWidth="1"/>
    <col min="4364" max="4365" width="0.875" style="126" customWidth="1"/>
    <col min="4366" max="4367" width="1.75" style="126" customWidth="1"/>
    <col min="4368" max="4369" width="0.875" style="126" customWidth="1"/>
    <col min="4370" max="4371" width="1.75" style="126" customWidth="1"/>
    <col min="4372" max="4373" width="0.875" style="126" customWidth="1"/>
    <col min="4374" max="4375" width="1.75" style="126" customWidth="1"/>
    <col min="4376" max="4377" width="0.875" style="126" customWidth="1"/>
    <col min="4378" max="4379" width="1.75" style="126" customWidth="1"/>
    <col min="4380" max="4381" width="0.875" style="126" customWidth="1"/>
    <col min="4382" max="4383" width="1.75" style="126" customWidth="1"/>
    <col min="4384" max="4385" width="0.875" style="126" customWidth="1"/>
    <col min="4386" max="4387" width="1.75" style="126" customWidth="1"/>
    <col min="4388" max="4389" width="0.875" style="126" customWidth="1"/>
    <col min="4390" max="4391" width="1.75" style="126" customWidth="1"/>
    <col min="4392" max="4393" width="0.875" style="126" customWidth="1"/>
    <col min="4394" max="4395" width="1.75" style="126" customWidth="1"/>
    <col min="4396" max="4397" width="0.875" style="126" customWidth="1"/>
    <col min="4398" max="4399" width="1.75" style="126" customWidth="1"/>
    <col min="4400" max="4401" width="0.875" style="126" customWidth="1"/>
    <col min="4402" max="4403" width="1.75" style="126" customWidth="1"/>
    <col min="4404" max="4405" width="0.875" style="126" customWidth="1"/>
    <col min="4406" max="4407" width="1.75" style="126" customWidth="1"/>
    <col min="4408" max="4409" width="0.875" style="126" customWidth="1"/>
    <col min="4410" max="4411" width="1.75" style="126" customWidth="1"/>
    <col min="4412" max="4413" width="0.875" style="126" customWidth="1"/>
    <col min="4414" max="4415" width="1.75" style="126" customWidth="1"/>
    <col min="4416" max="4416" width="0.875" style="126" customWidth="1"/>
    <col min="4417" max="4417" width="2.5" style="126" customWidth="1"/>
    <col min="4418" max="4418" width="4" style="126" customWidth="1"/>
    <col min="4419" max="4419" width="2.875" style="126" customWidth="1"/>
    <col min="4420" max="4420" width="4.5" style="126" bestFit="1" customWidth="1"/>
    <col min="4421" max="4421" width="2.25" style="126" bestFit="1" customWidth="1"/>
    <col min="4422" max="4428" width="3" style="126" bestFit="1" customWidth="1"/>
    <col min="4429" max="4432" width="4" style="126" bestFit="1" customWidth="1"/>
    <col min="4433" max="4608" width="9" style="126"/>
    <col min="4609" max="4609" width="6.75" style="126" customWidth="1"/>
    <col min="4610" max="4611" width="1.75" style="126" customWidth="1"/>
    <col min="4612" max="4613" width="0.875" style="126" customWidth="1"/>
    <col min="4614" max="4614" width="1.625" style="126" customWidth="1"/>
    <col min="4615" max="4615" width="1.875" style="126" customWidth="1"/>
    <col min="4616" max="4617" width="0.875" style="126" customWidth="1"/>
    <col min="4618" max="4619" width="1.75" style="126" customWidth="1"/>
    <col min="4620" max="4621" width="0.875" style="126" customWidth="1"/>
    <col min="4622" max="4623" width="1.75" style="126" customWidth="1"/>
    <col min="4624" max="4625" width="0.875" style="126" customWidth="1"/>
    <col min="4626" max="4627" width="1.75" style="126" customWidth="1"/>
    <col min="4628" max="4629" width="0.875" style="126" customWidth="1"/>
    <col min="4630" max="4631" width="1.75" style="126" customWidth="1"/>
    <col min="4632" max="4633" width="0.875" style="126" customWidth="1"/>
    <col min="4634" max="4635" width="1.75" style="126" customWidth="1"/>
    <col min="4636" max="4637" width="0.875" style="126" customWidth="1"/>
    <col min="4638" max="4639" width="1.75" style="126" customWidth="1"/>
    <col min="4640" max="4641" width="0.875" style="126" customWidth="1"/>
    <col min="4642" max="4643" width="1.75" style="126" customWidth="1"/>
    <col min="4644" max="4645" width="0.875" style="126" customWidth="1"/>
    <col min="4646" max="4647" width="1.75" style="126" customWidth="1"/>
    <col min="4648" max="4649" width="0.875" style="126" customWidth="1"/>
    <col min="4650" max="4651" width="1.75" style="126" customWidth="1"/>
    <col min="4652" max="4653" width="0.875" style="126" customWidth="1"/>
    <col min="4654" max="4655" width="1.75" style="126" customWidth="1"/>
    <col min="4656" max="4657" width="0.875" style="126" customWidth="1"/>
    <col min="4658" max="4659" width="1.75" style="126" customWidth="1"/>
    <col min="4660" max="4661" width="0.875" style="126" customWidth="1"/>
    <col min="4662" max="4663" width="1.75" style="126" customWidth="1"/>
    <col min="4664" max="4665" width="0.875" style="126" customWidth="1"/>
    <col min="4666" max="4667" width="1.75" style="126" customWidth="1"/>
    <col min="4668" max="4669" width="0.875" style="126" customWidth="1"/>
    <col min="4670" max="4671" width="1.75" style="126" customWidth="1"/>
    <col min="4672" max="4672" width="0.875" style="126" customWidth="1"/>
    <col min="4673" max="4673" width="2.5" style="126" customWidth="1"/>
    <col min="4674" max="4674" width="4" style="126" customWidth="1"/>
    <col min="4675" max="4675" width="2.875" style="126" customWidth="1"/>
    <col min="4676" max="4676" width="4.5" style="126" bestFit="1" customWidth="1"/>
    <col min="4677" max="4677" width="2.25" style="126" bestFit="1" customWidth="1"/>
    <col min="4678" max="4684" width="3" style="126" bestFit="1" customWidth="1"/>
    <col min="4685" max="4688" width="4" style="126" bestFit="1" customWidth="1"/>
    <col min="4689" max="4864" width="9" style="126"/>
    <col min="4865" max="4865" width="6.75" style="126" customWidth="1"/>
    <col min="4866" max="4867" width="1.75" style="126" customWidth="1"/>
    <col min="4868" max="4869" width="0.875" style="126" customWidth="1"/>
    <col min="4870" max="4870" width="1.625" style="126" customWidth="1"/>
    <col min="4871" max="4871" width="1.875" style="126" customWidth="1"/>
    <col min="4872" max="4873" width="0.875" style="126" customWidth="1"/>
    <col min="4874" max="4875" width="1.75" style="126" customWidth="1"/>
    <col min="4876" max="4877" width="0.875" style="126" customWidth="1"/>
    <col min="4878" max="4879" width="1.75" style="126" customWidth="1"/>
    <col min="4880" max="4881" width="0.875" style="126" customWidth="1"/>
    <col min="4882" max="4883" width="1.75" style="126" customWidth="1"/>
    <col min="4884" max="4885" width="0.875" style="126" customWidth="1"/>
    <col min="4886" max="4887" width="1.75" style="126" customWidth="1"/>
    <col min="4888" max="4889" width="0.875" style="126" customWidth="1"/>
    <col min="4890" max="4891" width="1.75" style="126" customWidth="1"/>
    <col min="4892" max="4893" width="0.875" style="126" customWidth="1"/>
    <col min="4894" max="4895" width="1.75" style="126" customWidth="1"/>
    <col min="4896" max="4897" width="0.875" style="126" customWidth="1"/>
    <col min="4898" max="4899" width="1.75" style="126" customWidth="1"/>
    <col min="4900" max="4901" width="0.875" style="126" customWidth="1"/>
    <col min="4902" max="4903" width="1.75" style="126" customWidth="1"/>
    <col min="4904" max="4905" width="0.875" style="126" customWidth="1"/>
    <col min="4906" max="4907" width="1.75" style="126" customWidth="1"/>
    <col min="4908" max="4909" width="0.875" style="126" customWidth="1"/>
    <col min="4910" max="4911" width="1.75" style="126" customWidth="1"/>
    <col min="4912" max="4913" width="0.875" style="126" customWidth="1"/>
    <col min="4914" max="4915" width="1.75" style="126" customWidth="1"/>
    <col min="4916" max="4917" width="0.875" style="126" customWidth="1"/>
    <col min="4918" max="4919" width="1.75" style="126" customWidth="1"/>
    <col min="4920" max="4921" width="0.875" style="126" customWidth="1"/>
    <col min="4922" max="4923" width="1.75" style="126" customWidth="1"/>
    <col min="4924" max="4925" width="0.875" style="126" customWidth="1"/>
    <col min="4926" max="4927" width="1.75" style="126" customWidth="1"/>
    <col min="4928" max="4928" width="0.875" style="126" customWidth="1"/>
    <col min="4929" max="4929" width="2.5" style="126" customWidth="1"/>
    <col min="4930" max="4930" width="4" style="126" customWidth="1"/>
    <col min="4931" max="4931" width="2.875" style="126" customWidth="1"/>
    <col min="4932" max="4932" width="4.5" style="126" bestFit="1" customWidth="1"/>
    <col min="4933" max="4933" width="2.25" style="126" bestFit="1" customWidth="1"/>
    <col min="4934" max="4940" width="3" style="126" bestFit="1" customWidth="1"/>
    <col min="4941" max="4944" width="4" style="126" bestFit="1" customWidth="1"/>
    <col min="4945" max="5120" width="9" style="126"/>
    <col min="5121" max="5121" width="6.75" style="126" customWidth="1"/>
    <col min="5122" max="5123" width="1.75" style="126" customWidth="1"/>
    <col min="5124" max="5125" width="0.875" style="126" customWidth="1"/>
    <col min="5126" max="5126" width="1.625" style="126" customWidth="1"/>
    <col min="5127" max="5127" width="1.875" style="126" customWidth="1"/>
    <col min="5128" max="5129" width="0.875" style="126" customWidth="1"/>
    <col min="5130" max="5131" width="1.75" style="126" customWidth="1"/>
    <col min="5132" max="5133" width="0.875" style="126" customWidth="1"/>
    <col min="5134" max="5135" width="1.75" style="126" customWidth="1"/>
    <col min="5136" max="5137" width="0.875" style="126" customWidth="1"/>
    <col min="5138" max="5139" width="1.75" style="126" customWidth="1"/>
    <col min="5140" max="5141" width="0.875" style="126" customWidth="1"/>
    <col min="5142" max="5143" width="1.75" style="126" customWidth="1"/>
    <col min="5144" max="5145" width="0.875" style="126" customWidth="1"/>
    <col min="5146" max="5147" width="1.75" style="126" customWidth="1"/>
    <col min="5148" max="5149" width="0.875" style="126" customWidth="1"/>
    <col min="5150" max="5151" width="1.75" style="126" customWidth="1"/>
    <col min="5152" max="5153" width="0.875" style="126" customWidth="1"/>
    <col min="5154" max="5155" width="1.75" style="126" customWidth="1"/>
    <col min="5156" max="5157" width="0.875" style="126" customWidth="1"/>
    <col min="5158" max="5159" width="1.75" style="126" customWidth="1"/>
    <col min="5160" max="5161" width="0.875" style="126" customWidth="1"/>
    <col min="5162" max="5163" width="1.75" style="126" customWidth="1"/>
    <col min="5164" max="5165" width="0.875" style="126" customWidth="1"/>
    <col min="5166" max="5167" width="1.75" style="126" customWidth="1"/>
    <col min="5168" max="5169" width="0.875" style="126" customWidth="1"/>
    <col min="5170" max="5171" width="1.75" style="126" customWidth="1"/>
    <col min="5172" max="5173" width="0.875" style="126" customWidth="1"/>
    <col min="5174" max="5175" width="1.75" style="126" customWidth="1"/>
    <col min="5176" max="5177" width="0.875" style="126" customWidth="1"/>
    <col min="5178" max="5179" width="1.75" style="126" customWidth="1"/>
    <col min="5180" max="5181" width="0.875" style="126" customWidth="1"/>
    <col min="5182" max="5183" width="1.75" style="126" customWidth="1"/>
    <col min="5184" max="5184" width="0.875" style="126" customWidth="1"/>
    <col min="5185" max="5185" width="2.5" style="126" customWidth="1"/>
    <col min="5186" max="5186" width="4" style="126" customWidth="1"/>
    <col min="5187" max="5187" width="2.875" style="126" customWidth="1"/>
    <col min="5188" max="5188" width="4.5" style="126" bestFit="1" customWidth="1"/>
    <col min="5189" max="5189" width="2.25" style="126" bestFit="1" customWidth="1"/>
    <col min="5190" max="5196" width="3" style="126" bestFit="1" customWidth="1"/>
    <col min="5197" max="5200" width="4" style="126" bestFit="1" customWidth="1"/>
    <col min="5201" max="5376" width="9" style="126"/>
    <col min="5377" max="5377" width="6.75" style="126" customWidth="1"/>
    <col min="5378" max="5379" width="1.75" style="126" customWidth="1"/>
    <col min="5380" max="5381" width="0.875" style="126" customWidth="1"/>
    <col min="5382" max="5382" width="1.625" style="126" customWidth="1"/>
    <col min="5383" max="5383" width="1.875" style="126" customWidth="1"/>
    <col min="5384" max="5385" width="0.875" style="126" customWidth="1"/>
    <col min="5386" max="5387" width="1.75" style="126" customWidth="1"/>
    <col min="5388" max="5389" width="0.875" style="126" customWidth="1"/>
    <col min="5390" max="5391" width="1.75" style="126" customWidth="1"/>
    <col min="5392" max="5393" width="0.875" style="126" customWidth="1"/>
    <col min="5394" max="5395" width="1.75" style="126" customWidth="1"/>
    <col min="5396" max="5397" width="0.875" style="126" customWidth="1"/>
    <col min="5398" max="5399" width="1.75" style="126" customWidth="1"/>
    <col min="5400" max="5401" width="0.875" style="126" customWidth="1"/>
    <col min="5402" max="5403" width="1.75" style="126" customWidth="1"/>
    <col min="5404" max="5405" width="0.875" style="126" customWidth="1"/>
    <col min="5406" max="5407" width="1.75" style="126" customWidth="1"/>
    <col min="5408" max="5409" width="0.875" style="126" customWidth="1"/>
    <col min="5410" max="5411" width="1.75" style="126" customWidth="1"/>
    <col min="5412" max="5413" width="0.875" style="126" customWidth="1"/>
    <col min="5414" max="5415" width="1.75" style="126" customWidth="1"/>
    <col min="5416" max="5417" width="0.875" style="126" customWidth="1"/>
    <col min="5418" max="5419" width="1.75" style="126" customWidth="1"/>
    <col min="5420" max="5421" width="0.875" style="126" customWidth="1"/>
    <col min="5422" max="5423" width="1.75" style="126" customWidth="1"/>
    <col min="5424" max="5425" width="0.875" style="126" customWidth="1"/>
    <col min="5426" max="5427" width="1.75" style="126" customWidth="1"/>
    <col min="5428" max="5429" width="0.875" style="126" customWidth="1"/>
    <col min="5430" max="5431" width="1.75" style="126" customWidth="1"/>
    <col min="5432" max="5433" width="0.875" style="126" customWidth="1"/>
    <col min="5434" max="5435" width="1.75" style="126" customWidth="1"/>
    <col min="5436" max="5437" width="0.875" style="126" customWidth="1"/>
    <col min="5438" max="5439" width="1.75" style="126" customWidth="1"/>
    <col min="5440" max="5440" width="0.875" style="126" customWidth="1"/>
    <col min="5441" max="5441" width="2.5" style="126" customWidth="1"/>
    <col min="5442" max="5442" width="4" style="126" customWidth="1"/>
    <col min="5443" max="5443" width="2.875" style="126" customWidth="1"/>
    <col min="5444" max="5444" width="4.5" style="126" bestFit="1" customWidth="1"/>
    <col min="5445" max="5445" width="2.25" style="126" bestFit="1" customWidth="1"/>
    <col min="5446" max="5452" width="3" style="126" bestFit="1" customWidth="1"/>
    <col min="5453" max="5456" width="4" style="126" bestFit="1" customWidth="1"/>
    <col min="5457" max="5632" width="9" style="126"/>
    <col min="5633" max="5633" width="6.75" style="126" customWidth="1"/>
    <col min="5634" max="5635" width="1.75" style="126" customWidth="1"/>
    <col min="5636" max="5637" width="0.875" style="126" customWidth="1"/>
    <col min="5638" max="5638" width="1.625" style="126" customWidth="1"/>
    <col min="5639" max="5639" width="1.875" style="126" customWidth="1"/>
    <col min="5640" max="5641" width="0.875" style="126" customWidth="1"/>
    <col min="5642" max="5643" width="1.75" style="126" customWidth="1"/>
    <col min="5644" max="5645" width="0.875" style="126" customWidth="1"/>
    <col min="5646" max="5647" width="1.75" style="126" customWidth="1"/>
    <col min="5648" max="5649" width="0.875" style="126" customWidth="1"/>
    <col min="5650" max="5651" width="1.75" style="126" customWidth="1"/>
    <col min="5652" max="5653" width="0.875" style="126" customWidth="1"/>
    <col min="5654" max="5655" width="1.75" style="126" customWidth="1"/>
    <col min="5656" max="5657" width="0.875" style="126" customWidth="1"/>
    <col min="5658" max="5659" width="1.75" style="126" customWidth="1"/>
    <col min="5660" max="5661" width="0.875" style="126" customWidth="1"/>
    <col min="5662" max="5663" width="1.75" style="126" customWidth="1"/>
    <col min="5664" max="5665" width="0.875" style="126" customWidth="1"/>
    <col min="5666" max="5667" width="1.75" style="126" customWidth="1"/>
    <col min="5668" max="5669" width="0.875" style="126" customWidth="1"/>
    <col min="5670" max="5671" width="1.75" style="126" customWidth="1"/>
    <col min="5672" max="5673" width="0.875" style="126" customWidth="1"/>
    <col min="5674" max="5675" width="1.75" style="126" customWidth="1"/>
    <col min="5676" max="5677" width="0.875" style="126" customWidth="1"/>
    <col min="5678" max="5679" width="1.75" style="126" customWidth="1"/>
    <col min="5680" max="5681" width="0.875" style="126" customWidth="1"/>
    <col min="5682" max="5683" width="1.75" style="126" customWidth="1"/>
    <col min="5684" max="5685" width="0.875" style="126" customWidth="1"/>
    <col min="5686" max="5687" width="1.75" style="126" customWidth="1"/>
    <col min="5688" max="5689" width="0.875" style="126" customWidth="1"/>
    <col min="5690" max="5691" width="1.75" style="126" customWidth="1"/>
    <col min="5692" max="5693" width="0.875" style="126" customWidth="1"/>
    <col min="5694" max="5695" width="1.75" style="126" customWidth="1"/>
    <col min="5696" max="5696" width="0.875" style="126" customWidth="1"/>
    <col min="5697" max="5697" width="2.5" style="126" customWidth="1"/>
    <col min="5698" max="5698" width="4" style="126" customWidth="1"/>
    <col min="5699" max="5699" width="2.875" style="126" customWidth="1"/>
    <col min="5700" max="5700" width="4.5" style="126" bestFit="1" customWidth="1"/>
    <col min="5701" max="5701" width="2.25" style="126" bestFit="1" customWidth="1"/>
    <col min="5702" max="5708" width="3" style="126" bestFit="1" customWidth="1"/>
    <col min="5709" max="5712" width="4" style="126" bestFit="1" customWidth="1"/>
    <col min="5713" max="5888" width="9" style="126"/>
    <col min="5889" max="5889" width="6.75" style="126" customWidth="1"/>
    <col min="5890" max="5891" width="1.75" style="126" customWidth="1"/>
    <col min="5892" max="5893" width="0.875" style="126" customWidth="1"/>
    <col min="5894" max="5894" width="1.625" style="126" customWidth="1"/>
    <col min="5895" max="5895" width="1.875" style="126" customWidth="1"/>
    <col min="5896" max="5897" width="0.875" style="126" customWidth="1"/>
    <col min="5898" max="5899" width="1.75" style="126" customWidth="1"/>
    <col min="5900" max="5901" width="0.875" style="126" customWidth="1"/>
    <col min="5902" max="5903" width="1.75" style="126" customWidth="1"/>
    <col min="5904" max="5905" width="0.875" style="126" customWidth="1"/>
    <col min="5906" max="5907" width="1.75" style="126" customWidth="1"/>
    <col min="5908" max="5909" width="0.875" style="126" customWidth="1"/>
    <col min="5910" max="5911" width="1.75" style="126" customWidth="1"/>
    <col min="5912" max="5913" width="0.875" style="126" customWidth="1"/>
    <col min="5914" max="5915" width="1.75" style="126" customWidth="1"/>
    <col min="5916" max="5917" width="0.875" style="126" customWidth="1"/>
    <col min="5918" max="5919" width="1.75" style="126" customWidth="1"/>
    <col min="5920" max="5921" width="0.875" style="126" customWidth="1"/>
    <col min="5922" max="5923" width="1.75" style="126" customWidth="1"/>
    <col min="5924" max="5925" width="0.875" style="126" customWidth="1"/>
    <col min="5926" max="5927" width="1.75" style="126" customWidth="1"/>
    <col min="5928" max="5929" width="0.875" style="126" customWidth="1"/>
    <col min="5930" max="5931" width="1.75" style="126" customWidth="1"/>
    <col min="5932" max="5933" width="0.875" style="126" customWidth="1"/>
    <col min="5934" max="5935" width="1.75" style="126" customWidth="1"/>
    <col min="5936" max="5937" width="0.875" style="126" customWidth="1"/>
    <col min="5938" max="5939" width="1.75" style="126" customWidth="1"/>
    <col min="5940" max="5941" width="0.875" style="126" customWidth="1"/>
    <col min="5942" max="5943" width="1.75" style="126" customWidth="1"/>
    <col min="5944" max="5945" width="0.875" style="126" customWidth="1"/>
    <col min="5946" max="5947" width="1.75" style="126" customWidth="1"/>
    <col min="5948" max="5949" width="0.875" style="126" customWidth="1"/>
    <col min="5950" max="5951" width="1.75" style="126" customWidth="1"/>
    <col min="5952" max="5952" width="0.875" style="126" customWidth="1"/>
    <col min="5953" max="5953" width="2.5" style="126" customWidth="1"/>
    <col min="5954" max="5954" width="4" style="126" customWidth="1"/>
    <col min="5955" max="5955" width="2.875" style="126" customWidth="1"/>
    <col min="5956" max="5956" width="4.5" style="126" bestFit="1" customWidth="1"/>
    <col min="5957" max="5957" width="2.25" style="126" bestFit="1" customWidth="1"/>
    <col min="5958" max="5964" width="3" style="126" bestFit="1" customWidth="1"/>
    <col min="5965" max="5968" width="4" style="126" bestFit="1" customWidth="1"/>
    <col min="5969" max="6144" width="9" style="126"/>
    <col min="6145" max="6145" width="6.75" style="126" customWidth="1"/>
    <col min="6146" max="6147" width="1.75" style="126" customWidth="1"/>
    <col min="6148" max="6149" width="0.875" style="126" customWidth="1"/>
    <col min="6150" max="6150" width="1.625" style="126" customWidth="1"/>
    <col min="6151" max="6151" width="1.875" style="126" customWidth="1"/>
    <col min="6152" max="6153" width="0.875" style="126" customWidth="1"/>
    <col min="6154" max="6155" width="1.75" style="126" customWidth="1"/>
    <col min="6156" max="6157" width="0.875" style="126" customWidth="1"/>
    <col min="6158" max="6159" width="1.75" style="126" customWidth="1"/>
    <col min="6160" max="6161" width="0.875" style="126" customWidth="1"/>
    <col min="6162" max="6163" width="1.75" style="126" customWidth="1"/>
    <col min="6164" max="6165" width="0.875" style="126" customWidth="1"/>
    <col min="6166" max="6167" width="1.75" style="126" customWidth="1"/>
    <col min="6168" max="6169" width="0.875" style="126" customWidth="1"/>
    <col min="6170" max="6171" width="1.75" style="126" customWidth="1"/>
    <col min="6172" max="6173" width="0.875" style="126" customWidth="1"/>
    <col min="6174" max="6175" width="1.75" style="126" customWidth="1"/>
    <col min="6176" max="6177" width="0.875" style="126" customWidth="1"/>
    <col min="6178" max="6179" width="1.75" style="126" customWidth="1"/>
    <col min="6180" max="6181" width="0.875" style="126" customWidth="1"/>
    <col min="6182" max="6183" width="1.75" style="126" customWidth="1"/>
    <col min="6184" max="6185" width="0.875" style="126" customWidth="1"/>
    <col min="6186" max="6187" width="1.75" style="126" customWidth="1"/>
    <col min="6188" max="6189" width="0.875" style="126" customWidth="1"/>
    <col min="6190" max="6191" width="1.75" style="126" customWidth="1"/>
    <col min="6192" max="6193" width="0.875" style="126" customWidth="1"/>
    <col min="6194" max="6195" width="1.75" style="126" customWidth="1"/>
    <col min="6196" max="6197" width="0.875" style="126" customWidth="1"/>
    <col min="6198" max="6199" width="1.75" style="126" customWidth="1"/>
    <col min="6200" max="6201" width="0.875" style="126" customWidth="1"/>
    <col min="6202" max="6203" width="1.75" style="126" customWidth="1"/>
    <col min="6204" max="6205" width="0.875" style="126" customWidth="1"/>
    <col min="6206" max="6207" width="1.75" style="126" customWidth="1"/>
    <col min="6208" max="6208" width="0.875" style="126" customWidth="1"/>
    <col min="6209" max="6209" width="2.5" style="126" customWidth="1"/>
    <col min="6210" max="6210" width="4" style="126" customWidth="1"/>
    <col min="6211" max="6211" width="2.875" style="126" customWidth="1"/>
    <col min="6212" max="6212" width="4.5" style="126" bestFit="1" customWidth="1"/>
    <col min="6213" max="6213" width="2.25" style="126" bestFit="1" customWidth="1"/>
    <col min="6214" max="6220" width="3" style="126" bestFit="1" customWidth="1"/>
    <col min="6221" max="6224" width="4" style="126" bestFit="1" customWidth="1"/>
    <col min="6225" max="6400" width="9" style="126"/>
    <col min="6401" max="6401" width="6.75" style="126" customWidth="1"/>
    <col min="6402" max="6403" width="1.75" style="126" customWidth="1"/>
    <col min="6404" max="6405" width="0.875" style="126" customWidth="1"/>
    <col min="6406" max="6406" width="1.625" style="126" customWidth="1"/>
    <col min="6407" max="6407" width="1.875" style="126" customWidth="1"/>
    <col min="6408" max="6409" width="0.875" style="126" customWidth="1"/>
    <col min="6410" max="6411" width="1.75" style="126" customWidth="1"/>
    <col min="6412" max="6413" width="0.875" style="126" customWidth="1"/>
    <col min="6414" max="6415" width="1.75" style="126" customWidth="1"/>
    <col min="6416" max="6417" width="0.875" style="126" customWidth="1"/>
    <col min="6418" max="6419" width="1.75" style="126" customWidth="1"/>
    <col min="6420" max="6421" width="0.875" style="126" customWidth="1"/>
    <col min="6422" max="6423" width="1.75" style="126" customWidth="1"/>
    <col min="6424" max="6425" width="0.875" style="126" customWidth="1"/>
    <col min="6426" max="6427" width="1.75" style="126" customWidth="1"/>
    <col min="6428" max="6429" width="0.875" style="126" customWidth="1"/>
    <col min="6430" max="6431" width="1.75" style="126" customWidth="1"/>
    <col min="6432" max="6433" width="0.875" style="126" customWidth="1"/>
    <col min="6434" max="6435" width="1.75" style="126" customWidth="1"/>
    <col min="6436" max="6437" width="0.875" style="126" customWidth="1"/>
    <col min="6438" max="6439" width="1.75" style="126" customWidth="1"/>
    <col min="6440" max="6441" width="0.875" style="126" customWidth="1"/>
    <col min="6442" max="6443" width="1.75" style="126" customWidth="1"/>
    <col min="6444" max="6445" width="0.875" style="126" customWidth="1"/>
    <col min="6446" max="6447" width="1.75" style="126" customWidth="1"/>
    <col min="6448" max="6449" width="0.875" style="126" customWidth="1"/>
    <col min="6450" max="6451" width="1.75" style="126" customWidth="1"/>
    <col min="6452" max="6453" width="0.875" style="126" customWidth="1"/>
    <col min="6454" max="6455" width="1.75" style="126" customWidth="1"/>
    <col min="6456" max="6457" width="0.875" style="126" customWidth="1"/>
    <col min="6458" max="6459" width="1.75" style="126" customWidth="1"/>
    <col min="6460" max="6461" width="0.875" style="126" customWidth="1"/>
    <col min="6462" max="6463" width="1.75" style="126" customWidth="1"/>
    <col min="6464" max="6464" width="0.875" style="126" customWidth="1"/>
    <col min="6465" max="6465" width="2.5" style="126" customWidth="1"/>
    <col min="6466" max="6466" width="4" style="126" customWidth="1"/>
    <col min="6467" max="6467" width="2.875" style="126" customWidth="1"/>
    <col min="6468" max="6468" width="4.5" style="126" bestFit="1" customWidth="1"/>
    <col min="6469" max="6469" width="2.25" style="126" bestFit="1" customWidth="1"/>
    <col min="6470" max="6476" width="3" style="126" bestFit="1" customWidth="1"/>
    <col min="6477" max="6480" width="4" style="126" bestFit="1" customWidth="1"/>
    <col min="6481" max="6656" width="9" style="126"/>
    <col min="6657" max="6657" width="6.75" style="126" customWidth="1"/>
    <col min="6658" max="6659" width="1.75" style="126" customWidth="1"/>
    <col min="6660" max="6661" width="0.875" style="126" customWidth="1"/>
    <col min="6662" max="6662" width="1.625" style="126" customWidth="1"/>
    <col min="6663" max="6663" width="1.875" style="126" customWidth="1"/>
    <col min="6664" max="6665" width="0.875" style="126" customWidth="1"/>
    <col min="6666" max="6667" width="1.75" style="126" customWidth="1"/>
    <col min="6668" max="6669" width="0.875" style="126" customWidth="1"/>
    <col min="6670" max="6671" width="1.75" style="126" customWidth="1"/>
    <col min="6672" max="6673" width="0.875" style="126" customWidth="1"/>
    <col min="6674" max="6675" width="1.75" style="126" customWidth="1"/>
    <col min="6676" max="6677" width="0.875" style="126" customWidth="1"/>
    <col min="6678" max="6679" width="1.75" style="126" customWidth="1"/>
    <col min="6680" max="6681" width="0.875" style="126" customWidth="1"/>
    <col min="6682" max="6683" width="1.75" style="126" customWidth="1"/>
    <col min="6684" max="6685" width="0.875" style="126" customWidth="1"/>
    <col min="6686" max="6687" width="1.75" style="126" customWidth="1"/>
    <col min="6688" max="6689" width="0.875" style="126" customWidth="1"/>
    <col min="6690" max="6691" width="1.75" style="126" customWidth="1"/>
    <col min="6692" max="6693" width="0.875" style="126" customWidth="1"/>
    <col min="6694" max="6695" width="1.75" style="126" customWidth="1"/>
    <col min="6696" max="6697" width="0.875" style="126" customWidth="1"/>
    <col min="6698" max="6699" width="1.75" style="126" customWidth="1"/>
    <col min="6700" max="6701" width="0.875" style="126" customWidth="1"/>
    <col min="6702" max="6703" width="1.75" style="126" customWidth="1"/>
    <col min="6704" max="6705" width="0.875" style="126" customWidth="1"/>
    <col min="6706" max="6707" width="1.75" style="126" customWidth="1"/>
    <col min="6708" max="6709" width="0.875" style="126" customWidth="1"/>
    <col min="6710" max="6711" width="1.75" style="126" customWidth="1"/>
    <col min="6712" max="6713" width="0.875" style="126" customWidth="1"/>
    <col min="6714" max="6715" width="1.75" style="126" customWidth="1"/>
    <col min="6716" max="6717" width="0.875" style="126" customWidth="1"/>
    <col min="6718" max="6719" width="1.75" style="126" customWidth="1"/>
    <col min="6720" max="6720" width="0.875" style="126" customWidth="1"/>
    <col min="6721" max="6721" width="2.5" style="126" customWidth="1"/>
    <col min="6722" max="6722" width="4" style="126" customWidth="1"/>
    <col min="6723" max="6723" width="2.875" style="126" customWidth="1"/>
    <col min="6724" max="6724" width="4.5" style="126" bestFit="1" customWidth="1"/>
    <col min="6725" max="6725" width="2.25" style="126" bestFit="1" customWidth="1"/>
    <col min="6726" max="6732" width="3" style="126" bestFit="1" customWidth="1"/>
    <col min="6733" max="6736" width="4" style="126" bestFit="1" customWidth="1"/>
    <col min="6737" max="6912" width="9" style="126"/>
    <col min="6913" max="6913" width="6.75" style="126" customWidth="1"/>
    <col min="6914" max="6915" width="1.75" style="126" customWidth="1"/>
    <col min="6916" max="6917" width="0.875" style="126" customWidth="1"/>
    <col min="6918" max="6918" width="1.625" style="126" customWidth="1"/>
    <col min="6919" max="6919" width="1.875" style="126" customWidth="1"/>
    <col min="6920" max="6921" width="0.875" style="126" customWidth="1"/>
    <col min="6922" max="6923" width="1.75" style="126" customWidth="1"/>
    <col min="6924" max="6925" width="0.875" style="126" customWidth="1"/>
    <col min="6926" max="6927" width="1.75" style="126" customWidth="1"/>
    <col min="6928" max="6929" width="0.875" style="126" customWidth="1"/>
    <col min="6930" max="6931" width="1.75" style="126" customWidth="1"/>
    <col min="6932" max="6933" width="0.875" style="126" customWidth="1"/>
    <col min="6934" max="6935" width="1.75" style="126" customWidth="1"/>
    <col min="6936" max="6937" width="0.875" style="126" customWidth="1"/>
    <col min="6938" max="6939" width="1.75" style="126" customWidth="1"/>
    <col min="6940" max="6941" width="0.875" style="126" customWidth="1"/>
    <col min="6942" max="6943" width="1.75" style="126" customWidth="1"/>
    <col min="6944" max="6945" width="0.875" style="126" customWidth="1"/>
    <col min="6946" max="6947" width="1.75" style="126" customWidth="1"/>
    <col min="6948" max="6949" width="0.875" style="126" customWidth="1"/>
    <col min="6950" max="6951" width="1.75" style="126" customWidth="1"/>
    <col min="6952" max="6953" width="0.875" style="126" customWidth="1"/>
    <col min="6954" max="6955" width="1.75" style="126" customWidth="1"/>
    <col min="6956" max="6957" width="0.875" style="126" customWidth="1"/>
    <col min="6958" max="6959" width="1.75" style="126" customWidth="1"/>
    <col min="6960" max="6961" width="0.875" style="126" customWidth="1"/>
    <col min="6962" max="6963" width="1.75" style="126" customWidth="1"/>
    <col min="6964" max="6965" width="0.875" style="126" customWidth="1"/>
    <col min="6966" max="6967" width="1.75" style="126" customWidth="1"/>
    <col min="6968" max="6969" width="0.875" style="126" customWidth="1"/>
    <col min="6970" max="6971" width="1.75" style="126" customWidth="1"/>
    <col min="6972" max="6973" width="0.875" style="126" customWidth="1"/>
    <col min="6974" max="6975" width="1.75" style="126" customWidth="1"/>
    <col min="6976" max="6976" width="0.875" style="126" customWidth="1"/>
    <col min="6977" max="6977" width="2.5" style="126" customWidth="1"/>
    <col min="6978" max="6978" width="4" style="126" customWidth="1"/>
    <col min="6979" max="6979" width="2.875" style="126" customWidth="1"/>
    <col min="6980" max="6980" width="4.5" style="126" bestFit="1" customWidth="1"/>
    <col min="6981" max="6981" width="2.25" style="126" bestFit="1" customWidth="1"/>
    <col min="6982" max="6988" width="3" style="126" bestFit="1" customWidth="1"/>
    <col min="6989" max="6992" width="4" style="126" bestFit="1" customWidth="1"/>
    <col min="6993" max="7168" width="9" style="126"/>
    <col min="7169" max="7169" width="6.75" style="126" customWidth="1"/>
    <col min="7170" max="7171" width="1.75" style="126" customWidth="1"/>
    <col min="7172" max="7173" width="0.875" style="126" customWidth="1"/>
    <col min="7174" max="7174" width="1.625" style="126" customWidth="1"/>
    <col min="7175" max="7175" width="1.875" style="126" customWidth="1"/>
    <col min="7176" max="7177" width="0.875" style="126" customWidth="1"/>
    <col min="7178" max="7179" width="1.75" style="126" customWidth="1"/>
    <col min="7180" max="7181" width="0.875" style="126" customWidth="1"/>
    <col min="7182" max="7183" width="1.75" style="126" customWidth="1"/>
    <col min="7184" max="7185" width="0.875" style="126" customWidth="1"/>
    <col min="7186" max="7187" width="1.75" style="126" customWidth="1"/>
    <col min="7188" max="7189" width="0.875" style="126" customWidth="1"/>
    <col min="7190" max="7191" width="1.75" style="126" customWidth="1"/>
    <col min="7192" max="7193" width="0.875" style="126" customWidth="1"/>
    <col min="7194" max="7195" width="1.75" style="126" customWidth="1"/>
    <col min="7196" max="7197" width="0.875" style="126" customWidth="1"/>
    <col min="7198" max="7199" width="1.75" style="126" customWidth="1"/>
    <col min="7200" max="7201" width="0.875" style="126" customWidth="1"/>
    <col min="7202" max="7203" width="1.75" style="126" customWidth="1"/>
    <col min="7204" max="7205" width="0.875" style="126" customWidth="1"/>
    <col min="7206" max="7207" width="1.75" style="126" customWidth="1"/>
    <col min="7208" max="7209" width="0.875" style="126" customWidth="1"/>
    <col min="7210" max="7211" width="1.75" style="126" customWidth="1"/>
    <col min="7212" max="7213" width="0.875" style="126" customWidth="1"/>
    <col min="7214" max="7215" width="1.75" style="126" customWidth="1"/>
    <col min="7216" max="7217" width="0.875" style="126" customWidth="1"/>
    <col min="7218" max="7219" width="1.75" style="126" customWidth="1"/>
    <col min="7220" max="7221" width="0.875" style="126" customWidth="1"/>
    <col min="7222" max="7223" width="1.75" style="126" customWidth="1"/>
    <col min="7224" max="7225" width="0.875" style="126" customWidth="1"/>
    <col min="7226" max="7227" width="1.75" style="126" customWidth="1"/>
    <col min="7228" max="7229" width="0.875" style="126" customWidth="1"/>
    <col min="7230" max="7231" width="1.75" style="126" customWidth="1"/>
    <col min="7232" max="7232" width="0.875" style="126" customWidth="1"/>
    <col min="7233" max="7233" width="2.5" style="126" customWidth="1"/>
    <col min="7234" max="7234" width="4" style="126" customWidth="1"/>
    <col min="7235" max="7235" width="2.875" style="126" customWidth="1"/>
    <col min="7236" max="7236" width="4.5" style="126" bestFit="1" customWidth="1"/>
    <col min="7237" max="7237" width="2.25" style="126" bestFit="1" customWidth="1"/>
    <col min="7238" max="7244" width="3" style="126" bestFit="1" customWidth="1"/>
    <col min="7245" max="7248" width="4" style="126" bestFit="1" customWidth="1"/>
    <col min="7249" max="7424" width="9" style="126"/>
    <col min="7425" max="7425" width="6.75" style="126" customWidth="1"/>
    <col min="7426" max="7427" width="1.75" style="126" customWidth="1"/>
    <col min="7428" max="7429" width="0.875" style="126" customWidth="1"/>
    <col min="7430" max="7430" width="1.625" style="126" customWidth="1"/>
    <col min="7431" max="7431" width="1.875" style="126" customWidth="1"/>
    <col min="7432" max="7433" width="0.875" style="126" customWidth="1"/>
    <col min="7434" max="7435" width="1.75" style="126" customWidth="1"/>
    <col min="7436" max="7437" width="0.875" style="126" customWidth="1"/>
    <col min="7438" max="7439" width="1.75" style="126" customWidth="1"/>
    <col min="7440" max="7441" width="0.875" style="126" customWidth="1"/>
    <col min="7442" max="7443" width="1.75" style="126" customWidth="1"/>
    <col min="7444" max="7445" width="0.875" style="126" customWidth="1"/>
    <col min="7446" max="7447" width="1.75" style="126" customWidth="1"/>
    <col min="7448" max="7449" width="0.875" style="126" customWidth="1"/>
    <col min="7450" max="7451" width="1.75" style="126" customWidth="1"/>
    <col min="7452" max="7453" width="0.875" style="126" customWidth="1"/>
    <col min="7454" max="7455" width="1.75" style="126" customWidth="1"/>
    <col min="7456" max="7457" width="0.875" style="126" customWidth="1"/>
    <col min="7458" max="7459" width="1.75" style="126" customWidth="1"/>
    <col min="7460" max="7461" width="0.875" style="126" customWidth="1"/>
    <col min="7462" max="7463" width="1.75" style="126" customWidth="1"/>
    <col min="7464" max="7465" width="0.875" style="126" customWidth="1"/>
    <col min="7466" max="7467" width="1.75" style="126" customWidth="1"/>
    <col min="7468" max="7469" width="0.875" style="126" customWidth="1"/>
    <col min="7470" max="7471" width="1.75" style="126" customWidth="1"/>
    <col min="7472" max="7473" width="0.875" style="126" customWidth="1"/>
    <col min="7474" max="7475" width="1.75" style="126" customWidth="1"/>
    <col min="7476" max="7477" width="0.875" style="126" customWidth="1"/>
    <col min="7478" max="7479" width="1.75" style="126" customWidth="1"/>
    <col min="7480" max="7481" width="0.875" style="126" customWidth="1"/>
    <col min="7482" max="7483" width="1.75" style="126" customWidth="1"/>
    <col min="7484" max="7485" width="0.875" style="126" customWidth="1"/>
    <col min="7486" max="7487" width="1.75" style="126" customWidth="1"/>
    <col min="7488" max="7488" width="0.875" style="126" customWidth="1"/>
    <col min="7489" max="7489" width="2.5" style="126" customWidth="1"/>
    <col min="7490" max="7490" width="4" style="126" customWidth="1"/>
    <col min="7491" max="7491" width="2.875" style="126" customWidth="1"/>
    <col min="7492" max="7492" width="4.5" style="126" bestFit="1" customWidth="1"/>
    <col min="7493" max="7493" width="2.25" style="126" bestFit="1" customWidth="1"/>
    <col min="7494" max="7500" width="3" style="126" bestFit="1" customWidth="1"/>
    <col min="7501" max="7504" width="4" style="126" bestFit="1" customWidth="1"/>
    <col min="7505" max="7680" width="9" style="126"/>
    <col min="7681" max="7681" width="6.75" style="126" customWidth="1"/>
    <col min="7682" max="7683" width="1.75" style="126" customWidth="1"/>
    <col min="7684" max="7685" width="0.875" style="126" customWidth="1"/>
    <col min="7686" max="7686" width="1.625" style="126" customWidth="1"/>
    <col min="7687" max="7687" width="1.875" style="126" customWidth="1"/>
    <col min="7688" max="7689" width="0.875" style="126" customWidth="1"/>
    <col min="7690" max="7691" width="1.75" style="126" customWidth="1"/>
    <col min="7692" max="7693" width="0.875" style="126" customWidth="1"/>
    <col min="7694" max="7695" width="1.75" style="126" customWidth="1"/>
    <col min="7696" max="7697" width="0.875" style="126" customWidth="1"/>
    <col min="7698" max="7699" width="1.75" style="126" customWidth="1"/>
    <col min="7700" max="7701" width="0.875" style="126" customWidth="1"/>
    <col min="7702" max="7703" width="1.75" style="126" customWidth="1"/>
    <col min="7704" max="7705" width="0.875" style="126" customWidth="1"/>
    <col min="7706" max="7707" width="1.75" style="126" customWidth="1"/>
    <col min="7708" max="7709" width="0.875" style="126" customWidth="1"/>
    <col min="7710" max="7711" width="1.75" style="126" customWidth="1"/>
    <col min="7712" max="7713" width="0.875" style="126" customWidth="1"/>
    <col min="7714" max="7715" width="1.75" style="126" customWidth="1"/>
    <col min="7716" max="7717" width="0.875" style="126" customWidth="1"/>
    <col min="7718" max="7719" width="1.75" style="126" customWidth="1"/>
    <col min="7720" max="7721" width="0.875" style="126" customWidth="1"/>
    <col min="7722" max="7723" width="1.75" style="126" customWidth="1"/>
    <col min="7724" max="7725" width="0.875" style="126" customWidth="1"/>
    <col min="7726" max="7727" width="1.75" style="126" customWidth="1"/>
    <col min="7728" max="7729" width="0.875" style="126" customWidth="1"/>
    <col min="7730" max="7731" width="1.75" style="126" customWidth="1"/>
    <col min="7732" max="7733" width="0.875" style="126" customWidth="1"/>
    <col min="7734" max="7735" width="1.75" style="126" customWidth="1"/>
    <col min="7736" max="7737" width="0.875" style="126" customWidth="1"/>
    <col min="7738" max="7739" width="1.75" style="126" customWidth="1"/>
    <col min="7740" max="7741" width="0.875" style="126" customWidth="1"/>
    <col min="7742" max="7743" width="1.75" style="126" customWidth="1"/>
    <col min="7744" max="7744" width="0.875" style="126" customWidth="1"/>
    <col min="7745" max="7745" width="2.5" style="126" customWidth="1"/>
    <col min="7746" max="7746" width="4" style="126" customWidth="1"/>
    <col min="7747" max="7747" width="2.875" style="126" customWidth="1"/>
    <col min="7748" max="7748" width="4.5" style="126" bestFit="1" customWidth="1"/>
    <col min="7749" max="7749" width="2.25" style="126" bestFit="1" customWidth="1"/>
    <col min="7750" max="7756" width="3" style="126" bestFit="1" customWidth="1"/>
    <col min="7757" max="7760" width="4" style="126" bestFit="1" customWidth="1"/>
    <col min="7761" max="7936" width="9" style="126"/>
    <col min="7937" max="7937" width="6.75" style="126" customWidth="1"/>
    <col min="7938" max="7939" width="1.75" style="126" customWidth="1"/>
    <col min="7940" max="7941" width="0.875" style="126" customWidth="1"/>
    <col min="7942" max="7942" width="1.625" style="126" customWidth="1"/>
    <col min="7943" max="7943" width="1.875" style="126" customWidth="1"/>
    <col min="7944" max="7945" width="0.875" style="126" customWidth="1"/>
    <col min="7946" max="7947" width="1.75" style="126" customWidth="1"/>
    <col min="7948" max="7949" width="0.875" style="126" customWidth="1"/>
    <col min="7950" max="7951" width="1.75" style="126" customWidth="1"/>
    <col min="7952" max="7953" width="0.875" style="126" customWidth="1"/>
    <col min="7954" max="7955" width="1.75" style="126" customWidth="1"/>
    <col min="7956" max="7957" width="0.875" style="126" customWidth="1"/>
    <col min="7958" max="7959" width="1.75" style="126" customWidth="1"/>
    <col min="7960" max="7961" width="0.875" style="126" customWidth="1"/>
    <col min="7962" max="7963" width="1.75" style="126" customWidth="1"/>
    <col min="7964" max="7965" width="0.875" style="126" customWidth="1"/>
    <col min="7966" max="7967" width="1.75" style="126" customWidth="1"/>
    <col min="7968" max="7969" width="0.875" style="126" customWidth="1"/>
    <col min="7970" max="7971" width="1.75" style="126" customWidth="1"/>
    <col min="7972" max="7973" width="0.875" style="126" customWidth="1"/>
    <col min="7974" max="7975" width="1.75" style="126" customWidth="1"/>
    <col min="7976" max="7977" width="0.875" style="126" customWidth="1"/>
    <col min="7978" max="7979" width="1.75" style="126" customWidth="1"/>
    <col min="7980" max="7981" width="0.875" style="126" customWidth="1"/>
    <col min="7982" max="7983" width="1.75" style="126" customWidth="1"/>
    <col min="7984" max="7985" width="0.875" style="126" customWidth="1"/>
    <col min="7986" max="7987" width="1.75" style="126" customWidth="1"/>
    <col min="7988" max="7989" width="0.875" style="126" customWidth="1"/>
    <col min="7990" max="7991" width="1.75" style="126" customWidth="1"/>
    <col min="7992" max="7993" width="0.875" style="126" customWidth="1"/>
    <col min="7994" max="7995" width="1.75" style="126" customWidth="1"/>
    <col min="7996" max="7997" width="0.875" style="126" customWidth="1"/>
    <col min="7998" max="7999" width="1.75" style="126" customWidth="1"/>
    <col min="8000" max="8000" width="0.875" style="126" customWidth="1"/>
    <col min="8001" max="8001" width="2.5" style="126" customWidth="1"/>
    <col min="8002" max="8002" width="4" style="126" customWidth="1"/>
    <col min="8003" max="8003" width="2.875" style="126" customWidth="1"/>
    <col min="8004" max="8004" width="4.5" style="126" bestFit="1" customWidth="1"/>
    <col min="8005" max="8005" width="2.25" style="126" bestFit="1" customWidth="1"/>
    <col min="8006" max="8012" width="3" style="126" bestFit="1" customWidth="1"/>
    <col min="8013" max="8016" width="4" style="126" bestFit="1" customWidth="1"/>
    <col min="8017" max="8192" width="9" style="126"/>
    <col min="8193" max="8193" width="6.75" style="126" customWidth="1"/>
    <col min="8194" max="8195" width="1.75" style="126" customWidth="1"/>
    <col min="8196" max="8197" width="0.875" style="126" customWidth="1"/>
    <col min="8198" max="8198" width="1.625" style="126" customWidth="1"/>
    <col min="8199" max="8199" width="1.875" style="126" customWidth="1"/>
    <col min="8200" max="8201" width="0.875" style="126" customWidth="1"/>
    <col min="8202" max="8203" width="1.75" style="126" customWidth="1"/>
    <col min="8204" max="8205" width="0.875" style="126" customWidth="1"/>
    <col min="8206" max="8207" width="1.75" style="126" customWidth="1"/>
    <col min="8208" max="8209" width="0.875" style="126" customWidth="1"/>
    <col min="8210" max="8211" width="1.75" style="126" customWidth="1"/>
    <col min="8212" max="8213" width="0.875" style="126" customWidth="1"/>
    <col min="8214" max="8215" width="1.75" style="126" customWidth="1"/>
    <col min="8216" max="8217" width="0.875" style="126" customWidth="1"/>
    <col min="8218" max="8219" width="1.75" style="126" customWidth="1"/>
    <col min="8220" max="8221" width="0.875" style="126" customWidth="1"/>
    <col min="8222" max="8223" width="1.75" style="126" customWidth="1"/>
    <col min="8224" max="8225" width="0.875" style="126" customWidth="1"/>
    <col min="8226" max="8227" width="1.75" style="126" customWidth="1"/>
    <col min="8228" max="8229" width="0.875" style="126" customWidth="1"/>
    <col min="8230" max="8231" width="1.75" style="126" customWidth="1"/>
    <col min="8232" max="8233" width="0.875" style="126" customWidth="1"/>
    <col min="8234" max="8235" width="1.75" style="126" customWidth="1"/>
    <col min="8236" max="8237" width="0.875" style="126" customWidth="1"/>
    <col min="8238" max="8239" width="1.75" style="126" customWidth="1"/>
    <col min="8240" max="8241" width="0.875" style="126" customWidth="1"/>
    <col min="8242" max="8243" width="1.75" style="126" customWidth="1"/>
    <col min="8244" max="8245" width="0.875" style="126" customWidth="1"/>
    <col min="8246" max="8247" width="1.75" style="126" customWidth="1"/>
    <col min="8248" max="8249" width="0.875" style="126" customWidth="1"/>
    <col min="8250" max="8251" width="1.75" style="126" customWidth="1"/>
    <col min="8252" max="8253" width="0.875" style="126" customWidth="1"/>
    <col min="8254" max="8255" width="1.75" style="126" customWidth="1"/>
    <col min="8256" max="8256" width="0.875" style="126" customWidth="1"/>
    <col min="8257" max="8257" width="2.5" style="126" customWidth="1"/>
    <col min="8258" max="8258" width="4" style="126" customWidth="1"/>
    <col min="8259" max="8259" width="2.875" style="126" customWidth="1"/>
    <col min="8260" max="8260" width="4.5" style="126" bestFit="1" customWidth="1"/>
    <col min="8261" max="8261" width="2.25" style="126" bestFit="1" customWidth="1"/>
    <col min="8262" max="8268" width="3" style="126" bestFit="1" customWidth="1"/>
    <col min="8269" max="8272" width="4" style="126" bestFit="1" customWidth="1"/>
    <col min="8273" max="8448" width="9" style="126"/>
    <col min="8449" max="8449" width="6.75" style="126" customWidth="1"/>
    <col min="8450" max="8451" width="1.75" style="126" customWidth="1"/>
    <col min="8452" max="8453" width="0.875" style="126" customWidth="1"/>
    <col min="8454" max="8454" width="1.625" style="126" customWidth="1"/>
    <col min="8455" max="8455" width="1.875" style="126" customWidth="1"/>
    <col min="8456" max="8457" width="0.875" style="126" customWidth="1"/>
    <col min="8458" max="8459" width="1.75" style="126" customWidth="1"/>
    <col min="8460" max="8461" width="0.875" style="126" customWidth="1"/>
    <col min="8462" max="8463" width="1.75" style="126" customWidth="1"/>
    <col min="8464" max="8465" width="0.875" style="126" customWidth="1"/>
    <col min="8466" max="8467" width="1.75" style="126" customWidth="1"/>
    <col min="8468" max="8469" width="0.875" style="126" customWidth="1"/>
    <col min="8470" max="8471" width="1.75" style="126" customWidth="1"/>
    <col min="8472" max="8473" width="0.875" style="126" customWidth="1"/>
    <col min="8474" max="8475" width="1.75" style="126" customWidth="1"/>
    <col min="8476" max="8477" width="0.875" style="126" customWidth="1"/>
    <col min="8478" max="8479" width="1.75" style="126" customWidth="1"/>
    <col min="8480" max="8481" width="0.875" style="126" customWidth="1"/>
    <col min="8482" max="8483" width="1.75" style="126" customWidth="1"/>
    <col min="8484" max="8485" width="0.875" style="126" customWidth="1"/>
    <col min="8486" max="8487" width="1.75" style="126" customWidth="1"/>
    <col min="8488" max="8489" width="0.875" style="126" customWidth="1"/>
    <col min="8490" max="8491" width="1.75" style="126" customWidth="1"/>
    <col min="8492" max="8493" width="0.875" style="126" customWidth="1"/>
    <col min="8494" max="8495" width="1.75" style="126" customWidth="1"/>
    <col min="8496" max="8497" width="0.875" style="126" customWidth="1"/>
    <col min="8498" max="8499" width="1.75" style="126" customWidth="1"/>
    <col min="8500" max="8501" width="0.875" style="126" customWidth="1"/>
    <col min="8502" max="8503" width="1.75" style="126" customWidth="1"/>
    <col min="8504" max="8505" width="0.875" style="126" customWidth="1"/>
    <col min="8506" max="8507" width="1.75" style="126" customWidth="1"/>
    <col min="8508" max="8509" width="0.875" style="126" customWidth="1"/>
    <col min="8510" max="8511" width="1.75" style="126" customWidth="1"/>
    <col min="8512" max="8512" width="0.875" style="126" customWidth="1"/>
    <col min="8513" max="8513" width="2.5" style="126" customWidth="1"/>
    <col min="8514" max="8514" width="4" style="126" customWidth="1"/>
    <col min="8515" max="8515" width="2.875" style="126" customWidth="1"/>
    <col min="8516" max="8516" width="4.5" style="126" bestFit="1" customWidth="1"/>
    <col min="8517" max="8517" width="2.25" style="126" bestFit="1" customWidth="1"/>
    <col min="8518" max="8524" width="3" style="126" bestFit="1" customWidth="1"/>
    <col min="8525" max="8528" width="4" style="126" bestFit="1" customWidth="1"/>
    <col min="8529" max="8704" width="9" style="126"/>
    <col min="8705" max="8705" width="6.75" style="126" customWidth="1"/>
    <col min="8706" max="8707" width="1.75" style="126" customWidth="1"/>
    <col min="8708" max="8709" width="0.875" style="126" customWidth="1"/>
    <col min="8710" max="8710" width="1.625" style="126" customWidth="1"/>
    <col min="8711" max="8711" width="1.875" style="126" customWidth="1"/>
    <col min="8712" max="8713" width="0.875" style="126" customWidth="1"/>
    <col min="8714" max="8715" width="1.75" style="126" customWidth="1"/>
    <col min="8716" max="8717" width="0.875" style="126" customWidth="1"/>
    <col min="8718" max="8719" width="1.75" style="126" customWidth="1"/>
    <col min="8720" max="8721" width="0.875" style="126" customWidth="1"/>
    <col min="8722" max="8723" width="1.75" style="126" customWidth="1"/>
    <col min="8724" max="8725" width="0.875" style="126" customWidth="1"/>
    <col min="8726" max="8727" width="1.75" style="126" customWidth="1"/>
    <col min="8728" max="8729" width="0.875" style="126" customWidth="1"/>
    <col min="8730" max="8731" width="1.75" style="126" customWidth="1"/>
    <col min="8732" max="8733" width="0.875" style="126" customWidth="1"/>
    <col min="8734" max="8735" width="1.75" style="126" customWidth="1"/>
    <col min="8736" max="8737" width="0.875" style="126" customWidth="1"/>
    <col min="8738" max="8739" width="1.75" style="126" customWidth="1"/>
    <col min="8740" max="8741" width="0.875" style="126" customWidth="1"/>
    <col min="8742" max="8743" width="1.75" style="126" customWidth="1"/>
    <col min="8744" max="8745" width="0.875" style="126" customWidth="1"/>
    <col min="8746" max="8747" width="1.75" style="126" customWidth="1"/>
    <col min="8748" max="8749" width="0.875" style="126" customWidth="1"/>
    <col min="8750" max="8751" width="1.75" style="126" customWidth="1"/>
    <col min="8752" max="8753" width="0.875" style="126" customWidth="1"/>
    <col min="8754" max="8755" width="1.75" style="126" customWidth="1"/>
    <col min="8756" max="8757" width="0.875" style="126" customWidth="1"/>
    <col min="8758" max="8759" width="1.75" style="126" customWidth="1"/>
    <col min="8760" max="8761" width="0.875" style="126" customWidth="1"/>
    <col min="8762" max="8763" width="1.75" style="126" customWidth="1"/>
    <col min="8764" max="8765" width="0.875" style="126" customWidth="1"/>
    <col min="8766" max="8767" width="1.75" style="126" customWidth="1"/>
    <col min="8768" max="8768" width="0.875" style="126" customWidth="1"/>
    <col min="8769" max="8769" width="2.5" style="126" customWidth="1"/>
    <col min="8770" max="8770" width="4" style="126" customWidth="1"/>
    <col min="8771" max="8771" width="2.875" style="126" customWidth="1"/>
    <col min="8772" max="8772" width="4.5" style="126" bestFit="1" customWidth="1"/>
    <col min="8773" max="8773" width="2.25" style="126" bestFit="1" customWidth="1"/>
    <col min="8774" max="8780" width="3" style="126" bestFit="1" customWidth="1"/>
    <col min="8781" max="8784" width="4" style="126" bestFit="1" customWidth="1"/>
    <col min="8785" max="8960" width="9" style="126"/>
    <col min="8961" max="8961" width="6.75" style="126" customWidth="1"/>
    <col min="8962" max="8963" width="1.75" style="126" customWidth="1"/>
    <col min="8964" max="8965" width="0.875" style="126" customWidth="1"/>
    <col min="8966" max="8966" width="1.625" style="126" customWidth="1"/>
    <col min="8967" max="8967" width="1.875" style="126" customWidth="1"/>
    <col min="8968" max="8969" width="0.875" style="126" customWidth="1"/>
    <col min="8970" max="8971" width="1.75" style="126" customWidth="1"/>
    <col min="8972" max="8973" width="0.875" style="126" customWidth="1"/>
    <col min="8974" max="8975" width="1.75" style="126" customWidth="1"/>
    <col min="8976" max="8977" width="0.875" style="126" customWidth="1"/>
    <col min="8978" max="8979" width="1.75" style="126" customWidth="1"/>
    <col min="8980" max="8981" width="0.875" style="126" customWidth="1"/>
    <col min="8982" max="8983" width="1.75" style="126" customWidth="1"/>
    <col min="8984" max="8985" width="0.875" style="126" customWidth="1"/>
    <col min="8986" max="8987" width="1.75" style="126" customWidth="1"/>
    <col min="8988" max="8989" width="0.875" style="126" customWidth="1"/>
    <col min="8990" max="8991" width="1.75" style="126" customWidth="1"/>
    <col min="8992" max="8993" width="0.875" style="126" customWidth="1"/>
    <col min="8994" max="8995" width="1.75" style="126" customWidth="1"/>
    <col min="8996" max="8997" width="0.875" style="126" customWidth="1"/>
    <col min="8998" max="8999" width="1.75" style="126" customWidth="1"/>
    <col min="9000" max="9001" width="0.875" style="126" customWidth="1"/>
    <col min="9002" max="9003" width="1.75" style="126" customWidth="1"/>
    <col min="9004" max="9005" width="0.875" style="126" customWidth="1"/>
    <col min="9006" max="9007" width="1.75" style="126" customWidth="1"/>
    <col min="9008" max="9009" width="0.875" style="126" customWidth="1"/>
    <col min="9010" max="9011" width="1.75" style="126" customWidth="1"/>
    <col min="9012" max="9013" width="0.875" style="126" customWidth="1"/>
    <col min="9014" max="9015" width="1.75" style="126" customWidth="1"/>
    <col min="9016" max="9017" width="0.875" style="126" customWidth="1"/>
    <col min="9018" max="9019" width="1.75" style="126" customWidth="1"/>
    <col min="9020" max="9021" width="0.875" style="126" customWidth="1"/>
    <col min="9022" max="9023" width="1.75" style="126" customWidth="1"/>
    <col min="9024" max="9024" width="0.875" style="126" customWidth="1"/>
    <col min="9025" max="9025" width="2.5" style="126" customWidth="1"/>
    <col min="9026" max="9026" width="4" style="126" customWidth="1"/>
    <col min="9027" max="9027" width="2.875" style="126" customWidth="1"/>
    <col min="9028" max="9028" width="4.5" style="126" bestFit="1" customWidth="1"/>
    <col min="9029" max="9029" width="2.25" style="126" bestFit="1" customWidth="1"/>
    <col min="9030" max="9036" width="3" style="126" bestFit="1" customWidth="1"/>
    <col min="9037" max="9040" width="4" style="126" bestFit="1" customWidth="1"/>
    <col min="9041" max="9216" width="9" style="126"/>
    <col min="9217" max="9217" width="6.75" style="126" customWidth="1"/>
    <col min="9218" max="9219" width="1.75" style="126" customWidth="1"/>
    <col min="9220" max="9221" width="0.875" style="126" customWidth="1"/>
    <col min="9222" max="9222" width="1.625" style="126" customWidth="1"/>
    <col min="9223" max="9223" width="1.875" style="126" customWidth="1"/>
    <col min="9224" max="9225" width="0.875" style="126" customWidth="1"/>
    <col min="9226" max="9227" width="1.75" style="126" customWidth="1"/>
    <col min="9228" max="9229" width="0.875" style="126" customWidth="1"/>
    <col min="9230" max="9231" width="1.75" style="126" customWidth="1"/>
    <col min="9232" max="9233" width="0.875" style="126" customWidth="1"/>
    <col min="9234" max="9235" width="1.75" style="126" customWidth="1"/>
    <col min="9236" max="9237" width="0.875" style="126" customWidth="1"/>
    <col min="9238" max="9239" width="1.75" style="126" customWidth="1"/>
    <col min="9240" max="9241" width="0.875" style="126" customWidth="1"/>
    <col min="9242" max="9243" width="1.75" style="126" customWidth="1"/>
    <col min="9244" max="9245" width="0.875" style="126" customWidth="1"/>
    <col min="9246" max="9247" width="1.75" style="126" customWidth="1"/>
    <col min="9248" max="9249" width="0.875" style="126" customWidth="1"/>
    <col min="9250" max="9251" width="1.75" style="126" customWidth="1"/>
    <col min="9252" max="9253" width="0.875" style="126" customWidth="1"/>
    <col min="9254" max="9255" width="1.75" style="126" customWidth="1"/>
    <col min="9256" max="9257" width="0.875" style="126" customWidth="1"/>
    <col min="9258" max="9259" width="1.75" style="126" customWidth="1"/>
    <col min="9260" max="9261" width="0.875" style="126" customWidth="1"/>
    <col min="9262" max="9263" width="1.75" style="126" customWidth="1"/>
    <col min="9264" max="9265" width="0.875" style="126" customWidth="1"/>
    <col min="9266" max="9267" width="1.75" style="126" customWidth="1"/>
    <col min="9268" max="9269" width="0.875" style="126" customWidth="1"/>
    <col min="9270" max="9271" width="1.75" style="126" customWidth="1"/>
    <col min="9272" max="9273" width="0.875" style="126" customWidth="1"/>
    <col min="9274" max="9275" width="1.75" style="126" customWidth="1"/>
    <col min="9276" max="9277" width="0.875" style="126" customWidth="1"/>
    <col min="9278" max="9279" width="1.75" style="126" customWidth="1"/>
    <col min="9280" max="9280" width="0.875" style="126" customWidth="1"/>
    <col min="9281" max="9281" width="2.5" style="126" customWidth="1"/>
    <col min="9282" max="9282" width="4" style="126" customWidth="1"/>
    <col min="9283" max="9283" width="2.875" style="126" customWidth="1"/>
    <col min="9284" max="9284" width="4.5" style="126" bestFit="1" customWidth="1"/>
    <col min="9285" max="9285" width="2.25" style="126" bestFit="1" customWidth="1"/>
    <col min="9286" max="9292" width="3" style="126" bestFit="1" customWidth="1"/>
    <col min="9293" max="9296" width="4" style="126" bestFit="1" customWidth="1"/>
    <col min="9297" max="9472" width="9" style="126"/>
    <col min="9473" max="9473" width="6.75" style="126" customWidth="1"/>
    <col min="9474" max="9475" width="1.75" style="126" customWidth="1"/>
    <col min="9476" max="9477" width="0.875" style="126" customWidth="1"/>
    <col min="9478" max="9478" width="1.625" style="126" customWidth="1"/>
    <col min="9479" max="9479" width="1.875" style="126" customWidth="1"/>
    <col min="9480" max="9481" width="0.875" style="126" customWidth="1"/>
    <col min="9482" max="9483" width="1.75" style="126" customWidth="1"/>
    <col min="9484" max="9485" width="0.875" style="126" customWidth="1"/>
    <col min="9486" max="9487" width="1.75" style="126" customWidth="1"/>
    <col min="9488" max="9489" width="0.875" style="126" customWidth="1"/>
    <col min="9490" max="9491" width="1.75" style="126" customWidth="1"/>
    <col min="9492" max="9493" width="0.875" style="126" customWidth="1"/>
    <col min="9494" max="9495" width="1.75" style="126" customWidth="1"/>
    <col min="9496" max="9497" width="0.875" style="126" customWidth="1"/>
    <col min="9498" max="9499" width="1.75" style="126" customWidth="1"/>
    <col min="9500" max="9501" width="0.875" style="126" customWidth="1"/>
    <col min="9502" max="9503" width="1.75" style="126" customWidth="1"/>
    <col min="9504" max="9505" width="0.875" style="126" customWidth="1"/>
    <col min="9506" max="9507" width="1.75" style="126" customWidth="1"/>
    <col min="9508" max="9509" width="0.875" style="126" customWidth="1"/>
    <col min="9510" max="9511" width="1.75" style="126" customWidth="1"/>
    <col min="9512" max="9513" width="0.875" style="126" customWidth="1"/>
    <col min="9514" max="9515" width="1.75" style="126" customWidth="1"/>
    <col min="9516" max="9517" width="0.875" style="126" customWidth="1"/>
    <col min="9518" max="9519" width="1.75" style="126" customWidth="1"/>
    <col min="9520" max="9521" width="0.875" style="126" customWidth="1"/>
    <col min="9522" max="9523" width="1.75" style="126" customWidth="1"/>
    <col min="9524" max="9525" width="0.875" style="126" customWidth="1"/>
    <col min="9526" max="9527" width="1.75" style="126" customWidth="1"/>
    <col min="9528" max="9529" width="0.875" style="126" customWidth="1"/>
    <col min="9530" max="9531" width="1.75" style="126" customWidth="1"/>
    <col min="9532" max="9533" width="0.875" style="126" customWidth="1"/>
    <col min="9534" max="9535" width="1.75" style="126" customWidth="1"/>
    <col min="9536" max="9536" width="0.875" style="126" customWidth="1"/>
    <col min="9537" max="9537" width="2.5" style="126" customWidth="1"/>
    <col min="9538" max="9538" width="4" style="126" customWidth="1"/>
    <col min="9539" max="9539" width="2.875" style="126" customWidth="1"/>
    <col min="9540" max="9540" width="4.5" style="126" bestFit="1" customWidth="1"/>
    <col min="9541" max="9541" width="2.25" style="126" bestFit="1" customWidth="1"/>
    <col min="9542" max="9548" width="3" style="126" bestFit="1" customWidth="1"/>
    <col min="9549" max="9552" width="4" style="126" bestFit="1" customWidth="1"/>
    <col min="9553" max="9728" width="9" style="126"/>
    <col min="9729" max="9729" width="6.75" style="126" customWidth="1"/>
    <col min="9730" max="9731" width="1.75" style="126" customWidth="1"/>
    <col min="9732" max="9733" width="0.875" style="126" customWidth="1"/>
    <col min="9734" max="9734" width="1.625" style="126" customWidth="1"/>
    <col min="9735" max="9735" width="1.875" style="126" customWidth="1"/>
    <col min="9736" max="9737" width="0.875" style="126" customWidth="1"/>
    <col min="9738" max="9739" width="1.75" style="126" customWidth="1"/>
    <col min="9740" max="9741" width="0.875" style="126" customWidth="1"/>
    <col min="9742" max="9743" width="1.75" style="126" customWidth="1"/>
    <col min="9744" max="9745" width="0.875" style="126" customWidth="1"/>
    <col min="9746" max="9747" width="1.75" style="126" customWidth="1"/>
    <col min="9748" max="9749" width="0.875" style="126" customWidth="1"/>
    <col min="9750" max="9751" width="1.75" style="126" customWidth="1"/>
    <col min="9752" max="9753" width="0.875" style="126" customWidth="1"/>
    <col min="9754" max="9755" width="1.75" style="126" customWidth="1"/>
    <col min="9756" max="9757" width="0.875" style="126" customWidth="1"/>
    <col min="9758" max="9759" width="1.75" style="126" customWidth="1"/>
    <col min="9760" max="9761" width="0.875" style="126" customWidth="1"/>
    <col min="9762" max="9763" width="1.75" style="126" customWidth="1"/>
    <col min="9764" max="9765" width="0.875" style="126" customWidth="1"/>
    <col min="9766" max="9767" width="1.75" style="126" customWidth="1"/>
    <col min="9768" max="9769" width="0.875" style="126" customWidth="1"/>
    <col min="9770" max="9771" width="1.75" style="126" customWidth="1"/>
    <col min="9772" max="9773" width="0.875" style="126" customWidth="1"/>
    <col min="9774" max="9775" width="1.75" style="126" customWidth="1"/>
    <col min="9776" max="9777" width="0.875" style="126" customWidth="1"/>
    <col min="9778" max="9779" width="1.75" style="126" customWidth="1"/>
    <col min="9780" max="9781" width="0.875" style="126" customWidth="1"/>
    <col min="9782" max="9783" width="1.75" style="126" customWidth="1"/>
    <col min="9784" max="9785" width="0.875" style="126" customWidth="1"/>
    <col min="9786" max="9787" width="1.75" style="126" customWidth="1"/>
    <col min="9788" max="9789" width="0.875" style="126" customWidth="1"/>
    <col min="9790" max="9791" width="1.75" style="126" customWidth="1"/>
    <col min="9792" max="9792" width="0.875" style="126" customWidth="1"/>
    <col min="9793" max="9793" width="2.5" style="126" customWidth="1"/>
    <col min="9794" max="9794" width="4" style="126" customWidth="1"/>
    <col min="9795" max="9795" width="2.875" style="126" customWidth="1"/>
    <col min="9796" max="9796" width="4.5" style="126" bestFit="1" customWidth="1"/>
    <col min="9797" max="9797" width="2.25" style="126" bestFit="1" customWidth="1"/>
    <col min="9798" max="9804" width="3" style="126" bestFit="1" customWidth="1"/>
    <col min="9805" max="9808" width="4" style="126" bestFit="1" customWidth="1"/>
    <col min="9809" max="9984" width="9" style="126"/>
    <col min="9985" max="9985" width="6.75" style="126" customWidth="1"/>
    <col min="9986" max="9987" width="1.75" style="126" customWidth="1"/>
    <col min="9988" max="9989" width="0.875" style="126" customWidth="1"/>
    <col min="9990" max="9990" width="1.625" style="126" customWidth="1"/>
    <col min="9991" max="9991" width="1.875" style="126" customWidth="1"/>
    <col min="9992" max="9993" width="0.875" style="126" customWidth="1"/>
    <col min="9994" max="9995" width="1.75" style="126" customWidth="1"/>
    <col min="9996" max="9997" width="0.875" style="126" customWidth="1"/>
    <col min="9998" max="9999" width="1.75" style="126" customWidth="1"/>
    <col min="10000" max="10001" width="0.875" style="126" customWidth="1"/>
    <col min="10002" max="10003" width="1.75" style="126" customWidth="1"/>
    <col min="10004" max="10005" width="0.875" style="126" customWidth="1"/>
    <col min="10006" max="10007" width="1.75" style="126" customWidth="1"/>
    <col min="10008" max="10009" width="0.875" style="126" customWidth="1"/>
    <col min="10010" max="10011" width="1.75" style="126" customWidth="1"/>
    <col min="10012" max="10013" width="0.875" style="126" customWidth="1"/>
    <col min="10014" max="10015" width="1.75" style="126" customWidth="1"/>
    <col min="10016" max="10017" width="0.875" style="126" customWidth="1"/>
    <col min="10018" max="10019" width="1.75" style="126" customWidth="1"/>
    <col min="10020" max="10021" width="0.875" style="126" customWidth="1"/>
    <col min="10022" max="10023" width="1.75" style="126" customWidth="1"/>
    <col min="10024" max="10025" width="0.875" style="126" customWidth="1"/>
    <col min="10026" max="10027" width="1.75" style="126" customWidth="1"/>
    <col min="10028" max="10029" width="0.875" style="126" customWidth="1"/>
    <col min="10030" max="10031" width="1.75" style="126" customWidth="1"/>
    <col min="10032" max="10033" width="0.875" style="126" customWidth="1"/>
    <col min="10034" max="10035" width="1.75" style="126" customWidth="1"/>
    <col min="10036" max="10037" width="0.875" style="126" customWidth="1"/>
    <col min="10038" max="10039" width="1.75" style="126" customWidth="1"/>
    <col min="10040" max="10041" width="0.875" style="126" customWidth="1"/>
    <col min="10042" max="10043" width="1.75" style="126" customWidth="1"/>
    <col min="10044" max="10045" width="0.875" style="126" customWidth="1"/>
    <col min="10046" max="10047" width="1.75" style="126" customWidth="1"/>
    <col min="10048" max="10048" width="0.875" style="126" customWidth="1"/>
    <col min="10049" max="10049" width="2.5" style="126" customWidth="1"/>
    <col min="10050" max="10050" width="4" style="126" customWidth="1"/>
    <col min="10051" max="10051" width="2.875" style="126" customWidth="1"/>
    <col min="10052" max="10052" width="4.5" style="126" bestFit="1" customWidth="1"/>
    <col min="10053" max="10053" width="2.25" style="126" bestFit="1" customWidth="1"/>
    <col min="10054" max="10060" width="3" style="126" bestFit="1" customWidth="1"/>
    <col min="10061" max="10064" width="4" style="126" bestFit="1" customWidth="1"/>
    <col min="10065" max="10240" width="9" style="126"/>
    <col min="10241" max="10241" width="6.75" style="126" customWidth="1"/>
    <col min="10242" max="10243" width="1.75" style="126" customWidth="1"/>
    <col min="10244" max="10245" width="0.875" style="126" customWidth="1"/>
    <col min="10246" max="10246" width="1.625" style="126" customWidth="1"/>
    <col min="10247" max="10247" width="1.875" style="126" customWidth="1"/>
    <col min="10248" max="10249" width="0.875" style="126" customWidth="1"/>
    <col min="10250" max="10251" width="1.75" style="126" customWidth="1"/>
    <col min="10252" max="10253" width="0.875" style="126" customWidth="1"/>
    <col min="10254" max="10255" width="1.75" style="126" customWidth="1"/>
    <col min="10256" max="10257" width="0.875" style="126" customWidth="1"/>
    <col min="10258" max="10259" width="1.75" style="126" customWidth="1"/>
    <col min="10260" max="10261" width="0.875" style="126" customWidth="1"/>
    <col min="10262" max="10263" width="1.75" style="126" customWidth="1"/>
    <col min="10264" max="10265" width="0.875" style="126" customWidth="1"/>
    <col min="10266" max="10267" width="1.75" style="126" customWidth="1"/>
    <col min="10268" max="10269" width="0.875" style="126" customWidth="1"/>
    <col min="10270" max="10271" width="1.75" style="126" customWidth="1"/>
    <col min="10272" max="10273" width="0.875" style="126" customWidth="1"/>
    <col min="10274" max="10275" width="1.75" style="126" customWidth="1"/>
    <col min="10276" max="10277" width="0.875" style="126" customWidth="1"/>
    <col min="10278" max="10279" width="1.75" style="126" customWidth="1"/>
    <col min="10280" max="10281" width="0.875" style="126" customWidth="1"/>
    <col min="10282" max="10283" width="1.75" style="126" customWidth="1"/>
    <col min="10284" max="10285" width="0.875" style="126" customWidth="1"/>
    <col min="10286" max="10287" width="1.75" style="126" customWidth="1"/>
    <col min="10288" max="10289" width="0.875" style="126" customWidth="1"/>
    <col min="10290" max="10291" width="1.75" style="126" customWidth="1"/>
    <col min="10292" max="10293" width="0.875" style="126" customWidth="1"/>
    <col min="10294" max="10295" width="1.75" style="126" customWidth="1"/>
    <col min="10296" max="10297" width="0.875" style="126" customWidth="1"/>
    <col min="10298" max="10299" width="1.75" style="126" customWidth="1"/>
    <col min="10300" max="10301" width="0.875" style="126" customWidth="1"/>
    <col min="10302" max="10303" width="1.75" style="126" customWidth="1"/>
    <col min="10304" max="10304" width="0.875" style="126" customWidth="1"/>
    <col min="10305" max="10305" width="2.5" style="126" customWidth="1"/>
    <col min="10306" max="10306" width="4" style="126" customWidth="1"/>
    <col min="10307" max="10307" width="2.875" style="126" customWidth="1"/>
    <col min="10308" max="10308" width="4.5" style="126" bestFit="1" customWidth="1"/>
    <col min="10309" max="10309" width="2.25" style="126" bestFit="1" customWidth="1"/>
    <col min="10310" max="10316" width="3" style="126" bestFit="1" customWidth="1"/>
    <col min="10317" max="10320" width="4" style="126" bestFit="1" customWidth="1"/>
    <col min="10321" max="10496" width="9" style="126"/>
    <col min="10497" max="10497" width="6.75" style="126" customWidth="1"/>
    <col min="10498" max="10499" width="1.75" style="126" customWidth="1"/>
    <col min="10500" max="10501" width="0.875" style="126" customWidth="1"/>
    <col min="10502" max="10502" width="1.625" style="126" customWidth="1"/>
    <col min="10503" max="10503" width="1.875" style="126" customWidth="1"/>
    <col min="10504" max="10505" width="0.875" style="126" customWidth="1"/>
    <col min="10506" max="10507" width="1.75" style="126" customWidth="1"/>
    <col min="10508" max="10509" width="0.875" style="126" customWidth="1"/>
    <col min="10510" max="10511" width="1.75" style="126" customWidth="1"/>
    <col min="10512" max="10513" width="0.875" style="126" customWidth="1"/>
    <col min="10514" max="10515" width="1.75" style="126" customWidth="1"/>
    <col min="10516" max="10517" width="0.875" style="126" customWidth="1"/>
    <col min="10518" max="10519" width="1.75" style="126" customWidth="1"/>
    <col min="10520" max="10521" width="0.875" style="126" customWidth="1"/>
    <col min="10522" max="10523" width="1.75" style="126" customWidth="1"/>
    <col min="10524" max="10525" width="0.875" style="126" customWidth="1"/>
    <col min="10526" max="10527" width="1.75" style="126" customWidth="1"/>
    <col min="10528" max="10529" width="0.875" style="126" customWidth="1"/>
    <col min="10530" max="10531" width="1.75" style="126" customWidth="1"/>
    <col min="10532" max="10533" width="0.875" style="126" customWidth="1"/>
    <col min="10534" max="10535" width="1.75" style="126" customWidth="1"/>
    <col min="10536" max="10537" width="0.875" style="126" customWidth="1"/>
    <col min="10538" max="10539" width="1.75" style="126" customWidth="1"/>
    <col min="10540" max="10541" width="0.875" style="126" customWidth="1"/>
    <col min="10542" max="10543" width="1.75" style="126" customWidth="1"/>
    <col min="10544" max="10545" width="0.875" style="126" customWidth="1"/>
    <col min="10546" max="10547" width="1.75" style="126" customWidth="1"/>
    <col min="10548" max="10549" width="0.875" style="126" customWidth="1"/>
    <col min="10550" max="10551" width="1.75" style="126" customWidth="1"/>
    <col min="10552" max="10553" width="0.875" style="126" customWidth="1"/>
    <col min="10554" max="10555" width="1.75" style="126" customWidth="1"/>
    <col min="10556" max="10557" width="0.875" style="126" customWidth="1"/>
    <col min="10558" max="10559" width="1.75" style="126" customWidth="1"/>
    <col min="10560" max="10560" width="0.875" style="126" customWidth="1"/>
    <col min="10561" max="10561" width="2.5" style="126" customWidth="1"/>
    <col min="10562" max="10562" width="4" style="126" customWidth="1"/>
    <col min="10563" max="10563" width="2.875" style="126" customWidth="1"/>
    <col min="10564" max="10564" width="4.5" style="126" bestFit="1" customWidth="1"/>
    <col min="10565" max="10565" width="2.25" style="126" bestFit="1" customWidth="1"/>
    <col min="10566" max="10572" width="3" style="126" bestFit="1" customWidth="1"/>
    <col min="10573" max="10576" width="4" style="126" bestFit="1" customWidth="1"/>
    <col min="10577" max="10752" width="9" style="126"/>
    <col min="10753" max="10753" width="6.75" style="126" customWidth="1"/>
    <col min="10754" max="10755" width="1.75" style="126" customWidth="1"/>
    <col min="10756" max="10757" width="0.875" style="126" customWidth="1"/>
    <col min="10758" max="10758" width="1.625" style="126" customWidth="1"/>
    <col min="10759" max="10759" width="1.875" style="126" customWidth="1"/>
    <col min="10760" max="10761" width="0.875" style="126" customWidth="1"/>
    <col min="10762" max="10763" width="1.75" style="126" customWidth="1"/>
    <col min="10764" max="10765" width="0.875" style="126" customWidth="1"/>
    <col min="10766" max="10767" width="1.75" style="126" customWidth="1"/>
    <col min="10768" max="10769" width="0.875" style="126" customWidth="1"/>
    <col min="10770" max="10771" width="1.75" style="126" customWidth="1"/>
    <col min="10772" max="10773" width="0.875" style="126" customWidth="1"/>
    <col min="10774" max="10775" width="1.75" style="126" customWidth="1"/>
    <col min="10776" max="10777" width="0.875" style="126" customWidth="1"/>
    <col min="10778" max="10779" width="1.75" style="126" customWidth="1"/>
    <col min="10780" max="10781" width="0.875" style="126" customWidth="1"/>
    <col min="10782" max="10783" width="1.75" style="126" customWidth="1"/>
    <col min="10784" max="10785" width="0.875" style="126" customWidth="1"/>
    <col min="10786" max="10787" width="1.75" style="126" customWidth="1"/>
    <col min="10788" max="10789" width="0.875" style="126" customWidth="1"/>
    <col min="10790" max="10791" width="1.75" style="126" customWidth="1"/>
    <col min="10792" max="10793" width="0.875" style="126" customWidth="1"/>
    <col min="10794" max="10795" width="1.75" style="126" customWidth="1"/>
    <col min="10796" max="10797" width="0.875" style="126" customWidth="1"/>
    <col min="10798" max="10799" width="1.75" style="126" customWidth="1"/>
    <col min="10800" max="10801" width="0.875" style="126" customWidth="1"/>
    <col min="10802" max="10803" width="1.75" style="126" customWidth="1"/>
    <col min="10804" max="10805" width="0.875" style="126" customWidth="1"/>
    <col min="10806" max="10807" width="1.75" style="126" customWidth="1"/>
    <col min="10808" max="10809" width="0.875" style="126" customWidth="1"/>
    <col min="10810" max="10811" width="1.75" style="126" customWidth="1"/>
    <col min="10812" max="10813" width="0.875" style="126" customWidth="1"/>
    <col min="10814" max="10815" width="1.75" style="126" customWidth="1"/>
    <col min="10816" max="10816" width="0.875" style="126" customWidth="1"/>
    <col min="10817" max="10817" width="2.5" style="126" customWidth="1"/>
    <col min="10818" max="10818" width="4" style="126" customWidth="1"/>
    <col min="10819" max="10819" width="2.875" style="126" customWidth="1"/>
    <col min="10820" max="10820" width="4.5" style="126" bestFit="1" customWidth="1"/>
    <col min="10821" max="10821" width="2.25" style="126" bestFit="1" customWidth="1"/>
    <col min="10822" max="10828" width="3" style="126" bestFit="1" customWidth="1"/>
    <col min="10829" max="10832" width="4" style="126" bestFit="1" customWidth="1"/>
    <col min="10833" max="11008" width="9" style="126"/>
    <col min="11009" max="11009" width="6.75" style="126" customWidth="1"/>
    <col min="11010" max="11011" width="1.75" style="126" customWidth="1"/>
    <col min="11012" max="11013" width="0.875" style="126" customWidth="1"/>
    <col min="11014" max="11014" width="1.625" style="126" customWidth="1"/>
    <col min="11015" max="11015" width="1.875" style="126" customWidth="1"/>
    <col min="11016" max="11017" width="0.875" style="126" customWidth="1"/>
    <col min="11018" max="11019" width="1.75" style="126" customWidth="1"/>
    <col min="11020" max="11021" width="0.875" style="126" customWidth="1"/>
    <col min="11022" max="11023" width="1.75" style="126" customWidth="1"/>
    <col min="11024" max="11025" width="0.875" style="126" customWidth="1"/>
    <col min="11026" max="11027" width="1.75" style="126" customWidth="1"/>
    <col min="11028" max="11029" width="0.875" style="126" customWidth="1"/>
    <col min="11030" max="11031" width="1.75" style="126" customWidth="1"/>
    <col min="11032" max="11033" width="0.875" style="126" customWidth="1"/>
    <col min="11034" max="11035" width="1.75" style="126" customWidth="1"/>
    <col min="11036" max="11037" width="0.875" style="126" customWidth="1"/>
    <col min="11038" max="11039" width="1.75" style="126" customWidth="1"/>
    <col min="11040" max="11041" width="0.875" style="126" customWidth="1"/>
    <col min="11042" max="11043" width="1.75" style="126" customWidth="1"/>
    <col min="11044" max="11045" width="0.875" style="126" customWidth="1"/>
    <col min="11046" max="11047" width="1.75" style="126" customWidth="1"/>
    <col min="11048" max="11049" width="0.875" style="126" customWidth="1"/>
    <col min="11050" max="11051" width="1.75" style="126" customWidth="1"/>
    <col min="11052" max="11053" width="0.875" style="126" customWidth="1"/>
    <col min="11054" max="11055" width="1.75" style="126" customWidth="1"/>
    <col min="11056" max="11057" width="0.875" style="126" customWidth="1"/>
    <col min="11058" max="11059" width="1.75" style="126" customWidth="1"/>
    <col min="11060" max="11061" width="0.875" style="126" customWidth="1"/>
    <col min="11062" max="11063" width="1.75" style="126" customWidth="1"/>
    <col min="11064" max="11065" width="0.875" style="126" customWidth="1"/>
    <col min="11066" max="11067" width="1.75" style="126" customWidth="1"/>
    <col min="11068" max="11069" width="0.875" style="126" customWidth="1"/>
    <col min="11070" max="11071" width="1.75" style="126" customWidth="1"/>
    <col min="11072" max="11072" width="0.875" style="126" customWidth="1"/>
    <col min="11073" max="11073" width="2.5" style="126" customWidth="1"/>
    <col min="11074" max="11074" width="4" style="126" customWidth="1"/>
    <col min="11075" max="11075" width="2.875" style="126" customWidth="1"/>
    <col min="11076" max="11076" width="4.5" style="126" bestFit="1" customWidth="1"/>
    <col min="11077" max="11077" width="2.25" style="126" bestFit="1" customWidth="1"/>
    <col min="11078" max="11084" width="3" style="126" bestFit="1" customWidth="1"/>
    <col min="11085" max="11088" width="4" style="126" bestFit="1" customWidth="1"/>
    <col min="11089" max="11264" width="9" style="126"/>
    <col min="11265" max="11265" width="6.75" style="126" customWidth="1"/>
    <col min="11266" max="11267" width="1.75" style="126" customWidth="1"/>
    <col min="11268" max="11269" width="0.875" style="126" customWidth="1"/>
    <col min="11270" max="11270" width="1.625" style="126" customWidth="1"/>
    <col min="11271" max="11271" width="1.875" style="126" customWidth="1"/>
    <col min="11272" max="11273" width="0.875" style="126" customWidth="1"/>
    <col min="11274" max="11275" width="1.75" style="126" customWidth="1"/>
    <col min="11276" max="11277" width="0.875" style="126" customWidth="1"/>
    <col min="11278" max="11279" width="1.75" style="126" customWidth="1"/>
    <col min="11280" max="11281" width="0.875" style="126" customWidth="1"/>
    <col min="11282" max="11283" width="1.75" style="126" customWidth="1"/>
    <col min="11284" max="11285" width="0.875" style="126" customWidth="1"/>
    <col min="11286" max="11287" width="1.75" style="126" customWidth="1"/>
    <col min="11288" max="11289" width="0.875" style="126" customWidth="1"/>
    <col min="11290" max="11291" width="1.75" style="126" customWidth="1"/>
    <col min="11292" max="11293" width="0.875" style="126" customWidth="1"/>
    <col min="11294" max="11295" width="1.75" style="126" customWidth="1"/>
    <col min="11296" max="11297" width="0.875" style="126" customWidth="1"/>
    <col min="11298" max="11299" width="1.75" style="126" customWidth="1"/>
    <col min="11300" max="11301" width="0.875" style="126" customWidth="1"/>
    <col min="11302" max="11303" width="1.75" style="126" customWidth="1"/>
    <col min="11304" max="11305" width="0.875" style="126" customWidth="1"/>
    <col min="11306" max="11307" width="1.75" style="126" customWidth="1"/>
    <col min="11308" max="11309" width="0.875" style="126" customWidth="1"/>
    <col min="11310" max="11311" width="1.75" style="126" customWidth="1"/>
    <col min="11312" max="11313" width="0.875" style="126" customWidth="1"/>
    <col min="11314" max="11315" width="1.75" style="126" customWidth="1"/>
    <col min="11316" max="11317" width="0.875" style="126" customWidth="1"/>
    <col min="11318" max="11319" width="1.75" style="126" customWidth="1"/>
    <col min="11320" max="11321" width="0.875" style="126" customWidth="1"/>
    <col min="11322" max="11323" width="1.75" style="126" customWidth="1"/>
    <col min="11324" max="11325" width="0.875" style="126" customWidth="1"/>
    <col min="11326" max="11327" width="1.75" style="126" customWidth="1"/>
    <col min="11328" max="11328" width="0.875" style="126" customWidth="1"/>
    <col min="11329" max="11329" width="2.5" style="126" customWidth="1"/>
    <col min="11330" max="11330" width="4" style="126" customWidth="1"/>
    <col min="11331" max="11331" width="2.875" style="126" customWidth="1"/>
    <col min="11332" max="11332" width="4.5" style="126" bestFit="1" customWidth="1"/>
    <col min="11333" max="11333" width="2.25" style="126" bestFit="1" customWidth="1"/>
    <col min="11334" max="11340" width="3" style="126" bestFit="1" customWidth="1"/>
    <col min="11341" max="11344" width="4" style="126" bestFit="1" customWidth="1"/>
    <col min="11345" max="11520" width="9" style="126"/>
    <col min="11521" max="11521" width="6.75" style="126" customWidth="1"/>
    <col min="11522" max="11523" width="1.75" style="126" customWidth="1"/>
    <col min="11524" max="11525" width="0.875" style="126" customWidth="1"/>
    <col min="11526" max="11526" width="1.625" style="126" customWidth="1"/>
    <col min="11527" max="11527" width="1.875" style="126" customWidth="1"/>
    <col min="11528" max="11529" width="0.875" style="126" customWidth="1"/>
    <col min="11530" max="11531" width="1.75" style="126" customWidth="1"/>
    <col min="11532" max="11533" width="0.875" style="126" customWidth="1"/>
    <col min="11534" max="11535" width="1.75" style="126" customWidth="1"/>
    <col min="11536" max="11537" width="0.875" style="126" customWidth="1"/>
    <col min="11538" max="11539" width="1.75" style="126" customWidth="1"/>
    <col min="11540" max="11541" width="0.875" style="126" customWidth="1"/>
    <col min="11542" max="11543" width="1.75" style="126" customWidth="1"/>
    <col min="11544" max="11545" width="0.875" style="126" customWidth="1"/>
    <col min="11546" max="11547" width="1.75" style="126" customWidth="1"/>
    <col min="11548" max="11549" width="0.875" style="126" customWidth="1"/>
    <col min="11550" max="11551" width="1.75" style="126" customWidth="1"/>
    <col min="11552" max="11553" width="0.875" style="126" customWidth="1"/>
    <col min="11554" max="11555" width="1.75" style="126" customWidth="1"/>
    <col min="11556" max="11557" width="0.875" style="126" customWidth="1"/>
    <col min="11558" max="11559" width="1.75" style="126" customWidth="1"/>
    <col min="11560" max="11561" width="0.875" style="126" customWidth="1"/>
    <col min="11562" max="11563" width="1.75" style="126" customWidth="1"/>
    <col min="11564" max="11565" width="0.875" style="126" customWidth="1"/>
    <col min="11566" max="11567" width="1.75" style="126" customWidth="1"/>
    <col min="11568" max="11569" width="0.875" style="126" customWidth="1"/>
    <col min="11570" max="11571" width="1.75" style="126" customWidth="1"/>
    <col min="11572" max="11573" width="0.875" style="126" customWidth="1"/>
    <col min="11574" max="11575" width="1.75" style="126" customWidth="1"/>
    <col min="11576" max="11577" width="0.875" style="126" customWidth="1"/>
    <col min="11578" max="11579" width="1.75" style="126" customWidth="1"/>
    <col min="11580" max="11581" width="0.875" style="126" customWidth="1"/>
    <col min="11582" max="11583" width="1.75" style="126" customWidth="1"/>
    <col min="11584" max="11584" width="0.875" style="126" customWidth="1"/>
    <col min="11585" max="11585" width="2.5" style="126" customWidth="1"/>
    <col min="11586" max="11586" width="4" style="126" customWidth="1"/>
    <col min="11587" max="11587" width="2.875" style="126" customWidth="1"/>
    <col min="11588" max="11588" width="4.5" style="126" bestFit="1" customWidth="1"/>
    <col min="11589" max="11589" width="2.25" style="126" bestFit="1" customWidth="1"/>
    <col min="11590" max="11596" width="3" style="126" bestFit="1" customWidth="1"/>
    <col min="11597" max="11600" width="4" style="126" bestFit="1" customWidth="1"/>
    <col min="11601" max="11776" width="9" style="126"/>
    <col min="11777" max="11777" width="6.75" style="126" customWidth="1"/>
    <col min="11778" max="11779" width="1.75" style="126" customWidth="1"/>
    <col min="11780" max="11781" width="0.875" style="126" customWidth="1"/>
    <col min="11782" max="11782" width="1.625" style="126" customWidth="1"/>
    <col min="11783" max="11783" width="1.875" style="126" customWidth="1"/>
    <col min="11784" max="11785" width="0.875" style="126" customWidth="1"/>
    <col min="11786" max="11787" width="1.75" style="126" customWidth="1"/>
    <col min="11788" max="11789" width="0.875" style="126" customWidth="1"/>
    <col min="11790" max="11791" width="1.75" style="126" customWidth="1"/>
    <col min="11792" max="11793" width="0.875" style="126" customWidth="1"/>
    <col min="11794" max="11795" width="1.75" style="126" customWidth="1"/>
    <col min="11796" max="11797" width="0.875" style="126" customWidth="1"/>
    <col min="11798" max="11799" width="1.75" style="126" customWidth="1"/>
    <col min="11800" max="11801" width="0.875" style="126" customWidth="1"/>
    <col min="11802" max="11803" width="1.75" style="126" customWidth="1"/>
    <col min="11804" max="11805" width="0.875" style="126" customWidth="1"/>
    <col min="11806" max="11807" width="1.75" style="126" customWidth="1"/>
    <col min="11808" max="11809" width="0.875" style="126" customWidth="1"/>
    <col min="11810" max="11811" width="1.75" style="126" customWidth="1"/>
    <col min="11812" max="11813" width="0.875" style="126" customWidth="1"/>
    <col min="11814" max="11815" width="1.75" style="126" customWidth="1"/>
    <col min="11816" max="11817" width="0.875" style="126" customWidth="1"/>
    <col min="11818" max="11819" width="1.75" style="126" customWidth="1"/>
    <col min="11820" max="11821" width="0.875" style="126" customWidth="1"/>
    <col min="11822" max="11823" width="1.75" style="126" customWidth="1"/>
    <col min="11824" max="11825" width="0.875" style="126" customWidth="1"/>
    <col min="11826" max="11827" width="1.75" style="126" customWidth="1"/>
    <col min="11828" max="11829" width="0.875" style="126" customWidth="1"/>
    <col min="11830" max="11831" width="1.75" style="126" customWidth="1"/>
    <col min="11832" max="11833" width="0.875" style="126" customWidth="1"/>
    <col min="11834" max="11835" width="1.75" style="126" customWidth="1"/>
    <col min="11836" max="11837" width="0.875" style="126" customWidth="1"/>
    <col min="11838" max="11839" width="1.75" style="126" customWidth="1"/>
    <col min="11840" max="11840" width="0.875" style="126" customWidth="1"/>
    <col min="11841" max="11841" width="2.5" style="126" customWidth="1"/>
    <col min="11842" max="11842" width="4" style="126" customWidth="1"/>
    <col min="11843" max="11843" width="2.875" style="126" customWidth="1"/>
    <col min="11844" max="11844" width="4.5" style="126" bestFit="1" customWidth="1"/>
    <col min="11845" max="11845" width="2.25" style="126" bestFit="1" customWidth="1"/>
    <col min="11846" max="11852" width="3" style="126" bestFit="1" customWidth="1"/>
    <col min="11853" max="11856" width="4" style="126" bestFit="1" customWidth="1"/>
    <col min="11857" max="12032" width="9" style="126"/>
    <col min="12033" max="12033" width="6.75" style="126" customWidth="1"/>
    <col min="12034" max="12035" width="1.75" style="126" customWidth="1"/>
    <col min="12036" max="12037" width="0.875" style="126" customWidth="1"/>
    <col min="12038" max="12038" width="1.625" style="126" customWidth="1"/>
    <col min="12039" max="12039" width="1.875" style="126" customWidth="1"/>
    <col min="12040" max="12041" width="0.875" style="126" customWidth="1"/>
    <col min="12042" max="12043" width="1.75" style="126" customWidth="1"/>
    <col min="12044" max="12045" width="0.875" style="126" customWidth="1"/>
    <col min="12046" max="12047" width="1.75" style="126" customWidth="1"/>
    <col min="12048" max="12049" width="0.875" style="126" customWidth="1"/>
    <col min="12050" max="12051" width="1.75" style="126" customWidth="1"/>
    <col min="12052" max="12053" width="0.875" style="126" customWidth="1"/>
    <col min="12054" max="12055" width="1.75" style="126" customWidth="1"/>
    <col min="12056" max="12057" width="0.875" style="126" customWidth="1"/>
    <col min="12058" max="12059" width="1.75" style="126" customWidth="1"/>
    <col min="12060" max="12061" width="0.875" style="126" customWidth="1"/>
    <col min="12062" max="12063" width="1.75" style="126" customWidth="1"/>
    <col min="12064" max="12065" width="0.875" style="126" customWidth="1"/>
    <col min="12066" max="12067" width="1.75" style="126" customWidth="1"/>
    <col min="12068" max="12069" width="0.875" style="126" customWidth="1"/>
    <col min="12070" max="12071" width="1.75" style="126" customWidth="1"/>
    <col min="12072" max="12073" width="0.875" style="126" customWidth="1"/>
    <col min="12074" max="12075" width="1.75" style="126" customWidth="1"/>
    <col min="12076" max="12077" width="0.875" style="126" customWidth="1"/>
    <col min="12078" max="12079" width="1.75" style="126" customWidth="1"/>
    <col min="12080" max="12081" width="0.875" style="126" customWidth="1"/>
    <col min="12082" max="12083" width="1.75" style="126" customWidth="1"/>
    <col min="12084" max="12085" width="0.875" style="126" customWidth="1"/>
    <col min="12086" max="12087" width="1.75" style="126" customWidth="1"/>
    <col min="12088" max="12089" width="0.875" style="126" customWidth="1"/>
    <col min="12090" max="12091" width="1.75" style="126" customWidth="1"/>
    <col min="12092" max="12093" width="0.875" style="126" customWidth="1"/>
    <col min="12094" max="12095" width="1.75" style="126" customWidth="1"/>
    <col min="12096" max="12096" width="0.875" style="126" customWidth="1"/>
    <col min="12097" max="12097" width="2.5" style="126" customWidth="1"/>
    <col min="12098" max="12098" width="4" style="126" customWidth="1"/>
    <col min="12099" max="12099" width="2.875" style="126" customWidth="1"/>
    <col min="12100" max="12100" width="4.5" style="126" bestFit="1" customWidth="1"/>
    <col min="12101" max="12101" width="2.25" style="126" bestFit="1" customWidth="1"/>
    <col min="12102" max="12108" width="3" style="126" bestFit="1" customWidth="1"/>
    <col min="12109" max="12112" width="4" style="126" bestFit="1" customWidth="1"/>
    <col min="12113" max="12288" width="9" style="126"/>
    <col min="12289" max="12289" width="6.75" style="126" customWidth="1"/>
    <col min="12290" max="12291" width="1.75" style="126" customWidth="1"/>
    <col min="12292" max="12293" width="0.875" style="126" customWidth="1"/>
    <col min="12294" max="12294" width="1.625" style="126" customWidth="1"/>
    <col min="12295" max="12295" width="1.875" style="126" customWidth="1"/>
    <col min="12296" max="12297" width="0.875" style="126" customWidth="1"/>
    <col min="12298" max="12299" width="1.75" style="126" customWidth="1"/>
    <col min="12300" max="12301" width="0.875" style="126" customWidth="1"/>
    <col min="12302" max="12303" width="1.75" style="126" customWidth="1"/>
    <col min="12304" max="12305" width="0.875" style="126" customWidth="1"/>
    <col min="12306" max="12307" width="1.75" style="126" customWidth="1"/>
    <col min="12308" max="12309" width="0.875" style="126" customWidth="1"/>
    <col min="12310" max="12311" width="1.75" style="126" customWidth="1"/>
    <col min="12312" max="12313" width="0.875" style="126" customWidth="1"/>
    <col min="12314" max="12315" width="1.75" style="126" customWidth="1"/>
    <col min="12316" max="12317" width="0.875" style="126" customWidth="1"/>
    <col min="12318" max="12319" width="1.75" style="126" customWidth="1"/>
    <col min="12320" max="12321" width="0.875" style="126" customWidth="1"/>
    <col min="12322" max="12323" width="1.75" style="126" customWidth="1"/>
    <col min="12324" max="12325" width="0.875" style="126" customWidth="1"/>
    <col min="12326" max="12327" width="1.75" style="126" customWidth="1"/>
    <col min="12328" max="12329" width="0.875" style="126" customWidth="1"/>
    <col min="12330" max="12331" width="1.75" style="126" customWidth="1"/>
    <col min="12332" max="12333" width="0.875" style="126" customWidth="1"/>
    <col min="12334" max="12335" width="1.75" style="126" customWidth="1"/>
    <col min="12336" max="12337" width="0.875" style="126" customWidth="1"/>
    <col min="12338" max="12339" width="1.75" style="126" customWidth="1"/>
    <col min="12340" max="12341" width="0.875" style="126" customWidth="1"/>
    <col min="12342" max="12343" width="1.75" style="126" customWidth="1"/>
    <col min="12344" max="12345" width="0.875" style="126" customWidth="1"/>
    <col min="12346" max="12347" width="1.75" style="126" customWidth="1"/>
    <col min="12348" max="12349" width="0.875" style="126" customWidth="1"/>
    <col min="12350" max="12351" width="1.75" style="126" customWidth="1"/>
    <col min="12352" max="12352" width="0.875" style="126" customWidth="1"/>
    <col min="12353" max="12353" width="2.5" style="126" customWidth="1"/>
    <col min="12354" max="12354" width="4" style="126" customWidth="1"/>
    <col min="12355" max="12355" width="2.875" style="126" customWidth="1"/>
    <col min="12356" max="12356" width="4.5" style="126" bestFit="1" customWidth="1"/>
    <col min="12357" max="12357" width="2.25" style="126" bestFit="1" customWidth="1"/>
    <col min="12358" max="12364" width="3" style="126" bestFit="1" customWidth="1"/>
    <col min="12365" max="12368" width="4" style="126" bestFit="1" customWidth="1"/>
    <col min="12369" max="12544" width="9" style="126"/>
    <col min="12545" max="12545" width="6.75" style="126" customWidth="1"/>
    <col min="12546" max="12547" width="1.75" style="126" customWidth="1"/>
    <col min="12548" max="12549" width="0.875" style="126" customWidth="1"/>
    <col min="12550" max="12550" width="1.625" style="126" customWidth="1"/>
    <col min="12551" max="12551" width="1.875" style="126" customWidth="1"/>
    <col min="12552" max="12553" width="0.875" style="126" customWidth="1"/>
    <col min="12554" max="12555" width="1.75" style="126" customWidth="1"/>
    <col min="12556" max="12557" width="0.875" style="126" customWidth="1"/>
    <col min="12558" max="12559" width="1.75" style="126" customWidth="1"/>
    <col min="12560" max="12561" width="0.875" style="126" customWidth="1"/>
    <col min="12562" max="12563" width="1.75" style="126" customWidth="1"/>
    <col min="12564" max="12565" width="0.875" style="126" customWidth="1"/>
    <col min="12566" max="12567" width="1.75" style="126" customWidth="1"/>
    <col min="12568" max="12569" width="0.875" style="126" customWidth="1"/>
    <col min="12570" max="12571" width="1.75" style="126" customWidth="1"/>
    <col min="12572" max="12573" width="0.875" style="126" customWidth="1"/>
    <col min="12574" max="12575" width="1.75" style="126" customWidth="1"/>
    <col min="12576" max="12577" width="0.875" style="126" customWidth="1"/>
    <col min="12578" max="12579" width="1.75" style="126" customWidth="1"/>
    <col min="12580" max="12581" width="0.875" style="126" customWidth="1"/>
    <col min="12582" max="12583" width="1.75" style="126" customWidth="1"/>
    <col min="12584" max="12585" width="0.875" style="126" customWidth="1"/>
    <col min="12586" max="12587" width="1.75" style="126" customWidth="1"/>
    <col min="12588" max="12589" width="0.875" style="126" customWidth="1"/>
    <col min="12590" max="12591" width="1.75" style="126" customWidth="1"/>
    <col min="12592" max="12593" width="0.875" style="126" customWidth="1"/>
    <col min="12594" max="12595" width="1.75" style="126" customWidth="1"/>
    <col min="12596" max="12597" width="0.875" style="126" customWidth="1"/>
    <col min="12598" max="12599" width="1.75" style="126" customWidth="1"/>
    <col min="12600" max="12601" width="0.875" style="126" customWidth="1"/>
    <col min="12602" max="12603" width="1.75" style="126" customWidth="1"/>
    <col min="12604" max="12605" width="0.875" style="126" customWidth="1"/>
    <col min="12606" max="12607" width="1.75" style="126" customWidth="1"/>
    <col min="12608" max="12608" width="0.875" style="126" customWidth="1"/>
    <col min="12609" max="12609" width="2.5" style="126" customWidth="1"/>
    <col min="12610" max="12610" width="4" style="126" customWidth="1"/>
    <col min="12611" max="12611" width="2.875" style="126" customWidth="1"/>
    <col min="12612" max="12612" width="4.5" style="126" bestFit="1" customWidth="1"/>
    <col min="12613" max="12613" width="2.25" style="126" bestFit="1" customWidth="1"/>
    <col min="12614" max="12620" width="3" style="126" bestFit="1" customWidth="1"/>
    <col min="12621" max="12624" width="4" style="126" bestFit="1" customWidth="1"/>
    <col min="12625" max="12800" width="9" style="126"/>
    <col min="12801" max="12801" width="6.75" style="126" customWidth="1"/>
    <col min="12802" max="12803" width="1.75" style="126" customWidth="1"/>
    <col min="12804" max="12805" width="0.875" style="126" customWidth="1"/>
    <col min="12806" max="12806" width="1.625" style="126" customWidth="1"/>
    <col min="12807" max="12807" width="1.875" style="126" customWidth="1"/>
    <col min="12808" max="12809" width="0.875" style="126" customWidth="1"/>
    <col min="12810" max="12811" width="1.75" style="126" customWidth="1"/>
    <col min="12812" max="12813" width="0.875" style="126" customWidth="1"/>
    <col min="12814" max="12815" width="1.75" style="126" customWidth="1"/>
    <col min="12816" max="12817" width="0.875" style="126" customWidth="1"/>
    <col min="12818" max="12819" width="1.75" style="126" customWidth="1"/>
    <col min="12820" max="12821" width="0.875" style="126" customWidth="1"/>
    <col min="12822" max="12823" width="1.75" style="126" customWidth="1"/>
    <col min="12824" max="12825" width="0.875" style="126" customWidth="1"/>
    <col min="12826" max="12827" width="1.75" style="126" customWidth="1"/>
    <col min="12828" max="12829" width="0.875" style="126" customWidth="1"/>
    <col min="12830" max="12831" width="1.75" style="126" customWidth="1"/>
    <col min="12832" max="12833" width="0.875" style="126" customWidth="1"/>
    <col min="12834" max="12835" width="1.75" style="126" customWidth="1"/>
    <col min="12836" max="12837" width="0.875" style="126" customWidth="1"/>
    <col min="12838" max="12839" width="1.75" style="126" customWidth="1"/>
    <col min="12840" max="12841" width="0.875" style="126" customWidth="1"/>
    <col min="12842" max="12843" width="1.75" style="126" customWidth="1"/>
    <col min="12844" max="12845" width="0.875" style="126" customWidth="1"/>
    <col min="12846" max="12847" width="1.75" style="126" customWidth="1"/>
    <col min="12848" max="12849" width="0.875" style="126" customWidth="1"/>
    <col min="12850" max="12851" width="1.75" style="126" customWidth="1"/>
    <col min="12852" max="12853" width="0.875" style="126" customWidth="1"/>
    <col min="12854" max="12855" width="1.75" style="126" customWidth="1"/>
    <col min="12856" max="12857" width="0.875" style="126" customWidth="1"/>
    <col min="12858" max="12859" width="1.75" style="126" customWidth="1"/>
    <col min="12860" max="12861" width="0.875" style="126" customWidth="1"/>
    <col min="12862" max="12863" width="1.75" style="126" customWidth="1"/>
    <col min="12864" max="12864" width="0.875" style="126" customWidth="1"/>
    <col min="12865" max="12865" width="2.5" style="126" customWidth="1"/>
    <col min="12866" max="12866" width="4" style="126" customWidth="1"/>
    <col min="12867" max="12867" width="2.875" style="126" customWidth="1"/>
    <col min="12868" max="12868" width="4.5" style="126" bestFit="1" customWidth="1"/>
    <col min="12869" max="12869" width="2.25" style="126" bestFit="1" customWidth="1"/>
    <col min="12870" max="12876" width="3" style="126" bestFit="1" customWidth="1"/>
    <col min="12877" max="12880" width="4" style="126" bestFit="1" customWidth="1"/>
    <col min="12881" max="13056" width="9" style="126"/>
    <col min="13057" max="13057" width="6.75" style="126" customWidth="1"/>
    <col min="13058" max="13059" width="1.75" style="126" customWidth="1"/>
    <col min="13060" max="13061" width="0.875" style="126" customWidth="1"/>
    <col min="13062" max="13062" width="1.625" style="126" customWidth="1"/>
    <col min="13063" max="13063" width="1.875" style="126" customWidth="1"/>
    <col min="13064" max="13065" width="0.875" style="126" customWidth="1"/>
    <col min="13066" max="13067" width="1.75" style="126" customWidth="1"/>
    <col min="13068" max="13069" width="0.875" style="126" customWidth="1"/>
    <col min="13070" max="13071" width="1.75" style="126" customWidth="1"/>
    <col min="13072" max="13073" width="0.875" style="126" customWidth="1"/>
    <col min="13074" max="13075" width="1.75" style="126" customWidth="1"/>
    <col min="13076" max="13077" width="0.875" style="126" customWidth="1"/>
    <col min="13078" max="13079" width="1.75" style="126" customWidth="1"/>
    <col min="13080" max="13081" width="0.875" style="126" customWidth="1"/>
    <col min="13082" max="13083" width="1.75" style="126" customWidth="1"/>
    <col min="13084" max="13085" width="0.875" style="126" customWidth="1"/>
    <col min="13086" max="13087" width="1.75" style="126" customWidth="1"/>
    <col min="13088" max="13089" width="0.875" style="126" customWidth="1"/>
    <col min="13090" max="13091" width="1.75" style="126" customWidth="1"/>
    <col min="13092" max="13093" width="0.875" style="126" customWidth="1"/>
    <col min="13094" max="13095" width="1.75" style="126" customWidth="1"/>
    <col min="13096" max="13097" width="0.875" style="126" customWidth="1"/>
    <col min="13098" max="13099" width="1.75" style="126" customWidth="1"/>
    <col min="13100" max="13101" width="0.875" style="126" customWidth="1"/>
    <col min="13102" max="13103" width="1.75" style="126" customWidth="1"/>
    <col min="13104" max="13105" width="0.875" style="126" customWidth="1"/>
    <col min="13106" max="13107" width="1.75" style="126" customWidth="1"/>
    <col min="13108" max="13109" width="0.875" style="126" customWidth="1"/>
    <col min="13110" max="13111" width="1.75" style="126" customWidth="1"/>
    <col min="13112" max="13113" width="0.875" style="126" customWidth="1"/>
    <col min="13114" max="13115" width="1.75" style="126" customWidth="1"/>
    <col min="13116" max="13117" width="0.875" style="126" customWidth="1"/>
    <col min="13118" max="13119" width="1.75" style="126" customWidth="1"/>
    <col min="13120" max="13120" width="0.875" style="126" customWidth="1"/>
    <col min="13121" max="13121" width="2.5" style="126" customWidth="1"/>
    <col min="13122" max="13122" width="4" style="126" customWidth="1"/>
    <col min="13123" max="13123" width="2.875" style="126" customWidth="1"/>
    <col min="13124" max="13124" width="4.5" style="126" bestFit="1" customWidth="1"/>
    <col min="13125" max="13125" width="2.25" style="126" bestFit="1" customWidth="1"/>
    <col min="13126" max="13132" width="3" style="126" bestFit="1" customWidth="1"/>
    <col min="13133" max="13136" width="4" style="126" bestFit="1" customWidth="1"/>
    <col min="13137" max="13312" width="9" style="126"/>
    <col min="13313" max="13313" width="6.75" style="126" customWidth="1"/>
    <col min="13314" max="13315" width="1.75" style="126" customWidth="1"/>
    <col min="13316" max="13317" width="0.875" style="126" customWidth="1"/>
    <col min="13318" max="13318" width="1.625" style="126" customWidth="1"/>
    <col min="13319" max="13319" width="1.875" style="126" customWidth="1"/>
    <col min="13320" max="13321" width="0.875" style="126" customWidth="1"/>
    <col min="13322" max="13323" width="1.75" style="126" customWidth="1"/>
    <col min="13324" max="13325" width="0.875" style="126" customWidth="1"/>
    <col min="13326" max="13327" width="1.75" style="126" customWidth="1"/>
    <col min="13328" max="13329" width="0.875" style="126" customWidth="1"/>
    <col min="13330" max="13331" width="1.75" style="126" customWidth="1"/>
    <col min="13332" max="13333" width="0.875" style="126" customWidth="1"/>
    <col min="13334" max="13335" width="1.75" style="126" customWidth="1"/>
    <col min="13336" max="13337" width="0.875" style="126" customWidth="1"/>
    <col min="13338" max="13339" width="1.75" style="126" customWidth="1"/>
    <col min="13340" max="13341" width="0.875" style="126" customWidth="1"/>
    <col min="13342" max="13343" width="1.75" style="126" customWidth="1"/>
    <col min="13344" max="13345" width="0.875" style="126" customWidth="1"/>
    <col min="13346" max="13347" width="1.75" style="126" customWidth="1"/>
    <col min="13348" max="13349" width="0.875" style="126" customWidth="1"/>
    <col min="13350" max="13351" width="1.75" style="126" customWidth="1"/>
    <col min="13352" max="13353" width="0.875" style="126" customWidth="1"/>
    <col min="13354" max="13355" width="1.75" style="126" customWidth="1"/>
    <col min="13356" max="13357" width="0.875" style="126" customWidth="1"/>
    <col min="13358" max="13359" width="1.75" style="126" customWidth="1"/>
    <col min="13360" max="13361" width="0.875" style="126" customWidth="1"/>
    <col min="13362" max="13363" width="1.75" style="126" customWidth="1"/>
    <col min="13364" max="13365" width="0.875" style="126" customWidth="1"/>
    <col min="13366" max="13367" width="1.75" style="126" customWidth="1"/>
    <col min="13368" max="13369" width="0.875" style="126" customWidth="1"/>
    <col min="13370" max="13371" width="1.75" style="126" customWidth="1"/>
    <col min="13372" max="13373" width="0.875" style="126" customWidth="1"/>
    <col min="13374" max="13375" width="1.75" style="126" customWidth="1"/>
    <col min="13376" max="13376" width="0.875" style="126" customWidth="1"/>
    <col min="13377" max="13377" width="2.5" style="126" customWidth="1"/>
    <col min="13378" max="13378" width="4" style="126" customWidth="1"/>
    <col min="13379" max="13379" width="2.875" style="126" customWidth="1"/>
    <col min="13380" max="13380" width="4.5" style="126" bestFit="1" customWidth="1"/>
    <col min="13381" max="13381" width="2.25" style="126" bestFit="1" customWidth="1"/>
    <col min="13382" max="13388" width="3" style="126" bestFit="1" customWidth="1"/>
    <col min="13389" max="13392" width="4" style="126" bestFit="1" customWidth="1"/>
    <col min="13393" max="13568" width="9" style="126"/>
    <col min="13569" max="13569" width="6.75" style="126" customWidth="1"/>
    <col min="13570" max="13571" width="1.75" style="126" customWidth="1"/>
    <col min="13572" max="13573" width="0.875" style="126" customWidth="1"/>
    <col min="13574" max="13574" width="1.625" style="126" customWidth="1"/>
    <col min="13575" max="13575" width="1.875" style="126" customWidth="1"/>
    <col min="13576" max="13577" width="0.875" style="126" customWidth="1"/>
    <col min="13578" max="13579" width="1.75" style="126" customWidth="1"/>
    <col min="13580" max="13581" width="0.875" style="126" customWidth="1"/>
    <col min="13582" max="13583" width="1.75" style="126" customWidth="1"/>
    <col min="13584" max="13585" width="0.875" style="126" customWidth="1"/>
    <col min="13586" max="13587" width="1.75" style="126" customWidth="1"/>
    <col min="13588" max="13589" width="0.875" style="126" customWidth="1"/>
    <col min="13590" max="13591" width="1.75" style="126" customWidth="1"/>
    <col min="13592" max="13593" width="0.875" style="126" customWidth="1"/>
    <col min="13594" max="13595" width="1.75" style="126" customWidth="1"/>
    <col min="13596" max="13597" width="0.875" style="126" customWidth="1"/>
    <col min="13598" max="13599" width="1.75" style="126" customWidth="1"/>
    <col min="13600" max="13601" width="0.875" style="126" customWidth="1"/>
    <col min="13602" max="13603" width="1.75" style="126" customWidth="1"/>
    <col min="13604" max="13605" width="0.875" style="126" customWidth="1"/>
    <col min="13606" max="13607" width="1.75" style="126" customWidth="1"/>
    <col min="13608" max="13609" width="0.875" style="126" customWidth="1"/>
    <col min="13610" max="13611" width="1.75" style="126" customWidth="1"/>
    <col min="13612" max="13613" width="0.875" style="126" customWidth="1"/>
    <col min="13614" max="13615" width="1.75" style="126" customWidth="1"/>
    <col min="13616" max="13617" width="0.875" style="126" customWidth="1"/>
    <col min="13618" max="13619" width="1.75" style="126" customWidth="1"/>
    <col min="13620" max="13621" width="0.875" style="126" customWidth="1"/>
    <col min="13622" max="13623" width="1.75" style="126" customWidth="1"/>
    <col min="13624" max="13625" width="0.875" style="126" customWidth="1"/>
    <col min="13626" max="13627" width="1.75" style="126" customWidth="1"/>
    <col min="13628" max="13629" width="0.875" style="126" customWidth="1"/>
    <col min="13630" max="13631" width="1.75" style="126" customWidth="1"/>
    <col min="13632" max="13632" width="0.875" style="126" customWidth="1"/>
    <col min="13633" max="13633" width="2.5" style="126" customWidth="1"/>
    <col min="13634" max="13634" width="4" style="126" customWidth="1"/>
    <col min="13635" max="13635" width="2.875" style="126" customWidth="1"/>
    <col min="13636" max="13636" width="4.5" style="126" bestFit="1" customWidth="1"/>
    <col min="13637" max="13637" width="2.25" style="126" bestFit="1" customWidth="1"/>
    <col min="13638" max="13644" width="3" style="126" bestFit="1" customWidth="1"/>
    <col min="13645" max="13648" width="4" style="126" bestFit="1" customWidth="1"/>
    <col min="13649" max="13824" width="9" style="126"/>
    <col min="13825" max="13825" width="6.75" style="126" customWidth="1"/>
    <col min="13826" max="13827" width="1.75" style="126" customWidth="1"/>
    <col min="13828" max="13829" width="0.875" style="126" customWidth="1"/>
    <col min="13830" max="13830" width="1.625" style="126" customWidth="1"/>
    <col min="13831" max="13831" width="1.875" style="126" customWidth="1"/>
    <col min="13832" max="13833" width="0.875" style="126" customWidth="1"/>
    <col min="13834" max="13835" width="1.75" style="126" customWidth="1"/>
    <col min="13836" max="13837" width="0.875" style="126" customWidth="1"/>
    <col min="13838" max="13839" width="1.75" style="126" customWidth="1"/>
    <col min="13840" max="13841" width="0.875" style="126" customWidth="1"/>
    <col min="13842" max="13843" width="1.75" style="126" customWidth="1"/>
    <col min="13844" max="13845" width="0.875" style="126" customWidth="1"/>
    <col min="13846" max="13847" width="1.75" style="126" customWidth="1"/>
    <col min="13848" max="13849" width="0.875" style="126" customWidth="1"/>
    <col min="13850" max="13851" width="1.75" style="126" customWidth="1"/>
    <col min="13852" max="13853" width="0.875" style="126" customWidth="1"/>
    <col min="13854" max="13855" width="1.75" style="126" customWidth="1"/>
    <col min="13856" max="13857" width="0.875" style="126" customWidth="1"/>
    <col min="13858" max="13859" width="1.75" style="126" customWidth="1"/>
    <col min="13860" max="13861" width="0.875" style="126" customWidth="1"/>
    <col min="13862" max="13863" width="1.75" style="126" customWidth="1"/>
    <col min="13864" max="13865" width="0.875" style="126" customWidth="1"/>
    <col min="13866" max="13867" width="1.75" style="126" customWidth="1"/>
    <col min="13868" max="13869" width="0.875" style="126" customWidth="1"/>
    <col min="13870" max="13871" width="1.75" style="126" customWidth="1"/>
    <col min="13872" max="13873" width="0.875" style="126" customWidth="1"/>
    <col min="13874" max="13875" width="1.75" style="126" customWidth="1"/>
    <col min="13876" max="13877" width="0.875" style="126" customWidth="1"/>
    <col min="13878" max="13879" width="1.75" style="126" customWidth="1"/>
    <col min="13880" max="13881" width="0.875" style="126" customWidth="1"/>
    <col min="13882" max="13883" width="1.75" style="126" customWidth="1"/>
    <col min="13884" max="13885" width="0.875" style="126" customWidth="1"/>
    <col min="13886" max="13887" width="1.75" style="126" customWidth="1"/>
    <col min="13888" max="13888" width="0.875" style="126" customWidth="1"/>
    <col min="13889" max="13889" width="2.5" style="126" customWidth="1"/>
    <col min="13890" max="13890" width="4" style="126" customWidth="1"/>
    <col min="13891" max="13891" width="2.875" style="126" customWidth="1"/>
    <col min="13892" max="13892" width="4.5" style="126" bestFit="1" customWidth="1"/>
    <col min="13893" max="13893" width="2.25" style="126" bestFit="1" customWidth="1"/>
    <col min="13894" max="13900" width="3" style="126" bestFit="1" customWidth="1"/>
    <col min="13901" max="13904" width="4" style="126" bestFit="1" customWidth="1"/>
    <col min="13905" max="14080" width="9" style="126"/>
    <col min="14081" max="14081" width="6.75" style="126" customWidth="1"/>
    <col min="14082" max="14083" width="1.75" style="126" customWidth="1"/>
    <col min="14084" max="14085" width="0.875" style="126" customWidth="1"/>
    <col min="14086" max="14086" width="1.625" style="126" customWidth="1"/>
    <col min="14087" max="14087" width="1.875" style="126" customWidth="1"/>
    <col min="14088" max="14089" width="0.875" style="126" customWidth="1"/>
    <col min="14090" max="14091" width="1.75" style="126" customWidth="1"/>
    <col min="14092" max="14093" width="0.875" style="126" customWidth="1"/>
    <col min="14094" max="14095" width="1.75" style="126" customWidth="1"/>
    <col min="14096" max="14097" width="0.875" style="126" customWidth="1"/>
    <col min="14098" max="14099" width="1.75" style="126" customWidth="1"/>
    <col min="14100" max="14101" width="0.875" style="126" customWidth="1"/>
    <col min="14102" max="14103" width="1.75" style="126" customWidth="1"/>
    <col min="14104" max="14105" width="0.875" style="126" customWidth="1"/>
    <col min="14106" max="14107" width="1.75" style="126" customWidth="1"/>
    <col min="14108" max="14109" width="0.875" style="126" customWidth="1"/>
    <col min="14110" max="14111" width="1.75" style="126" customWidth="1"/>
    <col min="14112" max="14113" width="0.875" style="126" customWidth="1"/>
    <col min="14114" max="14115" width="1.75" style="126" customWidth="1"/>
    <col min="14116" max="14117" width="0.875" style="126" customWidth="1"/>
    <col min="14118" max="14119" width="1.75" style="126" customWidth="1"/>
    <col min="14120" max="14121" width="0.875" style="126" customWidth="1"/>
    <col min="14122" max="14123" width="1.75" style="126" customWidth="1"/>
    <col min="14124" max="14125" width="0.875" style="126" customWidth="1"/>
    <col min="14126" max="14127" width="1.75" style="126" customWidth="1"/>
    <col min="14128" max="14129" width="0.875" style="126" customWidth="1"/>
    <col min="14130" max="14131" width="1.75" style="126" customWidth="1"/>
    <col min="14132" max="14133" width="0.875" style="126" customWidth="1"/>
    <col min="14134" max="14135" width="1.75" style="126" customWidth="1"/>
    <col min="14136" max="14137" width="0.875" style="126" customWidth="1"/>
    <col min="14138" max="14139" width="1.75" style="126" customWidth="1"/>
    <col min="14140" max="14141" width="0.875" style="126" customWidth="1"/>
    <col min="14142" max="14143" width="1.75" style="126" customWidth="1"/>
    <col min="14144" max="14144" width="0.875" style="126" customWidth="1"/>
    <col min="14145" max="14145" width="2.5" style="126" customWidth="1"/>
    <col min="14146" max="14146" width="4" style="126" customWidth="1"/>
    <col min="14147" max="14147" width="2.875" style="126" customWidth="1"/>
    <col min="14148" max="14148" width="4.5" style="126" bestFit="1" customWidth="1"/>
    <col min="14149" max="14149" width="2.25" style="126" bestFit="1" customWidth="1"/>
    <col min="14150" max="14156" width="3" style="126" bestFit="1" customWidth="1"/>
    <col min="14157" max="14160" width="4" style="126" bestFit="1" customWidth="1"/>
    <col min="14161" max="14336" width="9" style="126"/>
    <col min="14337" max="14337" width="6.75" style="126" customWidth="1"/>
    <col min="14338" max="14339" width="1.75" style="126" customWidth="1"/>
    <col min="14340" max="14341" width="0.875" style="126" customWidth="1"/>
    <col min="14342" max="14342" width="1.625" style="126" customWidth="1"/>
    <col min="14343" max="14343" width="1.875" style="126" customWidth="1"/>
    <col min="14344" max="14345" width="0.875" style="126" customWidth="1"/>
    <col min="14346" max="14347" width="1.75" style="126" customWidth="1"/>
    <col min="14348" max="14349" width="0.875" style="126" customWidth="1"/>
    <col min="14350" max="14351" width="1.75" style="126" customWidth="1"/>
    <col min="14352" max="14353" width="0.875" style="126" customWidth="1"/>
    <col min="14354" max="14355" width="1.75" style="126" customWidth="1"/>
    <col min="14356" max="14357" width="0.875" style="126" customWidth="1"/>
    <col min="14358" max="14359" width="1.75" style="126" customWidth="1"/>
    <col min="14360" max="14361" width="0.875" style="126" customWidth="1"/>
    <col min="14362" max="14363" width="1.75" style="126" customWidth="1"/>
    <col min="14364" max="14365" width="0.875" style="126" customWidth="1"/>
    <col min="14366" max="14367" width="1.75" style="126" customWidth="1"/>
    <col min="14368" max="14369" width="0.875" style="126" customWidth="1"/>
    <col min="14370" max="14371" width="1.75" style="126" customWidth="1"/>
    <col min="14372" max="14373" width="0.875" style="126" customWidth="1"/>
    <col min="14374" max="14375" width="1.75" style="126" customWidth="1"/>
    <col min="14376" max="14377" width="0.875" style="126" customWidth="1"/>
    <col min="14378" max="14379" width="1.75" style="126" customWidth="1"/>
    <col min="14380" max="14381" width="0.875" style="126" customWidth="1"/>
    <col min="14382" max="14383" width="1.75" style="126" customWidth="1"/>
    <col min="14384" max="14385" width="0.875" style="126" customWidth="1"/>
    <col min="14386" max="14387" width="1.75" style="126" customWidth="1"/>
    <col min="14388" max="14389" width="0.875" style="126" customWidth="1"/>
    <col min="14390" max="14391" width="1.75" style="126" customWidth="1"/>
    <col min="14392" max="14393" width="0.875" style="126" customWidth="1"/>
    <col min="14394" max="14395" width="1.75" style="126" customWidth="1"/>
    <col min="14396" max="14397" width="0.875" style="126" customWidth="1"/>
    <col min="14398" max="14399" width="1.75" style="126" customWidth="1"/>
    <col min="14400" max="14400" width="0.875" style="126" customWidth="1"/>
    <col min="14401" max="14401" width="2.5" style="126" customWidth="1"/>
    <col min="14402" max="14402" width="4" style="126" customWidth="1"/>
    <col min="14403" max="14403" width="2.875" style="126" customWidth="1"/>
    <col min="14404" max="14404" width="4.5" style="126" bestFit="1" customWidth="1"/>
    <col min="14405" max="14405" width="2.25" style="126" bestFit="1" customWidth="1"/>
    <col min="14406" max="14412" width="3" style="126" bestFit="1" customWidth="1"/>
    <col min="14413" max="14416" width="4" style="126" bestFit="1" customWidth="1"/>
    <col min="14417" max="14592" width="9" style="126"/>
    <col min="14593" max="14593" width="6.75" style="126" customWidth="1"/>
    <col min="14594" max="14595" width="1.75" style="126" customWidth="1"/>
    <col min="14596" max="14597" width="0.875" style="126" customWidth="1"/>
    <col min="14598" max="14598" width="1.625" style="126" customWidth="1"/>
    <col min="14599" max="14599" width="1.875" style="126" customWidth="1"/>
    <col min="14600" max="14601" width="0.875" style="126" customWidth="1"/>
    <col min="14602" max="14603" width="1.75" style="126" customWidth="1"/>
    <col min="14604" max="14605" width="0.875" style="126" customWidth="1"/>
    <col min="14606" max="14607" width="1.75" style="126" customWidth="1"/>
    <col min="14608" max="14609" width="0.875" style="126" customWidth="1"/>
    <col min="14610" max="14611" width="1.75" style="126" customWidth="1"/>
    <col min="14612" max="14613" width="0.875" style="126" customWidth="1"/>
    <col min="14614" max="14615" width="1.75" style="126" customWidth="1"/>
    <col min="14616" max="14617" width="0.875" style="126" customWidth="1"/>
    <col min="14618" max="14619" width="1.75" style="126" customWidth="1"/>
    <col min="14620" max="14621" width="0.875" style="126" customWidth="1"/>
    <col min="14622" max="14623" width="1.75" style="126" customWidth="1"/>
    <col min="14624" max="14625" width="0.875" style="126" customWidth="1"/>
    <col min="14626" max="14627" width="1.75" style="126" customWidth="1"/>
    <col min="14628" max="14629" width="0.875" style="126" customWidth="1"/>
    <col min="14630" max="14631" width="1.75" style="126" customWidth="1"/>
    <col min="14632" max="14633" width="0.875" style="126" customWidth="1"/>
    <col min="14634" max="14635" width="1.75" style="126" customWidth="1"/>
    <col min="14636" max="14637" width="0.875" style="126" customWidth="1"/>
    <col min="14638" max="14639" width="1.75" style="126" customWidth="1"/>
    <col min="14640" max="14641" width="0.875" style="126" customWidth="1"/>
    <col min="14642" max="14643" width="1.75" style="126" customWidth="1"/>
    <col min="14644" max="14645" width="0.875" style="126" customWidth="1"/>
    <col min="14646" max="14647" width="1.75" style="126" customWidth="1"/>
    <col min="14648" max="14649" width="0.875" style="126" customWidth="1"/>
    <col min="14650" max="14651" width="1.75" style="126" customWidth="1"/>
    <col min="14652" max="14653" width="0.875" style="126" customWidth="1"/>
    <col min="14654" max="14655" width="1.75" style="126" customWidth="1"/>
    <col min="14656" max="14656" width="0.875" style="126" customWidth="1"/>
    <col min="14657" max="14657" width="2.5" style="126" customWidth="1"/>
    <col min="14658" max="14658" width="4" style="126" customWidth="1"/>
    <col min="14659" max="14659" width="2.875" style="126" customWidth="1"/>
    <col min="14660" max="14660" width="4.5" style="126" bestFit="1" customWidth="1"/>
    <col min="14661" max="14661" width="2.25" style="126" bestFit="1" customWidth="1"/>
    <col min="14662" max="14668" width="3" style="126" bestFit="1" customWidth="1"/>
    <col min="14669" max="14672" width="4" style="126" bestFit="1" customWidth="1"/>
    <col min="14673" max="14848" width="9" style="126"/>
    <col min="14849" max="14849" width="6.75" style="126" customWidth="1"/>
    <col min="14850" max="14851" width="1.75" style="126" customWidth="1"/>
    <col min="14852" max="14853" width="0.875" style="126" customWidth="1"/>
    <col min="14854" max="14854" width="1.625" style="126" customWidth="1"/>
    <col min="14855" max="14855" width="1.875" style="126" customWidth="1"/>
    <col min="14856" max="14857" width="0.875" style="126" customWidth="1"/>
    <col min="14858" max="14859" width="1.75" style="126" customWidth="1"/>
    <col min="14860" max="14861" width="0.875" style="126" customWidth="1"/>
    <col min="14862" max="14863" width="1.75" style="126" customWidth="1"/>
    <col min="14864" max="14865" width="0.875" style="126" customWidth="1"/>
    <col min="14866" max="14867" width="1.75" style="126" customWidth="1"/>
    <col min="14868" max="14869" width="0.875" style="126" customWidth="1"/>
    <col min="14870" max="14871" width="1.75" style="126" customWidth="1"/>
    <col min="14872" max="14873" width="0.875" style="126" customWidth="1"/>
    <col min="14874" max="14875" width="1.75" style="126" customWidth="1"/>
    <col min="14876" max="14877" width="0.875" style="126" customWidth="1"/>
    <col min="14878" max="14879" width="1.75" style="126" customWidth="1"/>
    <col min="14880" max="14881" width="0.875" style="126" customWidth="1"/>
    <col min="14882" max="14883" width="1.75" style="126" customWidth="1"/>
    <col min="14884" max="14885" width="0.875" style="126" customWidth="1"/>
    <col min="14886" max="14887" width="1.75" style="126" customWidth="1"/>
    <col min="14888" max="14889" width="0.875" style="126" customWidth="1"/>
    <col min="14890" max="14891" width="1.75" style="126" customWidth="1"/>
    <col min="14892" max="14893" width="0.875" style="126" customWidth="1"/>
    <col min="14894" max="14895" width="1.75" style="126" customWidth="1"/>
    <col min="14896" max="14897" width="0.875" style="126" customWidth="1"/>
    <col min="14898" max="14899" width="1.75" style="126" customWidth="1"/>
    <col min="14900" max="14901" width="0.875" style="126" customWidth="1"/>
    <col min="14902" max="14903" width="1.75" style="126" customWidth="1"/>
    <col min="14904" max="14905" width="0.875" style="126" customWidth="1"/>
    <col min="14906" max="14907" width="1.75" style="126" customWidth="1"/>
    <col min="14908" max="14909" width="0.875" style="126" customWidth="1"/>
    <col min="14910" max="14911" width="1.75" style="126" customWidth="1"/>
    <col min="14912" max="14912" width="0.875" style="126" customWidth="1"/>
    <col min="14913" max="14913" width="2.5" style="126" customWidth="1"/>
    <col min="14914" max="14914" width="4" style="126" customWidth="1"/>
    <col min="14915" max="14915" width="2.875" style="126" customWidth="1"/>
    <col min="14916" max="14916" width="4.5" style="126" bestFit="1" customWidth="1"/>
    <col min="14917" max="14917" width="2.25" style="126" bestFit="1" customWidth="1"/>
    <col min="14918" max="14924" width="3" style="126" bestFit="1" customWidth="1"/>
    <col min="14925" max="14928" width="4" style="126" bestFit="1" customWidth="1"/>
    <col min="14929" max="15104" width="9" style="126"/>
    <col min="15105" max="15105" width="6.75" style="126" customWidth="1"/>
    <col min="15106" max="15107" width="1.75" style="126" customWidth="1"/>
    <col min="15108" max="15109" width="0.875" style="126" customWidth="1"/>
    <col min="15110" max="15110" width="1.625" style="126" customWidth="1"/>
    <col min="15111" max="15111" width="1.875" style="126" customWidth="1"/>
    <col min="15112" max="15113" width="0.875" style="126" customWidth="1"/>
    <col min="15114" max="15115" width="1.75" style="126" customWidth="1"/>
    <col min="15116" max="15117" width="0.875" style="126" customWidth="1"/>
    <col min="15118" max="15119" width="1.75" style="126" customWidth="1"/>
    <col min="15120" max="15121" width="0.875" style="126" customWidth="1"/>
    <col min="15122" max="15123" width="1.75" style="126" customWidth="1"/>
    <col min="15124" max="15125" width="0.875" style="126" customWidth="1"/>
    <col min="15126" max="15127" width="1.75" style="126" customWidth="1"/>
    <col min="15128" max="15129" width="0.875" style="126" customWidth="1"/>
    <col min="15130" max="15131" width="1.75" style="126" customWidth="1"/>
    <col min="15132" max="15133" width="0.875" style="126" customWidth="1"/>
    <col min="15134" max="15135" width="1.75" style="126" customWidth="1"/>
    <col min="15136" max="15137" width="0.875" style="126" customWidth="1"/>
    <col min="15138" max="15139" width="1.75" style="126" customWidth="1"/>
    <col min="15140" max="15141" width="0.875" style="126" customWidth="1"/>
    <col min="15142" max="15143" width="1.75" style="126" customWidth="1"/>
    <col min="15144" max="15145" width="0.875" style="126" customWidth="1"/>
    <col min="15146" max="15147" width="1.75" style="126" customWidth="1"/>
    <col min="15148" max="15149" width="0.875" style="126" customWidth="1"/>
    <col min="15150" max="15151" width="1.75" style="126" customWidth="1"/>
    <col min="15152" max="15153" width="0.875" style="126" customWidth="1"/>
    <col min="15154" max="15155" width="1.75" style="126" customWidth="1"/>
    <col min="15156" max="15157" width="0.875" style="126" customWidth="1"/>
    <col min="15158" max="15159" width="1.75" style="126" customWidth="1"/>
    <col min="15160" max="15161" width="0.875" style="126" customWidth="1"/>
    <col min="15162" max="15163" width="1.75" style="126" customWidth="1"/>
    <col min="15164" max="15165" width="0.875" style="126" customWidth="1"/>
    <col min="15166" max="15167" width="1.75" style="126" customWidth="1"/>
    <col min="15168" max="15168" width="0.875" style="126" customWidth="1"/>
    <col min="15169" max="15169" width="2.5" style="126" customWidth="1"/>
    <col min="15170" max="15170" width="4" style="126" customWidth="1"/>
    <col min="15171" max="15171" width="2.875" style="126" customWidth="1"/>
    <col min="15172" max="15172" width="4.5" style="126" bestFit="1" customWidth="1"/>
    <col min="15173" max="15173" width="2.25" style="126" bestFit="1" customWidth="1"/>
    <col min="15174" max="15180" width="3" style="126" bestFit="1" customWidth="1"/>
    <col min="15181" max="15184" width="4" style="126" bestFit="1" customWidth="1"/>
    <col min="15185" max="15360" width="9" style="126"/>
    <col min="15361" max="15361" width="6.75" style="126" customWidth="1"/>
    <col min="15362" max="15363" width="1.75" style="126" customWidth="1"/>
    <col min="15364" max="15365" width="0.875" style="126" customWidth="1"/>
    <col min="15366" max="15366" width="1.625" style="126" customWidth="1"/>
    <col min="15367" max="15367" width="1.875" style="126" customWidth="1"/>
    <col min="15368" max="15369" width="0.875" style="126" customWidth="1"/>
    <col min="15370" max="15371" width="1.75" style="126" customWidth="1"/>
    <col min="15372" max="15373" width="0.875" style="126" customWidth="1"/>
    <col min="15374" max="15375" width="1.75" style="126" customWidth="1"/>
    <col min="15376" max="15377" width="0.875" style="126" customWidth="1"/>
    <col min="15378" max="15379" width="1.75" style="126" customWidth="1"/>
    <col min="15380" max="15381" width="0.875" style="126" customWidth="1"/>
    <col min="15382" max="15383" width="1.75" style="126" customWidth="1"/>
    <col min="15384" max="15385" width="0.875" style="126" customWidth="1"/>
    <col min="15386" max="15387" width="1.75" style="126" customWidth="1"/>
    <col min="15388" max="15389" width="0.875" style="126" customWidth="1"/>
    <col min="15390" max="15391" width="1.75" style="126" customWidth="1"/>
    <col min="15392" max="15393" width="0.875" style="126" customWidth="1"/>
    <col min="15394" max="15395" width="1.75" style="126" customWidth="1"/>
    <col min="15396" max="15397" width="0.875" style="126" customWidth="1"/>
    <col min="15398" max="15399" width="1.75" style="126" customWidth="1"/>
    <col min="15400" max="15401" width="0.875" style="126" customWidth="1"/>
    <col min="15402" max="15403" width="1.75" style="126" customWidth="1"/>
    <col min="15404" max="15405" width="0.875" style="126" customWidth="1"/>
    <col min="15406" max="15407" width="1.75" style="126" customWidth="1"/>
    <col min="15408" max="15409" width="0.875" style="126" customWidth="1"/>
    <col min="15410" max="15411" width="1.75" style="126" customWidth="1"/>
    <col min="15412" max="15413" width="0.875" style="126" customWidth="1"/>
    <col min="15414" max="15415" width="1.75" style="126" customWidth="1"/>
    <col min="15416" max="15417" width="0.875" style="126" customWidth="1"/>
    <col min="15418" max="15419" width="1.75" style="126" customWidth="1"/>
    <col min="15420" max="15421" width="0.875" style="126" customWidth="1"/>
    <col min="15422" max="15423" width="1.75" style="126" customWidth="1"/>
    <col min="15424" max="15424" width="0.875" style="126" customWidth="1"/>
    <col min="15425" max="15425" width="2.5" style="126" customWidth="1"/>
    <col min="15426" max="15426" width="4" style="126" customWidth="1"/>
    <col min="15427" max="15427" width="2.875" style="126" customWidth="1"/>
    <col min="15428" max="15428" width="4.5" style="126" bestFit="1" customWidth="1"/>
    <col min="15429" max="15429" width="2.25" style="126" bestFit="1" customWidth="1"/>
    <col min="15430" max="15436" width="3" style="126" bestFit="1" customWidth="1"/>
    <col min="15437" max="15440" width="4" style="126" bestFit="1" customWidth="1"/>
    <col min="15441" max="15616" width="9" style="126"/>
    <col min="15617" max="15617" width="6.75" style="126" customWidth="1"/>
    <col min="15618" max="15619" width="1.75" style="126" customWidth="1"/>
    <col min="15620" max="15621" width="0.875" style="126" customWidth="1"/>
    <col min="15622" max="15622" width="1.625" style="126" customWidth="1"/>
    <col min="15623" max="15623" width="1.875" style="126" customWidth="1"/>
    <col min="15624" max="15625" width="0.875" style="126" customWidth="1"/>
    <col min="15626" max="15627" width="1.75" style="126" customWidth="1"/>
    <col min="15628" max="15629" width="0.875" style="126" customWidth="1"/>
    <col min="15630" max="15631" width="1.75" style="126" customWidth="1"/>
    <col min="15632" max="15633" width="0.875" style="126" customWidth="1"/>
    <col min="15634" max="15635" width="1.75" style="126" customWidth="1"/>
    <col min="15636" max="15637" width="0.875" style="126" customWidth="1"/>
    <col min="15638" max="15639" width="1.75" style="126" customWidth="1"/>
    <col min="15640" max="15641" width="0.875" style="126" customWidth="1"/>
    <col min="15642" max="15643" width="1.75" style="126" customWidth="1"/>
    <col min="15644" max="15645" width="0.875" style="126" customWidth="1"/>
    <col min="15646" max="15647" width="1.75" style="126" customWidth="1"/>
    <col min="15648" max="15649" width="0.875" style="126" customWidth="1"/>
    <col min="15650" max="15651" width="1.75" style="126" customWidth="1"/>
    <col min="15652" max="15653" width="0.875" style="126" customWidth="1"/>
    <col min="15654" max="15655" width="1.75" style="126" customWidth="1"/>
    <col min="15656" max="15657" width="0.875" style="126" customWidth="1"/>
    <col min="15658" max="15659" width="1.75" style="126" customWidth="1"/>
    <col min="15660" max="15661" width="0.875" style="126" customWidth="1"/>
    <col min="15662" max="15663" width="1.75" style="126" customWidth="1"/>
    <col min="15664" max="15665" width="0.875" style="126" customWidth="1"/>
    <col min="15666" max="15667" width="1.75" style="126" customWidth="1"/>
    <col min="15668" max="15669" width="0.875" style="126" customWidth="1"/>
    <col min="15670" max="15671" width="1.75" style="126" customWidth="1"/>
    <col min="15672" max="15673" width="0.875" style="126" customWidth="1"/>
    <col min="15674" max="15675" width="1.75" style="126" customWidth="1"/>
    <col min="15676" max="15677" width="0.875" style="126" customWidth="1"/>
    <col min="15678" max="15679" width="1.75" style="126" customWidth="1"/>
    <col min="15680" max="15680" width="0.875" style="126" customWidth="1"/>
    <col min="15681" max="15681" width="2.5" style="126" customWidth="1"/>
    <col min="15682" max="15682" width="4" style="126" customWidth="1"/>
    <col min="15683" max="15683" width="2.875" style="126" customWidth="1"/>
    <col min="15684" max="15684" width="4.5" style="126" bestFit="1" customWidth="1"/>
    <col min="15685" max="15685" width="2.25" style="126" bestFit="1" customWidth="1"/>
    <col min="15686" max="15692" width="3" style="126" bestFit="1" customWidth="1"/>
    <col min="15693" max="15696" width="4" style="126" bestFit="1" customWidth="1"/>
    <col min="15697" max="15872" width="9" style="126"/>
    <col min="15873" max="15873" width="6.75" style="126" customWidth="1"/>
    <col min="15874" max="15875" width="1.75" style="126" customWidth="1"/>
    <col min="15876" max="15877" width="0.875" style="126" customWidth="1"/>
    <col min="15878" max="15878" width="1.625" style="126" customWidth="1"/>
    <col min="15879" max="15879" width="1.875" style="126" customWidth="1"/>
    <col min="15880" max="15881" width="0.875" style="126" customWidth="1"/>
    <col min="15882" max="15883" width="1.75" style="126" customWidth="1"/>
    <col min="15884" max="15885" width="0.875" style="126" customWidth="1"/>
    <col min="15886" max="15887" width="1.75" style="126" customWidth="1"/>
    <col min="15888" max="15889" width="0.875" style="126" customWidth="1"/>
    <col min="15890" max="15891" width="1.75" style="126" customWidth="1"/>
    <col min="15892" max="15893" width="0.875" style="126" customWidth="1"/>
    <col min="15894" max="15895" width="1.75" style="126" customWidth="1"/>
    <col min="15896" max="15897" width="0.875" style="126" customWidth="1"/>
    <col min="15898" max="15899" width="1.75" style="126" customWidth="1"/>
    <col min="15900" max="15901" width="0.875" style="126" customWidth="1"/>
    <col min="15902" max="15903" width="1.75" style="126" customWidth="1"/>
    <col min="15904" max="15905" width="0.875" style="126" customWidth="1"/>
    <col min="15906" max="15907" width="1.75" style="126" customWidth="1"/>
    <col min="15908" max="15909" width="0.875" style="126" customWidth="1"/>
    <col min="15910" max="15911" width="1.75" style="126" customWidth="1"/>
    <col min="15912" max="15913" width="0.875" style="126" customWidth="1"/>
    <col min="15914" max="15915" width="1.75" style="126" customWidth="1"/>
    <col min="15916" max="15917" width="0.875" style="126" customWidth="1"/>
    <col min="15918" max="15919" width="1.75" style="126" customWidth="1"/>
    <col min="15920" max="15921" width="0.875" style="126" customWidth="1"/>
    <col min="15922" max="15923" width="1.75" style="126" customWidth="1"/>
    <col min="15924" max="15925" width="0.875" style="126" customWidth="1"/>
    <col min="15926" max="15927" width="1.75" style="126" customWidth="1"/>
    <col min="15928" max="15929" width="0.875" style="126" customWidth="1"/>
    <col min="15930" max="15931" width="1.75" style="126" customWidth="1"/>
    <col min="15932" max="15933" width="0.875" style="126" customWidth="1"/>
    <col min="15934" max="15935" width="1.75" style="126" customWidth="1"/>
    <col min="15936" max="15936" width="0.875" style="126" customWidth="1"/>
    <col min="15937" max="15937" width="2.5" style="126" customWidth="1"/>
    <col min="15938" max="15938" width="4" style="126" customWidth="1"/>
    <col min="15939" max="15939" width="2.875" style="126" customWidth="1"/>
    <col min="15940" max="15940" width="4.5" style="126" bestFit="1" customWidth="1"/>
    <col min="15941" max="15941" width="2.25" style="126" bestFit="1" customWidth="1"/>
    <col min="15942" max="15948" width="3" style="126" bestFit="1" customWidth="1"/>
    <col min="15949" max="15952" width="4" style="126" bestFit="1" customWidth="1"/>
    <col min="15953" max="16128" width="9" style="126"/>
    <col min="16129" max="16129" width="6.75" style="126" customWidth="1"/>
    <col min="16130" max="16131" width="1.75" style="126" customWidth="1"/>
    <col min="16132" max="16133" width="0.875" style="126" customWidth="1"/>
    <col min="16134" max="16134" width="1.625" style="126" customWidth="1"/>
    <col min="16135" max="16135" width="1.875" style="126" customWidth="1"/>
    <col min="16136" max="16137" width="0.875" style="126" customWidth="1"/>
    <col min="16138" max="16139" width="1.75" style="126" customWidth="1"/>
    <col min="16140" max="16141" width="0.875" style="126" customWidth="1"/>
    <col min="16142" max="16143" width="1.75" style="126" customWidth="1"/>
    <col min="16144" max="16145" width="0.875" style="126" customWidth="1"/>
    <col min="16146" max="16147" width="1.75" style="126" customWidth="1"/>
    <col min="16148" max="16149" width="0.875" style="126" customWidth="1"/>
    <col min="16150" max="16151" width="1.75" style="126" customWidth="1"/>
    <col min="16152" max="16153" width="0.875" style="126" customWidth="1"/>
    <col min="16154" max="16155" width="1.75" style="126" customWidth="1"/>
    <col min="16156" max="16157" width="0.875" style="126" customWidth="1"/>
    <col min="16158" max="16159" width="1.75" style="126" customWidth="1"/>
    <col min="16160" max="16161" width="0.875" style="126" customWidth="1"/>
    <col min="16162" max="16163" width="1.75" style="126" customWidth="1"/>
    <col min="16164" max="16165" width="0.875" style="126" customWidth="1"/>
    <col min="16166" max="16167" width="1.75" style="126" customWidth="1"/>
    <col min="16168" max="16169" width="0.875" style="126" customWidth="1"/>
    <col min="16170" max="16171" width="1.75" style="126" customWidth="1"/>
    <col min="16172" max="16173" width="0.875" style="126" customWidth="1"/>
    <col min="16174" max="16175" width="1.75" style="126" customWidth="1"/>
    <col min="16176" max="16177" width="0.875" style="126" customWidth="1"/>
    <col min="16178" max="16179" width="1.75" style="126" customWidth="1"/>
    <col min="16180" max="16181" width="0.875" style="126" customWidth="1"/>
    <col min="16182" max="16183" width="1.75" style="126" customWidth="1"/>
    <col min="16184" max="16185" width="0.875" style="126" customWidth="1"/>
    <col min="16186" max="16187" width="1.75" style="126" customWidth="1"/>
    <col min="16188" max="16189" width="0.875" style="126" customWidth="1"/>
    <col min="16190" max="16191" width="1.75" style="126" customWidth="1"/>
    <col min="16192" max="16192" width="0.875" style="126" customWidth="1"/>
    <col min="16193" max="16193" width="2.5" style="126" customWidth="1"/>
    <col min="16194" max="16194" width="4" style="126" customWidth="1"/>
    <col min="16195" max="16195" width="2.875" style="126" customWidth="1"/>
    <col min="16196" max="16196" width="4.5" style="126" bestFit="1" customWidth="1"/>
    <col min="16197" max="16197" width="2.25" style="126" bestFit="1" customWidth="1"/>
    <col min="16198" max="16204" width="3" style="126" bestFit="1" customWidth="1"/>
    <col min="16205" max="16208" width="4" style="126" bestFit="1" customWidth="1"/>
    <col min="16209" max="16384" width="9" style="126"/>
  </cols>
  <sheetData>
    <row r="1" spans="1:76" ht="19.5" x14ac:dyDescent="0.15">
      <c r="A1" s="214" t="str">
        <f ca="1">"令和"&amp;IF(YEAR(NOW())=2019,"元",YEAR(NOW())-2018)&amp;"年度 第"&amp;YEAR(NOW())-2000&amp;"回 石川県中学校新人サッカー大会 "&amp;IF(W9="","会場および試合開始時刻","試合結果")</f>
        <v>令和5年度 第23回 石川県中学校新人サッカー大会 会場および試合開始時刻</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row>
    <row r="2" spans="1:76" ht="39" customHeight="1" x14ac:dyDescent="0.2">
      <c r="AI2" s="127" t="str">
        <f ca="1">IF($W$9="","","令和"&amp;YEAR(NOW())-2017&amp;"年度 県体シード割り")</f>
        <v/>
      </c>
    </row>
    <row r="3" spans="1:76" ht="6.75" customHeight="1" x14ac:dyDescent="0.2">
      <c r="AI3" s="127"/>
    </row>
    <row r="4" spans="1:76" ht="15.75" customHeight="1" x14ac:dyDescent="0.15">
      <c r="B4" s="215" t="s">
        <v>191</v>
      </c>
      <c r="C4" s="215"/>
      <c r="D4" s="215"/>
      <c r="E4" s="215"/>
      <c r="F4" s="215"/>
      <c r="G4" s="128" t="str">
        <f>IF(AE13&gt;AH13,N15,AX15)</f>
        <v/>
      </c>
      <c r="H4" s="216" t="str">
        <f>IF($W$9="","",INDEX($B$69:$BK$72,2,MATCH(G4,$B$69:$BK$69,0)))</f>
        <v/>
      </c>
      <c r="I4" s="216"/>
      <c r="J4" s="216"/>
      <c r="K4" s="216"/>
      <c r="L4" s="216"/>
      <c r="M4" s="216"/>
      <c r="N4" s="216"/>
      <c r="O4" s="216"/>
      <c r="P4" s="216"/>
      <c r="Q4" s="216"/>
      <c r="R4" s="216"/>
      <c r="S4" s="216"/>
      <c r="T4" s="216"/>
      <c r="U4" s="216"/>
      <c r="V4" s="216"/>
      <c r="W4" s="216"/>
      <c r="X4" s="129"/>
      <c r="Y4" s="217" t="str">
        <f>IF($W$9="","","("&amp;INDEX(抽選!$F$3:$M$18,MATCH(G4,抽選!$F$3:$F$18,0),3)&amp;")")</f>
        <v/>
      </c>
      <c r="Z4" s="217"/>
      <c r="AA4" s="217"/>
      <c r="AB4" s="217"/>
      <c r="AC4" s="217"/>
      <c r="AD4" s="217"/>
      <c r="AE4" s="218" t="str">
        <f>IF(H4="","","第1シード：")</f>
        <v/>
      </c>
      <c r="AF4" s="218"/>
      <c r="AG4" s="218"/>
      <c r="AH4" s="218"/>
      <c r="AI4" s="218"/>
      <c r="AJ4" s="218"/>
      <c r="AK4" s="218"/>
      <c r="AL4" s="218"/>
      <c r="AM4" s="218"/>
      <c r="AN4" s="218"/>
      <c r="AO4" s="218"/>
      <c r="AP4" s="218"/>
      <c r="AQ4" s="130" t="str">
        <f>IF($W$9="","",INDEX(抽選!$F$3:$M$18,MATCH(G4,抽選!$F$3:$F$18,0),8))</f>
        <v/>
      </c>
      <c r="AR4" s="131"/>
      <c r="AT4" s="132"/>
      <c r="AU4" s="132"/>
      <c r="AV4" s="132"/>
      <c r="AW4" s="132"/>
      <c r="AX4" s="132"/>
      <c r="AY4" s="132"/>
      <c r="AZ4" s="132"/>
      <c r="BA4" s="132"/>
      <c r="BB4" s="133"/>
      <c r="BC4" s="132"/>
      <c r="BD4" s="132"/>
      <c r="BE4" s="132"/>
      <c r="BF4" s="132"/>
      <c r="BG4" s="132"/>
      <c r="BH4" s="132"/>
      <c r="BK4" s="128"/>
    </row>
    <row r="5" spans="1:76" ht="15.75" customHeight="1" x14ac:dyDescent="0.15">
      <c r="B5" s="215" t="s">
        <v>192</v>
      </c>
      <c r="C5" s="215"/>
      <c r="D5" s="215"/>
      <c r="E5" s="215"/>
      <c r="F5" s="215"/>
      <c r="G5" s="128" t="str">
        <f>IF(AE13&lt;AH13,N15,AX15)</f>
        <v/>
      </c>
      <c r="H5" s="216" t="str">
        <f>IF($W$9="","",INDEX($B$69:$BK$72,2,MATCH(G5,$B$69:$BK$69,0)))</f>
        <v/>
      </c>
      <c r="I5" s="216"/>
      <c r="J5" s="216"/>
      <c r="K5" s="216"/>
      <c r="L5" s="216"/>
      <c r="M5" s="216"/>
      <c r="N5" s="216"/>
      <c r="O5" s="216"/>
      <c r="P5" s="216"/>
      <c r="Q5" s="216"/>
      <c r="R5" s="216"/>
      <c r="S5" s="216"/>
      <c r="T5" s="216"/>
      <c r="U5" s="216"/>
      <c r="V5" s="216"/>
      <c r="W5" s="216"/>
      <c r="X5" s="129"/>
      <c r="Y5" s="217" t="str">
        <f>IF($W$9="","","("&amp;INDEX(抽選!$F$3:$M$18,MATCH(G5,抽選!$F$3:$F$18,0),3)&amp;")")</f>
        <v/>
      </c>
      <c r="Z5" s="217"/>
      <c r="AA5" s="217"/>
      <c r="AB5" s="217"/>
      <c r="AC5" s="217"/>
      <c r="AD5" s="217"/>
      <c r="AE5" s="218" t="str">
        <f>IF(H5="","","第2シード：")</f>
        <v/>
      </c>
      <c r="AF5" s="218"/>
      <c r="AG5" s="218"/>
      <c r="AH5" s="218"/>
      <c r="AI5" s="218"/>
      <c r="AJ5" s="218"/>
      <c r="AK5" s="218"/>
      <c r="AL5" s="218"/>
      <c r="AM5" s="218"/>
      <c r="AN5" s="218"/>
      <c r="AO5" s="218"/>
      <c r="AP5" s="218"/>
      <c r="AQ5" s="130" t="str">
        <f>IF($W$9="","",INDEX(抽選!$F$3:$M$18,MATCH(G5,抽選!$F$3:$F$18,0),8))</f>
        <v/>
      </c>
      <c r="AR5" s="131"/>
      <c r="AT5" s="132"/>
      <c r="AU5" s="132"/>
      <c r="AV5" s="132"/>
      <c r="AW5" s="132"/>
      <c r="AX5" s="132"/>
      <c r="AY5" s="132"/>
      <c r="AZ5" s="132"/>
      <c r="BA5" s="132"/>
      <c r="BB5" s="132"/>
      <c r="BC5" s="132"/>
      <c r="BD5" s="132"/>
      <c r="BE5" s="132"/>
      <c r="BF5" s="132"/>
      <c r="BG5" s="132"/>
      <c r="BH5" s="132"/>
      <c r="BK5" s="128"/>
    </row>
    <row r="6" spans="1:76" ht="15.75" customHeight="1" x14ac:dyDescent="0.15">
      <c r="B6" s="215" t="s">
        <v>193</v>
      </c>
      <c r="C6" s="215"/>
      <c r="D6" s="215"/>
      <c r="E6" s="215"/>
      <c r="F6" s="215"/>
      <c r="G6" s="128" t="str">
        <f>IF(OR(G4=F27,G4=Z27),IF(O25&gt;R25,Z27,F27),IF(AU25&gt;AX25,BF27,AL27))</f>
        <v/>
      </c>
      <c r="H6" s="216" t="str">
        <f>IF($W$9="","",INDEX($B$69:$BK$72,2,MATCH(G6,$B$69:$BK$69,0)))</f>
        <v/>
      </c>
      <c r="I6" s="216"/>
      <c r="J6" s="216"/>
      <c r="K6" s="216"/>
      <c r="L6" s="216"/>
      <c r="M6" s="216"/>
      <c r="N6" s="216"/>
      <c r="O6" s="216"/>
      <c r="P6" s="216"/>
      <c r="Q6" s="216"/>
      <c r="R6" s="216"/>
      <c r="S6" s="216"/>
      <c r="T6" s="216"/>
      <c r="U6" s="216"/>
      <c r="V6" s="216"/>
      <c r="W6" s="216"/>
      <c r="X6" s="129"/>
      <c r="Y6" s="217" t="str">
        <f>IF($W$9="","","("&amp;INDEX(抽選!$F$3:$M$18,MATCH(G6,抽選!$F$3:$F$18,0),3)&amp;")")</f>
        <v/>
      </c>
      <c r="Z6" s="217"/>
      <c r="AA6" s="217"/>
      <c r="AB6" s="217"/>
      <c r="AC6" s="217"/>
      <c r="AD6" s="217"/>
      <c r="AE6" s="218" t="str">
        <f>IF(H6="","","第3シード：")</f>
        <v/>
      </c>
      <c r="AF6" s="218"/>
      <c r="AG6" s="218"/>
      <c r="AH6" s="218"/>
      <c r="AI6" s="218"/>
      <c r="AJ6" s="218"/>
      <c r="AK6" s="218"/>
      <c r="AL6" s="218"/>
      <c r="AM6" s="218"/>
      <c r="AN6" s="218"/>
      <c r="AO6" s="218"/>
      <c r="AP6" s="218"/>
      <c r="AQ6" s="130" t="str">
        <f>IF($W$9="","",INDEX(抽選!$F$3:$M$18,MATCH(G6,抽選!$F$3:$F$18,0),8))</f>
        <v/>
      </c>
      <c r="AT6" s="132"/>
      <c r="AU6" s="132"/>
      <c r="AV6" s="132"/>
      <c r="AW6" s="132"/>
      <c r="AX6" s="132"/>
      <c r="AY6" s="132"/>
      <c r="AZ6" s="132"/>
      <c r="BA6" s="132"/>
      <c r="BB6" s="132"/>
      <c r="BC6" s="132"/>
      <c r="BD6" s="132"/>
      <c r="BE6" s="132"/>
      <c r="BF6" s="132"/>
      <c r="BG6" s="132"/>
      <c r="BH6" s="132"/>
      <c r="BK6" s="128"/>
    </row>
    <row r="7" spans="1:76" ht="15.75" customHeight="1" x14ac:dyDescent="0.15">
      <c r="D7" s="219"/>
      <c r="E7" s="219"/>
      <c r="F7" s="219"/>
      <c r="G7" s="128" t="str">
        <f>IF(OR(G4=F27,G4=Z27),IF(AU25&gt;AX25,BF27,AL27),IF(O25&gt;R25,Z27,F27))</f>
        <v/>
      </c>
      <c r="H7" s="216" t="str">
        <f>IF($W$9="","",INDEX($B$69:$BK$72,2,MATCH(G7,$B$69:$BK$69,0)))</f>
        <v/>
      </c>
      <c r="I7" s="216"/>
      <c r="J7" s="216"/>
      <c r="K7" s="216"/>
      <c r="L7" s="216"/>
      <c r="M7" s="216"/>
      <c r="N7" s="216"/>
      <c r="O7" s="216"/>
      <c r="P7" s="216"/>
      <c r="Q7" s="216"/>
      <c r="R7" s="216"/>
      <c r="S7" s="216"/>
      <c r="T7" s="216"/>
      <c r="U7" s="216"/>
      <c r="V7" s="216"/>
      <c r="W7" s="216"/>
      <c r="X7" s="129"/>
      <c r="Y7" s="217" t="str">
        <f>IF($W$9="","","("&amp;INDEX(抽選!$F$3:$M$18,MATCH(G7,抽選!$F$3:$F$18,0),3)&amp;")")</f>
        <v/>
      </c>
      <c r="Z7" s="217"/>
      <c r="AA7" s="217"/>
      <c r="AB7" s="217"/>
      <c r="AC7" s="217"/>
      <c r="AD7" s="217"/>
      <c r="AE7" s="218" t="str">
        <f>IF(H7="","","第4シード：")</f>
        <v/>
      </c>
      <c r="AF7" s="218"/>
      <c r="AG7" s="218"/>
      <c r="AH7" s="218"/>
      <c r="AI7" s="218"/>
      <c r="AJ7" s="218"/>
      <c r="AK7" s="218"/>
      <c r="AL7" s="218"/>
      <c r="AM7" s="218"/>
      <c r="AN7" s="218"/>
      <c r="AO7" s="218"/>
      <c r="AP7" s="218"/>
      <c r="AQ7" s="130" t="str">
        <f>IF($W$9="","",INDEX(抽選!$F$3:$M$18,MATCH(G7,抽選!$F$3:$F$18,0),8))</f>
        <v/>
      </c>
      <c r="AT7" s="132"/>
      <c r="AU7" s="132"/>
      <c r="AV7" s="132"/>
      <c r="AW7" s="132"/>
      <c r="AX7" s="132"/>
      <c r="AY7" s="132"/>
      <c r="AZ7" s="132"/>
      <c r="BA7" s="132"/>
      <c r="BB7" s="132"/>
      <c r="BC7" s="132"/>
      <c r="BD7" s="132"/>
      <c r="BE7" s="132"/>
      <c r="BF7" s="132"/>
      <c r="BG7" s="132"/>
      <c r="BH7" s="132"/>
      <c r="BI7" s="132"/>
      <c r="BJ7" s="132"/>
      <c r="BK7" s="132"/>
      <c r="BL7" s="132"/>
      <c r="BM7" s="132"/>
      <c r="BN7" s="132"/>
    </row>
    <row r="8" spans="1:76" ht="9.75" customHeight="1" x14ac:dyDescent="0.15">
      <c r="BP8" s="132">
        <f ca="1">YEAR(NOW())</f>
        <v>2023</v>
      </c>
      <c r="BQ8" s="132">
        <v>10</v>
      </c>
      <c r="BR8" s="132">
        <v>8</v>
      </c>
      <c r="BS8" s="132">
        <v>9</v>
      </c>
      <c r="BT8" s="132">
        <v>10</v>
      </c>
      <c r="BU8" s="132">
        <v>11</v>
      </c>
      <c r="BV8" s="132">
        <v>12</v>
      </c>
      <c r="BW8" s="132">
        <v>13</v>
      </c>
      <c r="BX8" s="132">
        <v>14</v>
      </c>
    </row>
    <row r="9" spans="1:76" ht="9.75" customHeight="1" x14ac:dyDescent="0.15">
      <c r="R9" s="220" t="s">
        <v>27</v>
      </c>
      <c r="S9" s="220"/>
      <c r="T9" s="220"/>
      <c r="U9" s="220"/>
      <c r="V9" s="220"/>
      <c r="W9" s="221" t="str">
        <f>IF(OR(AE13=AH13,AE15=""),"",INDEX($B$69:$BK$72,2,MATCH(IF(AE13&gt;AH13,N15,AX15),$B$69:$BK$69,0)))</f>
        <v/>
      </c>
      <c r="X9" s="221"/>
      <c r="Y9" s="221"/>
      <c r="Z9" s="221"/>
      <c r="AA9" s="221"/>
      <c r="AB9" s="221"/>
      <c r="AC9" s="221"/>
      <c r="AD9" s="221"/>
      <c r="AE9" s="221"/>
      <c r="AF9" s="221"/>
      <c r="AG9" s="221"/>
      <c r="AH9" s="221"/>
      <c r="AI9" s="221"/>
      <c r="AJ9" s="221"/>
      <c r="AK9" s="221"/>
      <c r="AL9" s="221"/>
      <c r="AM9" s="221"/>
      <c r="AN9" s="221"/>
      <c r="AO9" s="221"/>
      <c r="AP9" s="221"/>
      <c r="AQ9" s="222" t="str">
        <f>IF(W9="","","("&amp;INDEX(抽選!$F$3:$M$18,MATCH(IF(AE13&gt;AH13,N15,AX15),抽選!$F$3:$F$18,0),3)&amp;")")</f>
        <v/>
      </c>
      <c r="AR9" s="222"/>
      <c r="AS9" s="222"/>
      <c r="AT9" s="222"/>
      <c r="AU9" s="222"/>
      <c r="AV9" s="222"/>
      <c r="AW9" s="222"/>
      <c r="AX9" s="222"/>
      <c r="AY9" s="222"/>
      <c r="AZ9" s="134"/>
      <c r="BA9" s="134"/>
      <c r="BB9" s="134"/>
      <c r="BC9" s="134"/>
      <c r="BD9" s="134"/>
      <c r="BE9" s="134"/>
      <c r="BF9" s="134"/>
      <c r="BG9" s="134"/>
      <c r="BH9" s="134"/>
      <c r="BI9" s="134"/>
      <c r="BJ9" s="134"/>
      <c r="BK9" s="134"/>
      <c r="BL9" s="134"/>
      <c r="BM9" s="134"/>
      <c r="BN9" s="134"/>
      <c r="BP9" s="132"/>
      <c r="BQ9" s="132"/>
      <c r="BR9" s="132" t="str">
        <f ca="1">CHOOSE(WEEKDAY(DATE($BP$8,$BQ$8,BR8)),"","○","","","","","","")</f>
        <v/>
      </c>
      <c r="BS9" s="132" t="str">
        <f t="shared" ref="BS9:BX9" ca="1" si="0">CHOOSE(WEEKDAY(DATE($BP$8,$BQ$8,BS8)),"","○","","","","","","")</f>
        <v>○</v>
      </c>
      <c r="BT9" s="132" t="str">
        <f t="shared" ca="1" si="0"/>
        <v/>
      </c>
      <c r="BU9" s="132" t="str">
        <f t="shared" ca="1" si="0"/>
        <v/>
      </c>
      <c r="BV9" s="132" t="str">
        <f t="shared" ca="1" si="0"/>
        <v/>
      </c>
      <c r="BW9" s="132" t="str">
        <f t="shared" ca="1" si="0"/>
        <v/>
      </c>
      <c r="BX9" s="132" t="str">
        <f t="shared" ca="1" si="0"/>
        <v/>
      </c>
    </row>
    <row r="10" spans="1:76" ht="9.75" customHeight="1" x14ac:dyDescent="0.15">
      <c r="R10" s="220"/>
      <c r="S10" s="220"/>
      <c r="T10" s="220"/>
      <c r="U10" s="220"/>
      <c r="V10" s="220"/>
      <c r="W10" s="221"/>
      <c r="X10" s="221"/>
      <c r="Y10" s="221"/>
      <c r="Z10" s="221"/>
      <c r="AA10" s="221"/>
      <c r="AB10" s="221"/>
      <c r="AC10" s="221"/>
      <c r="AD10" s="221"/>
      <c r="AE10" s="221"/>
      <c r="AF10" s="221"/>
      <c r="AG10" s="221"/>
      <c r="AH10" s="221"/>
      <c r="AI10" s="221"/>
      <c r="AJ10" s="221"/>
      <c r="AK10" s="221"/>
      <c r="AL10" s="221"/>
      <c r="AM10" s="221"/>
      <c r="AN10" s="221"/>
      <c r="AO10" s="221"/>
      <c r="AP10" s="221"/>
      <c r="AQ10" s="222"/>
      <c r="AR10" s="222"/>
      <c r="AS10" s="222"/>
      <c r="AT10" s="222"/>
      <c r="AU10" s="222"/>
      <c r="AV10" s="222"/>
      <c r="AW10" s="222"/>
      <c r="AX10" s="222"/>
      <c r="AY10" s="222"/>
      <c r="AZ10" s="134"/>
      <c r="BA10" s="134"/>
      <c r="BB10" s="134"/>
      <c r="BC10" s="134"/>
      <c r="BD10" s="134"/>
      <c r="BE10" s="134"/>
      <c r="BF10" s="134"/>
      <c r="BG10" s="134"/>
      <c r="BH10" s="134"/>
      <c r="BI10" s="134"/>
      <c r="BJ10" s="134"/>
      <c r="BK10" s="134"/>
      <c r="BL10" s="134"/>
      <c r="BM10" s="134"/>
      <c r="BN10" s="134"/>
    </row>
    <row r="11" spans="1:76" s="132" customFormat="1" ht="5.25" customHeight="1" x14ac:dyDescent="0.15">
      <c r="A11" s="192" t="str">
        <f>IF($W$9="","【会場】","")</f>
        <v>【会場】</v>
      </c>
      <c r="B11" s="222" t="str">
        <f>IF($W$9="","","")</f>
        <v/>
      </c>
      <c r="C11" s="222"/>
      <c r="D11" s="222"/>
      <c r="E11" s="222"/>
      <c r="F11" s="222"/>
      <c r="G11" s="222"/>
      <c r="H11" s="222"/>
      <c r="I11" s="222"/>
      <c r="J11" s="222"/>
      <c r="K11" s="222"/>
      <c r="L11" s="222"/>
      <c r="M11" s="222"/>
      <c r="AF11" s="205"/>
      <c r="AL11" s="223" t="str">
        <f ca="1">IF(W9="","","【"&amp;INDEX(歴代優勝校!$D$2:$D$51,YEAR(NOW())-2000,1)&amp;"】")</f>
        <v/>
      </c>
      <c r="AM11" s="223"/>
      <c r="AN11" s="223"/>
      <c r="AO11" s="223"/>
      <c r="AP11" s="223"/>
      <c r="AQ11" s="223"/>
      <c r="AR11" s="223"/>
      <c r="AS11" s="223"/>
      <c r="AT11" s="223"/>
      <c r="AU11" s="223"/>
      <c r="AV11" s="223"/>
      <c r="AW11" s="223"/>
      <c r="AX11" s="223"/>
      <c r="AY11" s="223"/>
      <c r="AZ11" s="135"/>
      <c r="BA11" s="135"/>
      <c r="BB11" s="135"/>
      <c r="BC11" s="135"/>
      <c r="BD11" s="135"/>
      <c r="BE11" s="135"/>
      <c r="BF11" s="135"/>
      <c r="BG11" s="135"/>
      <c r="BH11" s="135"/>
      <c r="BI11" s="135"/>
      <c r="BJ11" s="135"/>
      <c r="BK11" s="135"/>
      <c r="BL11" s="135"/>
      <c r="BM11" s="135"/>
      <c r="BN11" s="135"/>
    </row>
    <row r="12" spans="1:76" s="132" customFormat="1" ht="9.75" customHeight="1" x14ac:dyDescent="0.15">
      <c r="A12" s="192"/>
      <c r="B12" s="222"/>
      <c r="C12" s="222"/>
      <c r="D12" s="222"/>
      <c r="E12" s="222"/>
      <c r="F12" s="222"/>
      <c r="G12" s="222"/>
      <c r="H12" s="222"/>
      <c r="I12" s="222"/>
      <c r="J12" s="222"/>
      <c r="K12" s="222"/>
      <c r="L12" s="222"/>
      <c r="M12" s="222"/>
      <c r="AD12" s="195" t="str">
        <f>IF(AE15="","",SUM(AE15:AE20))</f>
        <v/>
      </c>
      <c r="AE12" s="195"/>
      <c r="AF12" s="205"/>
      <c r="AH12" s="194" t="str">
        <f>IF(AH15="","",SUM(AH15:AH20))</f>
        <v/>
      </c>
      <c r="AI12" s="194"/>
      <c r="AL12" s="223"/>
      <c r="AM12" s="223"/>
      <c r="AN12" s="223"/>
      <c r="AO12" s="223"/>
      <c r="AP12" s="223"/>
      <c r="AQ12" s="223"/>
      <c r="AR12" s="223"/>
      <c r="AS12" s="223"/>
      <c r="AT12" s="223"/>
      <c r="AU12" s="223"/>
      <c r="AV12" s="223"/>
      <c r="AW12" s="223"/>
      <c r="AX12" s="223"/>
      <c r="AY12" s="223"/>
      <c r="AZ12" s="135"/>
      <c r="BA12" s="135"/>
      <c r="BB12" s="135"/>
      <c r="BC12" s="135"/>
      <c r="BD12" s="135"/>
      <c r="BE12" s="135"/>
      <c r="BF12" s="135"/>
      <c r="BG12" s="135"/>
      <c r="BH12" s="135"/>
      <c r="BI12" s="135"/>
      <c r="BJ12" s="135"/>
      <c r="BK12" s="135"/>
      <c r="BL12" s="135"/>
      <c r="BM12" s="135"/>
      <c r="BN12" s="135"/>
    </row>
    <row r="13" spans="1:76" s="136" customFormat="1" ht="10.5" hidden="1" customHeight="1" x14ac:dyDescent="0.15">
      <c r="AE13" s="136">
        <f>SUM(AE15:AE22)</f>
        <v>0</v>
      </c>
      <c r="AF13" s="205"/>
      <c r="AH13" s="137">
        <f>SUM(AH15:AH22)</f>
        <v>0</v>
      </c>
    </row>
    <row r="14" spans="1:76" s="132" customFormat="1" ht="3.75" customHeight="1" thickBot="1" x14ac:dyDescent="0.2">
      <c r="Q14" s="200"/>
      <c r="R14" s="200"/>
      <c r="S14" s="200"/>
      <c r="T14" s="200"/>
      <c r="U14" s="200"/>
      <c r="V14" s="200"/>
      <c r="W14" s="200"/>
      <c r="X14" s="200"/>
      <c r="Y14" s="200"/>
      <c r="Z14" s="200"/>
      <c r="AA14" s="200"/>
      <c r="AB14" s="200"/>
      <c r="AC14" s="200"/>
      <c r="AD14" s="200"/>
      <c r="AE14" s="200"/>
      <c r="AF14" s="206"/>
      <c r="AG14" s="200"/>
      <c r="AH14" s="200"/>
      <c r="AI14" s="200"/>
      <c r="AJ14" s="200"/>
      <c r="AK14" s="200"/>
      <c r="AL14" s="200"/>
      <c r="AM14" s="200"/>
      <c r="AN14" s="200"/>
      <c r="AO14" s="200"/>
      <c r="AP14" s="200"/>
      <c r="AQ14" s="200"/>
      <c r="AR14" s="200"/>
      <c r="AS14" s="200"/>
      <c r="AT14" s="200"/>
      <c r="AU14" s="200"/>
      <c r="AV14" s="200"/>
    </row>
    <row r="15" spans="1:76" s="132" customFormat="1" ht="9.75" customHeight="1" thickTop="1" x14ac:dyDescent="0.15">
      <c r="A15" s="224" t="str">
        <f>IF($W$9="","　A：松任総合運動公園陸上競技場(天然芝)","")</f>
        <v>　A：松任総合運動公園陸上競技場(天然芝)</v>
      </c>
      <c r="B15" s="224"/>
      <c r="C15" s="224"/>
      <c r="D15" s="224"/>
      <c r="E15" s="224"/>
      <c r="F15" s="224"/>
      <c r="G15" s="224"/>
      <c r="H15" s="224"/>
      <c r="I15" s="224"/>
      <c r="J15" s="224"/>
      <c r="K15" s="224"/>
      <c r="L15" s="224"/>
      <c r="M15" s="224"/>
      <c r="N15" s="196" t="str">
        <f>IF(OR(O25=R25,O27=""),"",IF(O25&gt;R25,F27,Z27))</f>
        <v/>
      </c>
      <c r="O15" s="196"/>
      <c r="P15" s="205"/>
      <c r="AF15" s="192" t="s">
        <v>346</v>
      </c>
      <c r="AG15" s="192"/>
      <c r="AH15" s="138"/>
      <c r="AW15" s="201"/>
      <c r="AX15" s="193" t="str">
        <f>IF(OR(AX25=AU25,AU27=""),"",IF(AX25&gt;AU25,BF27,AL27))</f>
        <v/>
      </c>
      <c r="AY15" s="193"/>
      <c r="AZ15" s="139"/>
      <c r="BA15" s="139"/>
      <c r="BB15" s="139"/>
      <c r="BC15" s="139"/>
      <c r="BD15" s="139"/>
      <c r="BE15" s="139"/>
      <c r="BF15" s="139"/>
      <c r="BG15" s="139"/>
      <c r="BH15" s="139"/>
      <c r="BI15" s="139"/>
      <c r="BJ15" s="139"/>
      <c r="BK15" s="139"/>
      <c r="BL15" s="139"/>
      <c r="BM15" s="139"/>
      <c r="BN15" s="139"/>
    </row>
    <row r="16" spans="1:76" s="132" customFormat="1" ht="9.75" customHeight="1" x14ac:dyDescent="0.15">
      <c r="A16" s="224" t="str">
        <f>IF($W$9="","　B：こまつドームドリームピッチ(人工芝)","")</f>
        <v>　B：こまつドームドリームピッチ(人工芝)</v>
      </c>
      <c r="B16" s="224"/>
      <c r="C16" s="224"/>
      <c r="D16" s="224"/>
      <c r="E16" s="224"/>
      <c r="F16" s="224"/>
      <c r="G16" s="224"/>
      <c r="H16" s="224"/>
      <c r="I16" s="224"/>
      <c r="J16" s="224"/>
      <c r="K16" s="224"/>
      <c r="L16" s="224"/>
      <c r="M16" s="224"/>
      <c r="N16" s="196"/>
      <c r="O16" s="196"/>
      <c r="P16" s="205"/>
      <c r="AF16" s="192" t="s">
        <v>346</v>
      </c>
      <c r="AG16" s="192"/>
      <c r="AH16" s="138"/>
      <c r="AW16" s="201"/>
      <c r="AX16" s="193"/>
      <c r="AY16" s="193"/>
      <c r="AZ16" s="139"/>
      <c r="BA16" s="139"/>
      <c r="BB16" s="139"/>
      <c r="BC16" s="139"/>
      <c r="BD16" s="139"/>
      <c r="BE16" s="139"/>
      <c r="BF16" s="139"/>
      <c r="BG16" s="139"/>
      <c r="BH16" s="139"/>
      <c r="BI16" s="139"/>
      <c r="BJ16" s="139"/>
      <c r="BK16" s="139"/>
      <c r="BL16" s="139"/>
      <c r="BM16" s="139"/>
      <c r="BN16" s="139"/>
    </row>
    <row r="17" spans="1:66" s="132" customFormat="1" ht="9.75" customHeight="1" x14ac:dyDescent="0.15">
      <c r="A17" s="224" t="str">
        <f>IF($W$9="","　C：スカイパークこまつ翼Ａコート(天然芝)","")</f>
        <v>　C：スカイパークこまつ翼Ａコート(天然芝)</v>
      </c>
      <c r="B17" s="224"/>
      <c r="C17" s="224"/>
      <c r="D17" s="224"/>
      <c r="E17" s="224"/>
      <c r="F17" s="224"/>
      <c r="G17" s="224"/>
      <c r="H17" s="224"/>
      <c r="I17" s="224"/>
      <c r="J17" s="224"/>
      <c r="K17" s="224"/>
      <c r="L17" s="224"/>
      <c r="M17" s="224"/>
      <c r="N17" s="196"/>
      <c r="O17" s="196"/>
      <c r="P17" s="205"/>
      <c r="AF17" s="192" t="str">
        <f>IF(AE17="","","－")</f>
        <v/>
      </c>
      <c r="AG17" s="192"/>
      <c r="AH17" s="138"/>
      <c r="AW17" s="201"/>
      <c r="AX17" s="193"/>
      <c r="AY17" s="193"/>
      <c r="AZ17" s="139"/>
      <c r="BA17" s="139"/>
      <c r="BB17" s="139"/>
      <c r="BC17" s="139"/>
      <c r="BD17" s="139"/>
      <c r="BE17" s="139"/>
      <c r="BF17" s="139"/>
      <c r="BG17" s="139"/>
      <c r="BH17" s="139"/>
      <c r="BI17" s="139"/>
      <c r="BJ17" s="139"/>
      <c r="BK17" s="139"/>
      <c r="BL17" s="139"/>
      <c r="BM17" s="139"/>
      <c r="BN17" s="139"/>
    </row>
    <row r="18" spans="1:66" s="132" customFormat="1" ht="9.75" customHeight="1" x14ac:dyDescent="0.15">
      <c r="A18" s="224" t="str">
        <f>IF($W$9="","　D：スカイパークこまつ翼Ｂコート(天然芝)","")</f>
        <v>　D：スカイパークこまつ翼Ｂコート(天然芝)</v>
      </c>
      <c r="B18" s="224"/>
      <c r="C18" s="224"/>
      <c r="D18" s="224"/>
      <c r="E18" s="224"/>
      <c r="F18" s="224"/>
      <c r="G18" s="224"/>
      <c r="H18" s="224"/>
      <c r="I18" s="224"/>
      <c r="J18" s="224"/>
      <c r="K18" s="224"/>
      <c r="L18" s="224"/>
      <c r="M18" s="224"/>
      <c r="N18" s="196"/>
      <c r="O18" s="196"/>
      <c r="P18" s="205"/>
      <c r="AF18" s="192" t="str">
        <f>IF(AE18="","","－")</f>
        <v/>
      </c>
      <c r="AG18" s="192"/>
      <c r="AH18" s="138"/>
      <c r="AW18" s="201"/>
      <c r="AX18" s="193"/>
      <c r="AY18" s="193"/>
      <c r="AZ18" s="139"/>
      <c r="BA18" s="139"/>
      <c r="BB18" s="139"/>
      <c r="BC18" s="139"/>
      <c r="BD18" s="139"/>
      <c r="BE18" s="139"/>
      <c r="BF18" s="139"/>
      <c r="BG18" s="139"/>
      <c r="BH18" s="139"/>
      <c r="BI18" s="139"/>
      <c r="BJ18" s="139"/>
      <c r="BK18" s="139"/>
      <c r="BL18" s="139"/>
      <c r="BM18" s="139"/>
      <c r="BN18" s="139"/>
    </row>
    <row r="19" spans="1:66" s="132" customFormat="1" ht="9.75" hidden="1" customHeight="1" x14ac:dyDescent="0.15">
      <c r="N19" s="196"/>
      <c r="O19" s="196"/>
      <c r="P19" s="205"/>
      <c r="AF19" s="192" t="str">
        <f>IF(AE19="","","－")</f>
        <v/>
      </c>
      <c r="AG19" s="192"/>
      <c r="AH19" s="138"/>
      <c r="AW19" s="201"/>
      <c r="AX19" s="193"/>
      <c r="AY19" s="193"/>
    </row>
    <row r="20" spans="1:66" s="132" customFormat="1" ht="9.75" hidden="1" customHeight="1" x14ac:dyDescent="0.15">
      <c r="N20" s="196"/>
      <c r="O20" s="196"/>
      <c r="P20" s="205"/>
      <c r="AF20" s="192" t="str">
        <f>IF(AE20="","","－")</f>
        <v/>
      </c>
      <c r="AG20" s="192"/>
      <c r="AH20" s="138"/>
      <c r="AW20" s="201"/>
      <c r="AX20" s="193"/>
      <c r="AY20" s="193"/>
    </row>
    <row r="21" spans="1:66" s="132" customFormat="1" ht="9.75" customHeight="1" x14ac:dyDescent="0.15">
      <c r="N21" s="196"/>
      <c r="O21" s="196"/>
      <c r="P21" s="205"/>
      <c r="AE21" s="192" t="str">
        <f>IF(AF22="－","PK","")</f>
        <v/>
      </c>
      <c r="AF21" s="192"/>
      <c r="AG21" s="192"/>
      <c r="AH21" s="192"/>
      <c r="AW21" s="201"/>
      <c r="AX21" s="193"/>
      <c r="AY21" s="193"/>
    </row>
    <row r="22" spans="1:66" s="132" customFormat="1" ht="9.75" customHeight="1" x14ac:dyDescent="0.15">
      <c r="A22" s="132" t="s">
        <v>16</v>
      </c>
      <c r="N22" s="196"/>
      <c r="O22" s="196"/>
      <c r="P22" s="205"/>
      <c r="AF22" s="192" t="str">
        <f>IF(AE22="","","－")</f>
        <v/>
      </c>
      <c r="AG22" s="192"/>
      <c r="AH22" s="138"/>
      <c r="AW22" s="201"/>
      <c r="AX22" s="193"/>
      <c r="AY22" s="193"/>
    </row>
    <row r="23" spans="1:66" s="132" customFormat="1" ht="9.75" customHeight="1" x14ac:dyDescent="0.15">
      <c r="A23" s="140">
        <v>45208</v>
      </c>
      <c r="P23" s="205"/>
      <c r="AD23" s="192" t="str">
        <f>IF(AE15&lt;&gt;"","","A　14:15")</f>
        <v>A　14:15</v>
      </c>
      <c r="AE23" s="192"/>
      <c r="AF23" s="192"/>
      <c r="AG23" s="192"/>
      <c r="AH23" s="192"/>
      <c r="AI23" s="192"/>
      <c r="AW23" s="201"/>
    </row>
    <row r="24" spans="1:66" s="132" customFormat="1" ht="9.75" customHeight="1" x14ac:dyDescent="0.15">
      <c r="A24" s="141" t="str">
        <f>"("&amp;CHOOSE(WEEKDAY(A23),"日","月","火","水","木","金","土")&amp;")"</f>
        <v>(月)</v>
      </c>
      <c r="N24" s="195" t="str">
        <f>IF(O27="","",SUM(O27:O30))</f>
        <v/>
      </c>
      <c r="O24" s="195"/>
      <c r="P24" s="205"/>
      <c r="R24" s="194" t="str">
        <f>IF(R27="","",SUM(R27:R30))</f>
        <v/>
      </c>
      <c r="S24" s="194"/>
      <c r="AT24" s="195" t="str">
        <f>IF(AU27="","",SUM(AU27:AU30))</f>
        <v/>
      </c>
      <c r="AU24" s="195"/>
      <c r="AW24" s="201"/>
      <c r="AX24" s="194" t="str">
        <f>IF(AX27="","",SUM(AX27:AX30))</f>
        <v/>
      </c>
      <c r="AY24" s="194"/>
    </row>
    <row r="25" spans="1:66" s="136" customFormat="1" ht="10.5" hidden="1" x14ac:dyDescent="0.15">
      <c r="O25" s="136">
        <f>SUM(O27:O32)</f>
        <v>0</v>
      </c>
      <c r="P25" s="205"/>
      <c r="R25" s="137">
        <f>SUM(R27:R32)</f>
        <v>0</v>
      </c>
      <c r="AF25" s="207"/>
      <c r="AG25" s="207"/>
      <c r="AU25" s="136">
        <f>SUM(AU27:AU32)</f>
        <v>0</v>
      </c>
      <c r="AW25" s="201"/>
      <c r="AX25" s="137">
        <f>SUM(AX27:AX32)</f>
        <v>0</v>
      </c>
    </row>
    <row r="26" spans="1:66" s="132" customFormat="1" ht="3.75" customHeight="1" thickBot="1" x14ac:dyDescent="0.2">
      <c r="I26" s="200"/>
      <c r="J26" s="200"/>
      <c r="K26" s="200"/>
      <c r="L26" s="200"/>
      <c r="M26" s="200"/>
      <c r="N26" s="200"/>
      <c r="O26" s="200"/>
      <c r="P26" s="206"/>
      <c r="Q26" s="200"/>
      <c r="R26" s="200"/>
      <c r="S26" s="200"/>
      <c r="T26" s="200"/>
      <c r="U26" s="200"/>
      <c r="V26" s="200"/>
      <c r="W26" s="200"/>
      <c r="X26" s="200"/>
      <c r="AF26" s="192"/>
      <c r="AG26" s="192"/>
      <c r="AO26" s="200"/>
      <c r="AP26" s="200"/>
      <c r="AQ26" s="200"/>
      <c r="AR26" s="200"/>
      <c r="AS26" s="200"/>
      <c r="AT26" s="200"/>
      <c r="AU26" s="200"/>
      <c r="AV26" s="200"/>
      <c r="AW26" s="213"/>
      <c r="AX26" s="200"/>
      <c r="AY26" s="200"/>
      <c r="AZ26" s="200"/>
      <c r="BA26" s="200"/>
      <c r="BB26" s="200"/>
      <c r="BC26" s="200"/>
      <c r="BD26" s="200"/>
    </row>
    <row r="27" spans="1:66" s="132" customFormat="1" ht="9.75" customHeight="1" thickTop="1" x14ac:dyDescent="0.15">
      <c r="D27" s="142" t="str">
        <f>IF(OR(F39="",I37=F37),"",IF(I37&gt;F37,N39,C39))</f>
        <v/>
      </c>
      <c r="F27" s="196" t="str">
        <f>IF(OR(G37=J37,G39=""),"",IF(G37&gt;J37,B39,N39))</f>
        <v/>
      </c>
      <c r="G27" s="196"/>
      <c r="H27" s="205"/>
      <c r="P27" s="192" t="s">
        <v>346</v>
      </c>
      <c r="Q27" s="192"/>
      <c r="R27" s="138"/>
      <c r="Y27" s="201"/>
      <c r="Z27" s="197" t="str">
        <f>IF(OR(Z37=W37,W39=""),"",IF(Z37&gt;W37,AD39,R39))</f>
        <v/>
      </c>
      <c r="AA27" s="197"/>
      <c r="AL27" s="196" t="str">
        <f>IF(OR(AM37=AP37,AM39=""),"",IF(AM37&gt;AP37,AH39,AT39))</f>
        <v/>
      </c>
      <c r="AM27" s="196"/>
      <c r="AN27" s="205"/>
      <c r="AV27" s="192" t="s">
        <v>346</v>
      </c>
      <c r="AW27" s="192"/>
      <c r="AX27" s="138"/>
      <c r="BE27" s="201"/>
      <c r="BF27" s="193" t="str">
        <f>IF(OR(BF37=BC37,BC39=""),"",IF(BF37&gt;BC37,BJ39,AX39))</f>
        <v/>
      </c>
      <c r="BG27" s="193"/>
    </row>
    <row r="28" spans="1:66" s="132" customFormat="1" ht="9.75" customHeight="1" x14ac:dyDescent="0.15">
      <c r="D28" s="142"/>
      <c r="F28" s="196"/>
      <c r="G28" s="196"/>
      <c r="H28" s="205"/>
      <c r="P28" s="192" t="s">
        <v>346</v>
      </c>
      <c r="Q28" s="192"/>
      <c r="R28" s="138"/>
      <c r="Y28" s="201"/>
      <c r="Z28" s="197"/>
      <c r="AA28" s="197"/>
      <c r="AL28" s="196"/>
      <c r="AM28" s="196"/>
      <c r="AN28" s="205"/>
      <c r="AV28" s="192" t="s">
        <v>346</v>
      </c>
      <c r="AW28" s="192"/>
      <c r="AX28" s="138"/>
      <c r="BE28" s="201"/>
      <c r="BF28" s="193"/>
      <c r="BG28" s="193"/>
    </row>
    <row r="29" spans="1:66" s="132" customFormat="1" ht="9.75" customHeight="1" x14ac:dyDescent="0.15">
      <c r="D29" s="142"/>
      <c r="F29" s="196"/>
      <c r="G29" s="196"/>
      <c r="H29" s="205"/>
      <c r="P29" s="192" t="str">
        <f>IF(O29="","","－")</f>
        <v/>
      </c>
      <c r="Q29" s="192"/>
      <c r="R29" s="138"/>
      <c r="Y29" s="201"/>
      <c r="Z29" s="197"/>
      <c r="AA29" s="197"/>
      <c r="AL29" s="196"/>
      <c r="AM29" s="196"/>
      <c r="AN29" s="205"/>
      <c r="AV29" s="192" t="str">
        <f>IF(AU29="","","－")</f>
        <v/>
      </c>
      <c r="AW29" s="192"/>
      <c r="AX29" s="138"/>
      <c r="BE29" s="201"/>
      <c r="BF29" s="193"/>
      <c r="BG29" s="193"/>
    </row>
    <row r="30" spans="1:66" s="132" customFormat="1" ht="9.75" customHeight="1" x14ac:dyDescent="0.15">
      <c r="D30" s="142"/>
      <c r="F30" s="196"/>
      <c r="G30" s="196"/>
      <c r="H30" s="205"/>
      <c r="P30" s="192" t="str">
        <f>IF(O30="","","－")</f>
        <v/>
      </c>
      <c r="Q30" s="192"/>
      <c r="R30" s="138"/>
      <c r="Y30" s="201"/>
      <c r="Z30" s="197"/>
      <c r="AA30" s="197"/>
      <c r="AL30" s="196"/>
      <c r="AM30" s="196"/>
      <c r="AN30" s="205"/>
      <c r="AV30" s="192" t="str">
        <f>IF(AU30="","","－")</f>
        <v/>
      </c>
      <c r="AW30" s="192"/>
      <c r="AX30" s="138"/>
      <c r="BE30" s="201"/>
      <c r="BF30" s="193"/>
      <c r="BG30" s="193"/>
    </row>
    <row r="31" spans="1:66" s="132" customFormat="1" ht="9.75" customHeight="1" x14ac:dyDescent="0.15">
      <c r="D31" s="142"/>
      <c r="F31" s="196"/>
      <c r="G31" s="196"/>
      <c r="H31" s="205"/>
      <c r="O31" s="192" t="str">
        <f>IF(P32="－","PK","")</f>
        <v/>
      </c>
      <c r="P31" s="192"/>
      <c r="Q31" s="192"/>
      <c r="R31" s="192"/>
      <c r="Y31" s="201"/>
      <c r="Z31" s="197"/>
      <c r="AA31" s="197"/>
      <c r="AL31" s="196"/>
      <c r="AM31" s="196"/>
      <c r="AN31" s="205"/>
      <c r="AU31" s="192" t="str">
        <f>IF(AV32="－","PK","")</f>
        <v/>
      </c>
      <c r="AV31" s="192"/>
      <c r="AW31" s="192"/>
      <c r="AX31" s="192"/>
      <c r="BE31" s="201"/>
      <c r="BF31" s="193"/>
      <c r="BG31" s="193"/>
    </row>
    <row r="32" spans="1:66" s="132" customFormat="1" ht="9.75" customHeight="1" x14ac:dyDescent="0.15">
      <c r="F32" s="196"/>
      <c r="G32" s="196"/>
      <c r="H32" s="205"/>
      <c r="P32" s="192" t="str">
        <f>IF(O32="","","－")</f>
        <v/>
      </c>
      <c r="Q32" s="192"/>
      <c r="R32" s="138"/>
      <c r="Y32" s="201"/>
      <c r="Z32" s="197"/>
      <c r="AA32" s="197"/>
      <c r="AL32" s="196"/>
      <c r="AM32" s="196"/>
      <c r="AN32" s="205"/>
      <c r="AV32" s="192" t="str">
        <f>IF(AU32="","","－")</f>
        <v/>
      </c>
      <c r="AW32" s="192"/>
      <c r="AX32" s="138"/>
      <c r="BE32" s="201"/>
      <c r="BF32" s="193"/>
      <c r="BG32" s="193"/>
    </row>
    <row r="33" spans="1:64" s="132" customFormat="1" ht="9.75" customHeight="1" x14ac:dyDescent="0.15">
      <c r="H33" s="205"/>
      <c r="N33" s="192" t="str">
        <f>IF(O27&lt;&gt;"","","A 9:00")</f>
        <v>A 9:00</v>
      </c>
      <c r="O33" s="192"/>
      <c r="P33" s="192"/>
      <c r="Q33" s="192"/>
      <c r="R33" s="192"/>
      <c r="S33" s="192"/>
      <c r="Y33" s="201"/>
      <c r="AN33" s="205"/>
      <c r="AT33" s="192" t="str">
        <f>IF(AU27&lt;&gt;"","","A 10:40")</f>
        <v>A 10:40</v>
      </c>
      <c r="AU33" s="192"/>
      <c r="AV33" s="192"/>
      <c r="AW33" s="192"/>
      <c r="AX33" s="192"/>
      <c r="AY33" s="192"/>
      <c r="BE33" s="201"/>
    </row>
    <row r="34" spans="1:64" s="132" customFormat="1" ht="9.75" customHeight="1" x14ac:dyDescent="0.15">
      <c r="A34" s="143"/>
      <c r="B34" s="143"/>
      <c r="C34" s="143"/>
      <c r="D34" s="143"/>
      <c r="E34" s="143"/>
      <c r="F34" s="143"/>
      <c r="G34" s="143"/>
      <c r="H34" s="205"/>
      <c r="J34" s="143"/>
      <c r="K34" s="143"/>
      <c r="L34" s="143"/>
      <c r="M34" s="143"/>
      <c r="N34" s="143"/>
      <c r="O34" s="144"/>
      <c r="P34" s="144"/>
      <c r="Q34" s="144"/>
      <c r="R34" s="144"/>
      <c r="S34" s="143"/>
      <c r="T34" s="143"/>
      <c r="U34" s="143"/>
      <c r="V34" s="143"/>
      <c r="W34" s="143"/>
      <c r="Y34" s="201"/>
      <c r="Z34" s="143"/>
      <c r="AA34" s="143"/>
      <c r="AB34" s="143"/>
      <c r="AC34" s="143"/>
      <c r="AD34" s="143"/>
      <c r="AE34" s="143"/>
      <c r="AF34" s="143"/>
      <c r="AG34" s="143"/>
      <c r="AH34" s="143"/>
      <c r="AI34" s="143"/>
      <c r="AJ34" s="143"/>
      <c r="AK34" s="143"/>
      <c r="AL34" s="143"/>
      <c r="AM34" s="143"/>
      <c r="AN34" s="205"/>
      <c r="AP34" s="143"/>
      <c r="AQ34" s="143"/>
      <c r="AR34" s="143"/>
      <c r="AS34" s="143"/>
      <c r="AT34" s="143"/>
      <c r="AU34" s="144"/>
      <c r="AV34" s="144"/>
      <c r="AW34" s="144"/>
      <c r="AX34" s="144"/>
      <c r="AY34" s="143"/>
      <c r="AZ34" s="143"/>
      <c r="BA34" s="143"/>
      <c r="BB34" s="143"/>
      <c r="BC34" s="143"/>
      <c r="BE34" s="201"/>
      <c r="BF34" s="143"/>
      <c r="BG34" s="143"/>
      <c r="BH34" s="143"/>
      <c r="BI34" s="143"/>
      <c r="BJ34" s="143"/>
      <c r="BK34" s="143"/>
      <c r="BL34" s="143"/>
    </row>
    <row r="35" spans="1:64" s="132" customFormat="1" ht="9.75" customHeight="1" x14ac:dyDescent="0.15">
      <c r="H35" s="205"/>
      <c r="P35" s="192"/>
      <c r="Q35" s="192"/>
      <c r="R35" s="138"/>
      <c r="Y35" s="201"/>
      <c r="AN35" s="205"/>
      <c r="AV35" s="192"/>
      <c r="AW35" s="192"/>
      <c r="AX35" s="138"/>
      <c r="BE35" s="201"/>
    </row>
    <row r="36" spans="1:64" s="132" customFormat="1" ht="9.75" customHeight="1" x14ac:dyDescent="0.15">
      <c r="D36" s="141"/>
      <c r="F36" s="195" t="str">
        <f>IF(G39="","",SUM(G39:G42))</f>
        <v/>
      </c>
      <c r="G36" s="195"/>
      <c r="H36" s="205"/>
      <c r="J36" s="194" t="str">
        <f>IF(J39="","",SUM(J39:J42))</f>
        <v/>
      </c>
      <c r="K36" s="194"/>
      <c r="P36" s="145"/>
      <c r="Q36" s="145"/>
      <c r="V36" s="195" t="str">
        <f>IF(W39="","",SUM(W39:W42))</f>
        <v/>
      </c>
      <c r="W36" s="195"/>
      <c r="Y36" s="201"/>
      <c r="Z36" s="194" t="str">
        <f>IF(Z39="","",SUM(Z39:Z42))</f>
        <v/>
      </c>
      <c r="AA36" s="194"/>
      <c r="AL36" s="195" t="str">
        <f>IF(AM39="","",SUM(AM39:AM42))</f>
        <v/>
      </c>
      <c r="AM36" s="195"/>
      <c r="AN36" s="205"/>
      <c r="AP36" s="194" t="str">
        <f>IF(AP39="","",SUM(AP39:AP42))</f>
        <v/>
      </c>
      <c r="AQ36" s="194"/>
      <c r="AV36" s="145"/>
      <c r="AW36" s="145"/>
      <c r="BB36" s="195" t="str">
        <f>IF(BC39="","",SUM(BC39:BC42))</f>
        <v/>
      </c>
      <c r="BC36" s="195"/>
      <c r="BE36" s="201"/>
      <c r="BF36" s="194" t="str">
        <f>IF(BF39="","",SUM(BF39:BF42))</f>
        <v/>
      </c>
      <c r="BG36" s="194"/>
    </row>
    <row r="37" spans="1:64" s="136" customFormat="1" ht="10.5" hidden="1" customHeight="1" x14ac:dyDescent="0.15">
      <c r="G37" s="136">
        <f>SUM(G39:G44)</f>
        <v>0</v>
      </c>
      <c r="H37" s="205"/>
      <c r="J37" s="137">
        <f>SUM(J39:J44)</f>
        <v>0</v>
      </c>
      <c r="P37" s="207"/>
      <c r="Q37" s="207"/>
      <c r="W37" s="136">
        <f>SUM(W39:W44)</f>
        <v>0</v>
      </c>
      <c r="Y37" s="201"/>
      <c r="Z37" s="137">
        <f>SUM(Z39:Z44)</f>
        <v>0</v>
      </c>
      <c r="AM37" s="136">
        <f>SUM(AM39:AM44)</f>
        <v>0</v>
      </c>
      <c r="AN37" s="205"/>
      <c r="AP37" s="137">
        <f>SUM(AP39:AP44)</f>
        <v>0</v>
      </c>
      <c r="AV37" s="207"/>
      <c r="AW37" s="207"/>
      <c r="BC37" s="136">
        <f>SUM(BC39:BC44)</f>
        <v>0</v>
      </c>
      <c r="BE37" s="201"/>
      <c r="BF37" s="137">
        <f>SUM(BF39:BF44)</f>
        <v>0</v>
      </c>
    </row>
    <row r="38" spans="1:64" s="132" customFormat="1" ht="3.75" customHeight="1" thickBot="1" x14ac:dyDescent="0.2">
      <c r="E38" s="200"/>
      <c r="F38" s="200"/>
      <c r="G38" s="200"/>
      <c r="H38" s="206"/>
      <c r="I38" s="200"/>
      <c r="J38" s="200"/>
      <c r="K38" s="200"/>
      <c r="L38" s="200"/>
      <c r="P38" s="192"/>
      <c r="Q38" s="192"/>
      <c r="U38" s="200"/>
      <c r="V38" s="200"/>
      <c r="W38" s="200"/>
      <c r="X38" s="200"/>
      <c r="Y38" s="213"/>
      <c r="Z38" s="200"/>
      <c r="AA38" s="200"/>
      <c r="AB38" s="200"/>
      <c r="AK38" s="200"/>
      <c r="AL38" s="200"/>
      <c r="AM38" s="200"/>
      <c r="AN38" s="206"/>
      <c r="AO38" s="200"/>
      <c r="AP38" s="200"/>
      <c r="AQ38" s="200"/>
      <c r="AR38" s="200"/>
      <c r="AV38" s="192"/>
      <c r="AW38" s="192"/>
      <c r="BA38" s="200"/>
      <c r="BB38" s="200"/>
      <c r="BC38" s="200"/>
      <c r="BD38" s="200"/>
      <c r="BE38" s="213"/>
      <c r="BF38" s="200"/>
      <c r="BG38" s="200"/>
      <c r="BH38" s="200"/>
    </row>
    <row r="39" spans="1:64" s="132" customFormat="1" ht="9.75" customHeight="1" thickTop="1" x14ac:dyDescent="0.15">
      <c r="B39" s="196" t="str">
        <f>IF(OR(C49=F49,C51=""),"",IF(C49&gt;F49,B69,F69))</f>
        <v/>
      </c>
      <c r="C39" s="196"/>
      <c r="D39" s="205"/>
      <c r="H39" s="192" t="s">
        <v>346</v>
      </c>
      <c r="I39" s="192"/>
      <c r="J39" s="138"/>
      <c r="M39" s="201"/>
      <c r="N39" s="193" t="str">
        <f>IF(OR(N49=K49,K51=""),"",IF(N49&gt;K49,N69,J69))</f>
        <v/>
      </c>
      <c r="O39" s="193"/>
      <c r="R39" s="196" t="str">
        <f>IF(OR(S49=V49,S51=""),"",IF(S49&gt;V49,R69,V69))</f>
        <v/>
      </c>
      <c r="S39" s="196"/>
      <c r="T39" s="205"/>
      <c r="X39" s="192" t="s">
        <v>346</v>
      </c>
      <c r="Y39" s="192"/>
      <c r="Z39" s="138"/>
      <c r="AC39" s="201"/>
      <c r="AD39" s="193" t="str">
        <f>IF(OR(AD49=AA49,AA51=""),"",IF(AD49&gt;AA49,AD69,Z69))</f>
        <v/>
      </c>
      <c r="AE39" s="193"/>
      <c r="AH39" s="196" t="str">
        <f>IF(OR(AI49=AL49,AI51=""),"",IF(AI49&gt;AL49,AH69,AL69))</f>
        <v/>
      </c>
      <c r="AI39" s="196"/>
      <c r="AJ39" s="205"/>
      <c r="AN39" s="192" t="s">
        <v>346</v>
      </c>
      <c r="AO39" s="192"/>
      <c r="AP39" s="138"/>
      <c r="AS39" s="201"/>
      <c r="AT39" s="193" t="str">
        <f>IF(OR(AT49=AQ49,AQ51=""),"",IF(AT49&gt;AQ49,AT69,AP69))</f>
        <v/>
      </c>
      <c r="AU39" s="193"/>
      <c r="AX39" s="196" t="str">
        <f>IF(OR(AY49=BB49,AY51=""),"",IF(AY49&gt;BB49,AX69,BB69))</f>
        <v/>
      </c>
      <c r="AY39" s="196"/>
      <c r="AZ39" s="205"/>
      <c r="BD39" s="192" t="s">
        <v>346</v>
      </c>
      <c r="BE39" s="192"/>
      <c r="BF39" s="138"/>
      <c r="BI39" s="201"/>
      <c r="BJ39" s="193" t="str">
        <f>IF(OR(BJ49=BG49,BG51=""),"",IF(BJ49&gt;BG49,BJ69,BF69))</f>
        <v/>
      </c>
      <c r="BK39" s="193"/>
    </row>
    <row r="40" spans="1:64" s="132" customFormat="1" ht="9.75" customHeight="1" x14ac:dyDescent="0.15">
      <c r="A40" s="132" t="s">
        <v>15</v>
      </c>
      <c r="B40" s="196"/>
      <c r="C40" s="196"/>
      <c r="D40" s="205"/>
      <c r="H40" s="192" t="s">
        <v>346</v>
      </c>
      <c r="I40" s="192"/>
      <c r="J40" s="138"/>
      <c r="M40" s="201"/>
      <c r="N40" s="193"/>
      <c r="O40" s="193"/>
      <c r="R40" s="196"/>
      <c r="S40" s="196"/>
      <c r="T40" s="205"/>
      <c r="X40" s="192" t="s">
        <v>346</v>
      </c>
      <c r="Y40" s="192"/>
      <c r="Z40" s="138"/>
      <c r="AC40" s="201"/>
      <c r="AD40" s="193"/>
      <c r="AE40" s="193"/>
      <c r="AH40" s="196"/>
      <c r="AI40" s="196"/>
      <c r="AJ40" s="205"/>
      <c r="AN40" s="192" t="s">
        <v>346</v>
      </c>
      <c r="AO40" s="192"/>
      <c r="AP40" s="138"/>
      <c r="AS40" s="201"/>
      <c r="AT40" s="193"/>
      <c r="AU40" s="193"/>
      <c r="AX40" s="196"/>
      <c r="AY40" s="196"/>
      <c r="AZ40" s="205"/>
      <c r="BD40" s="192" t="s">
        <v>346</v>
      </c>
      <c r="BE40" s="192"/>
      <c r="BF40" s="138"/>
      <c r="BI40" s="201"/>
      <c r="BJ40" s="193"/>
      <c r="BK40" s="193"/>
    </row>
    <row r="41" spans="1:64" s="132" customFormat="1" ht="9.75" customHeight="1" x14ac:dyDescent="0.15">
      <c r="A41" s="140">
        <f>A23-1</f>
        <v>45207</v>
      </c>
      <c r="B41" s="196"/>
      <c r="C41" s="196"/>
      <c r="D41" s="205"/>
      <c r="H41" s="192" t="str">
        <f>IF(G41="","","－")</f>
        <v/>
      </c>
      <c r="I41" s="192"/>
      <c r="J41" s="138"/>
      <c r="M41" s="201"/>
      <c r="N41" s="193"/>
      <c r="O41" s="193"/>
      <c r="R41" s="196"/>
      <c r="S41" s="196"/>
      <c r="T41" s="205"/>
      <c r="X41" s="192" t="str">
        <f>IF(W41="","","－")</f>
        <v/>
      </c>
      <c r="Y41" s="192"/>
      <c r="Z41" s="138"/>
      <c r="AC41" s="201"/>
      <c r="AD41" s="193"/>
      <c r="AE41" s="193"/>
      <c r="AH41" s="196"/>
      <c r="AI41" s="196"/>
      <c r="AJ41" s="205"/>
      <c r="AN41" s="192" t="str">
        <f>IF(AM41="","","－")</f>
        <v/>
      </c>
      <c r="AO41" s="192"/>
      <c r="AP41" s="138"/>
      <c r="AS41" s="201"/>
      <c r="AT41" s="193"/>
      <c r="AU41" s="193"/>
      <c r="AX41" s="196"/>
      <c r="AY41" s="196"/>
      <c r="AZ41" s="205"/>
      <c r="BD41" s="192" t="str">
        <f>IF(BC41="","","－")</f>
        <v/>
      </c>
      <c r="BE41" s="192"/>
      <c r="BF41" s="138"/>
      <c r="BI41" s="201"/>
      <c r="BJ41" s="193"/>
      <c r="BK41" s="193"/>
    </row>
    <row r="42" spans="1:64" s="132" customFormat="1" ht="9.75" customHeight="1" x14ac:dyDescent="0.15">
      <c r="A42" s="141" t="str">
        <f>"("&amp;CHOOSE(WEEKDAY(A41),"日","月","火","水","木","金","土")&amp;")"</f>
        <v>(日)</v>
      </c>
      <c r="B42" s="196"/>
      <c r="C42" s="196"/>
      <c r="D42" s="205"/>
      <c r="H42" s="192" t="str">
        <f>IF(G42="","","－")</f>
        <v/>
      </c>
      <c r="I42" s="192"/>
      <c r="J42" s="138"/>
      <c r="M42" s="201"/>
      <c r="N42" s="193"/>
      <c r="O42" s="193"/>
      <c r="R42" s="196"/>
      <c r="S42" s="196"/>
      <c r="T42" s="205"/>
      <c r="X42" s="192" t="str">
        <f>IF(W42="","","－")</f>
        <v/>
      </c>
      <c r="Y42" s="192"/>
      <c r="Z42" s="138"/>
      <c r="AC42" s="201"/>
      <c r="AD42" s="193"/>
      <c r="AE42" s="193"/>
      <c r="AH42" s="196"/>
      <c r="AI42" s="196"/>
      <c r="AJ42" s="205"/>
      <c r="AN42" s="192" t="str">
        <f>IF(AM42="","","－")</f>
        <v/>
      </c>
      <c r="AO42" s="192"/>
      <c r="AP42" s="138"/>
      <c r="AS42" s="201"/>
      <c r="AT42" s="193"/>
      <c r="AU42" s="193"/>
      <c r="AX42" s="196"/>
      <c r="AY42" s="196"/>
      <c r="AZ42" s="205"/>
      <c r="BD42" s="192" t="str">
        <f>IF(BC42="","","－")</f>
        <v/>
      </c>
      <c r="BE42" s="192"/>
      <c r="BF42" s="138"/>
      <c r="BI42" s="201"/>
      <c r="BJ42" s="193"/>
      <c r="BK42" s="193"/>
    </row>
    <row r="43" spans="1:64" s="132" customFormat="1" ht="9.75" customHeight="1" x14ac:dyDescent="0.15">
      <c r="A43" s="141"/>
      <c r="B43" s="196"/>
      <c r="C43" s="196"/>
      <c r="D43" s="205"/>
      <c r="G43" s="192" t="str">
        <f>IF(H44="－","PK","")</f>
        <v/>
      </c>
      <c r="H43" s="192"/>
      <c r="I43" s="192"/>
      <c r="J43" s="192"/>
      <c r="M43" s="201"/>
      <c r="N43" s="193"/>
      <c r="O43" s="193"/>
      <c r="R43" s="196"/>
      <c r="S43" s="196"/>
      <c r="T43" s="205"/>
      <c r="W43" s="192" t="str">
        <f>IF(X44="－","PK","")</f>
        <v/>
      </c>
      <c r="X43" s="192"/>
      <c r="Y43" s="192"/>
      <c r="Z43" s="192"/>
      <c r="AC43" s="201"/>
      <c r="AD43" s="193"/>
      <c r="AE43" s="193"/>
      <c r="AH43" s="196"/>
      <c r="AI43" s="196"/>
      <c r="AJ43" s="205"/>
      <c r="AM43" s="192" t="str">
        <f>IF(AN44="－","PK","")</f>
        <v/>
      </c>
      <c r="AN43" s="192"/>
      <c r="AO43" s="192"/>
      <c r="AP43" s="192"/>
      <c r="AS43" s="201"/>
      <c r="AT43" s="193"/>
      <c r="AU43" s="193"/>
      <c r="AX43" s="196"/>
      <c r="AY43" s="196"/>
      <c r="AZ43" s="205"/>
      <c r="BC43" s="192" t="str">
        <f>IF(BD44="－","PK","")</f>
        <v/>
      </c>
      <c r="BD43" s="192"/>
      <c r="BE43" s="192"/>
      <c r="BF43" s="192"/>
      <c r="BI43" s="201"/>
      <c r="BJ43" s="193"/>
      <c r="BK43" s="193"/>
    </row>
    <row r="44" spans="1:64" s="132" customFormat="1" ht="9.75" customHeight="1" x14ac:dyDescent="0.15">
      <c r="B44" s="196"/>
      <c r="C44" s="196"/>
      <c r="D44" s="205"/>
      <c r="H44" s="192" t="str">
        <f>IF(G44="","","－")</f>
        <v/>
      </c>
      <c r="I44" s="192"/>
      <c r="J44" s="138"/>
      <c r="M44" s="201"/>
      <c r="N44" s="193"/>
      <c r="O44" s="193"/>
      <c r="R44" s="196"/>
      <c r="S44" s="196"/>
      <c r="T44" s="205"/>
      <c r="X44" s="192" t="str">
        <f>IF(W44="","","－")</f>
        <v/>
      </c>
      <c r="Y44" s="192"/>
      <c r="Z44" s="138"/>
      <c r="AC44" s="201"/>
      <c r="AD44" s="193"/>
      <c r="AE44" s="193"/>
      <c r="AH44" s="196"/>
      <c r="AI44" s="196"/>
      <c r="AJ44" s="205"/>
      <c r="AN44" s="192" t="str">
        <f>IF(AM44="","","－")</f>
        <v/>
      </c>
      <c r="AO44" s="192"/>
      <c r="AP44" s="138"/>
      <c r="AS44" s="201"/>
      <c r="AT44" s="193"/>
      <c r="AU44" s="193"/>
      <c r="AX44" s="196"/>
      <c r="AY44" s="196"/>
      <c r="AZ44" s="205"/>
      <c r="BD44" s="192" t="str">
        <f>IF(BC44="","","－")</f>
        <v/>
      </c>
      <c r="BE44" s="192"/>
      <c r="BF44" s="138"/>
      <c r="BI44" s="201"/>
      <c r="BJ44" s="193"/>
      <c r="BK44" s="193"/>
    </row>
    <row r="45" spans="1:64" s="132" customFormat="1" ht="9.75" customHeight="1" x14ac:dyDescent="0.15">
      <c r="D45" s="205"/>
      <c r="F45" s="192" t="str">
        <f>IF(G39&lt;&gt;"","","C 10:00")</f>
        <v>C 10:00</v>
      </c>
      <c r="G45" s="192"/>
      <c r="H45" s="192"/>
      <c r="I45" s="192"/>
      <c r="J45" s="192"/>
      <c r="K45" s="192"/>
      <c r="M45" s="201"/>
      <c r="T45" s="205"/>
      <c r="V45" s="192" t="str">
        <f>IF(W39&lt;&gt;"","","D 10:00")</f>
        <v>D 10:00</v>
      </c>
      <c r="W45" s="192"/>
      <c r="X45" s="192"/>
      <c r="Y45" s="192"/>
      <c r="Z45" s="192"/>
      <c r="AA45" s="192"/>
      <c r="AC45" s="201"/>
      <c r="AJ45" s="205"/>
      <c r="AL45" s="192" t="str">
        <f>IF(AM39&lt;&gt;"","","D 12:00")</f>
        <v>D 12:00</v>
      </c>
      <c r="AM45" s="192"/>
      <c r="AN45" s="192"/>
      <c r="AO45" s="192"/>
      <c r="AP45" s="192"/>
      <c r="AQ45" s="192"/>
      <c r="AS45" s="201"/>
      <c r="AZ45" s="205"/>
      <c r="BB45" s="192" t="str">
        <f>IF(BC39&lt;&gt;"","","C 12:00")</f>
        <v>C 12:00</v>
      </c>
      <c r="BC45" s="192"/>
      <c r="BD45" s="192"/>
      <c r="BE45" s="192"/>
      <c r="BF45" s="192"/>
      <c r="BG45" s="192"/>
      <c r="BI45" s="201"/>
    </row>
    <row r="46" spans="1:64" s="132" customFormat="1" ht="9.75" customHeight="1" x14ac:dyDescent="0.15">
      <c r="A46" s="143"/>
      <c r="B46" s="143"/>
      <c r="C46" s="143"/>
      <c r="D46" s="205"/>
      <c r="F46" s="143"/>
      <c r="G46" s="144"/>
      <c r="H46" s="144"/>
      <c r="I46" s="144"/>
      <c r="J46" s="144"/>
      <c r="K46" s="143"/>
      <c r="M46" s="201"/>
      <c r="N46" s="143"/>
      <c r="O46" s="143"/>
      <c r="P46" s="143"/>
      <c r="Q46" s="143"/>
      <c r="R46" s="143"/>
      <c r="S46" s="143"/>
      <c r="T46" s="205"/>
      <c r="V46" s="143"/>
      <c r="W46" s="144"/>
      <c r="X46" s="144"/>
      <c r="Y46" s="144"/>
      <c r="Z46" s="144"/>
      <c r="AA46" s="143"/>
      <c r="AC46" s="201"/>
      <c r="AD46" s="143"/>
      <c r="AE46" s="143"/>
      <c r="AF46" s="143"/>
      <c r="AG46" s="143"/>
      <c r="AH46" s="143"/>
      <c r="AI46" s="143"/>
      <c r="AJ46" s="205"/>
      <c r="AL46" s="143"/>
      <c r="AM46" s="144"/>
      <c r="AN46" s="144"/>
      <c r="AO46" s="144"/>
      <c r="AP46" s="144"/>
      <c r="AQ46" s="143"/>
      <c r="AS46" s="201"/>
      <c r="AT46" s="143"/>
      <c r="AU46" s="143"/>
      <c r="AV46" s="143"/>
      <c r="AW46" s="143"/>
      <c r="AX46" s="143"/>
      <c r="AY46" s="143"/>
      <c r="AZ46" s="205"/>
      <c r="BB46" s="143"/>
      <c r="BC46" s="144"/>
      <c r="BD46" s="144"/>
      <c r="BE46" s="144"/>
      <c r="BF46" s="144"/>
      <c r="BG46" s="143"/>
      <c r="BI46" s="201"/>
      <c r="BJ46" s="143"/>
      <c r="BK46" s="143"/>
      <c r="BL46" s="143"/>
    </row>
    <row r="47" spans="1:64" s="132" customFormat="1" ht="9.75" customHeight="1" x14ac:dyDescent="0.15">
      <c r="D47" s="205"/>
      <c r="H47" s="192"/>
      <c r="I47" s="192"/>
      <c r="J47" s="138"/>
      <c r="M47" s="201"/>
      <c r="T47" s="205"/>
      <c r="X47" s="192"/>
      <c r="Y47" s="192"/>
      <c r="Z47" s="138"/>
      <c r="AC47" s="201"/>
      <c r="AJ47" s="205"/>
      <c r="AN47" s="192"/>
      <c r="AO47" s="192"/>
      <c r="AP47" s="138"/>
      <c r="AS47" s="201"/>
      <c r="AZ47" s="205"/>
      <c r="BD47" s="192"/>
      <c r="BE47" s="192"/>
      <c r="BF47" s="138"/>
      <c r="BI47" s="201"/>
    </row>
    <row r="48" spans="1:64" s="132" customFormat="1" ht="9.75" customHeight="1" x14ac:dyDescent="0.15">
      <c r="B48" s="195" t="str">
        <f>IF(C51="","",SUM(C51:C54))</f>
        <v/>
      </c>
      <c r="C48" s="195"/>
      <c r="D48" s="205"/>
      <c r="F48" s="194" t="str">
        <f>IF(F51="","",SUM(F51:F54))</f>
        <v/>
      </c>
      <c r="G48" s="194"/>
      <c r="H48" s="145"/>
      <c r="I48" s="145"/>
      <c r="J48" s="195" t="str">
        <f>IF(K51="","",SUM(K51:K54))</f>
        <v/>
      </c>
      <c r="K48" s="195"/>
      <c r="M48" s="201"/>
      <c r="N48" s="194" t="str">
        <f>IF(N51="","",SUM(N51:N54))</f>
        <v/>
      </c>
      <c r="O48" s="194"/>
      <c r="R48" s="195" t="str">
        <f>IF(S51="","",SUM(S51:S54))</f>
        <v/>
      </c>
      <c r="S48" s="195"/>
      <c r="T48" s="205"/>
      <c r="V48" s="194" t="str">
        <f>IF(V51="","",SUM(V51:V54))</f>
        <v/>
      </c>
      <c r="W48" s="194"/>
      <c r="X48" s="145"/>
      <c r="Y48" s="145"/>
      <c r="Z48" s="195" t="str">
        <f>IF(AA51="","",SUM(AA51:AA54))</f>
        <v/>
      </c>
      <c r="AA48" s="195"/>
      <c r="AC48" s="201"/>
      <c r="AD48" s="194" t="str">
        <f>IF(AD51="","",SUM(AD51:AD54))</f>
        <v/>
      </c>
      <c r="AE48" s="194"/>
      <c r="AH48" s="195" t="str">
        <f>IF(AI51="","",SUM(AI51:AI54))</f>
        <v/>
      </c>
      <c r="AI48" s="195"/>
      <c r="AJ48" s="205"/>
      <c r="AL48" s="194" t="str">
        <f>IF(AL51="","",SUM(AL51:AL54))</f>
        <v/>
      </c>
      <c r="AM48" s="194"/>
      <c r="AN48" s="145"/>
      <c r="AO48" s="145"/>
      <c r="AP48" s="195" t="str">
        <f>IF(AQ51="","",SUM(AQ51:AQ54))</f>
        <v/>
      </c>
      <c r="AQ48" s="195"/>
      <c r="AS48" s="201"/>
      <c r="AT48" s="194" t="str">
        <f>IF(AT51="","",SUM(AT51:AT54))</f>
        <v/>
      </c>
      <c r="AU48" s="194"/>
      <c r="AX48" s="195" t="str">
        <f>IF(AY51="","",SUM(AY51:AY54))</f>
        <v/>
      </c>
      <c r="AY48" s="195"/>
      <c r="AZ48" s="205"/>
      <c r="BB48" s="194" t="str">
        <f>IF(BB51="","",SUM(BB51:BB54))</f>
        <v/>
      </c>
      <c r="BC48" s="194"/>
      <c r="BD48" s="145"/>
      <c r="BE48" s="145"/>
      <c r="BF48" s="195" t="str">
        <f>IF(BG51="","",SUM(BG51:BG54))</f>
        <v/>
      </c>
      <c r="BG48" s="195"/>
      <c r="BI48" s="201"/>
      <c r="BJ48" s="194" t="str">
        <f>IF(BJ51="","",SUM(BJ51:BJ54))</f>
        <v/>
      </c>
      <c r="BK48" s="194"/>
    </row>
    <row r="49" spans="1:63" s="136" customFormat="1" ht="10.5" hidden="1" customHeight="1" x14ac:dyDescent="0.15">
      <c r="C49" s="136">
        <f>SUM(C51:C56)</f>
        <v>0</v>
      </c>
      <c r="D49" s="205"/>
      <c r="F49" s="137">
        <f>SUM(F51:F56)</f>
        <v>0</v>
      </c>
      <c r="H49" s="207"/>
      <c r="I49" s="207"/>
      <c r="K49" s="136">
        <f>SUM(K51:K56)</f>
        <v>0</v>
      </c>
      <c r="M49" s="201"/>
      <c r="N49" s="137">
        <f>SUM(N51:N56)</f>
        <v>0</v>
      </c>
      <c r="S49" s="136">
        <f>SUM(S51:S56)</f>
        <v>0</v>
      </c>
      <c r="T49" s="205"/>
      <c r="V49" s="137">
        <f>SUM(V51:V56)</f>
        <v>0</v>
      </c>
      <c r="X49" s="207"/>
      <c r="Y49" s="207"/>
      <c r="AA49" s="136">
        <f>SUM(AA51:AA56)</f>
        <v>0</v>
      </c>
      <c r="AC49" s="201"/>
      <c r="AD49" s="137">
        <f>SUM(AD51:AD56)</f>
        <v>0</v>
      </c>
      <c r="AI49" s="136">
        <f>SUM(AI51:AI56)</f>
        <v>0</v>
      </c>
      <c r="AJ49" s="205"/>
      <c r="AL49" s="137">
        <f>SUM(AL51:AL56)</f>
        <v>0</v>
      </c>
      <c r="AN49" s="207"/>
      <c r="AO49" s="207"/>
      <c r="AQ49" s="136">
        <f>SUM(AQ51:AQ56)</f>
        <v>0</v>
      </c>
      <c r="AS49" s="201"/>
      <c r="AT49" s="137">
        <f>SUM(AT51:AT56)</f>
        <v>0</v>
      </c>
      <c r="AY49" s="136">
        <f>SUM(AY51:AY56)</f>
        <v>0</v>
      </c>
      <c r="AZ49" s="205"/>
      <c r="BB49" s="137">
        <f>SUM(BB51:BB56)</f>
        <v>0</v>
      </c>
      <c r="BD49" s="207"/>
      <c r="BE49" s="207"/>
      <c r="BG49" s="136">
        <f>SUM(BG51:BG56)</f>
        <v>0</v>
      </c>
      <c r="BI49" s="201"/>
      <c r="BJ49" s="137">
        <f>SUM(BJ51:BJ56)</f>
        <v>0</v>
      </c>
    </row>
    <row r="50" spans="1:63" s="132" customFormat="1" ht="3.75" customHeight="1" thickBot="1" x14ac:dyDescent="0.2">
      <c r="C50" s="146"/>
      <c r="D50" s="206"/>
      <c r="E50" s="200"/>
      <c r="F50" s="200"/>
      <c r="H50" s="192"/>
      <c r="I50" s="192"/>
      <c r="K50" s="200"/>
      <c r="L50" s="200"/>
      <c r="M50" s="213"/>
      <c r="N50" s="146"/>
      <c r="S50" s="146"/>
      <c r="T50" s="206"/>
      <c r="U50" s="200"/>
      <c r="V50" s="200"/>
      <c r="X50" s="192"/>
      <c r="Y50" s="192"/>
      <c r="AA50" s="200"/>
      <c r="AB50" s="200"/>
      <c r="AC50" s="213"/>
      <c r="AD50" s="146"/>
      <c r="AI50" s="146"/>
      <c r="AJ50" s="206"/>
      <c r="AK50" s="200"/>
      <c r="AL50" s="200"/>
      <c r="AN50" s="192"/>
      <c r="AO50" s="192"/>
      <c r="AQ50" s="200"/>
      <c r="AR50" s="200"/>
      <c r="AS50" s="213"/>
      <c r="AT50" s="146"/>
      <c r="AY50" s="146"/>
      <c r="AZ50" s="206"/>
      <c r="BA50" s="200"/>
      <c r="BB50" s="200"/>
      <c r="BD50" s="192"/>
      <c r="BE50" s="192"/>
      <c r="BG50" s="200"/>
      <c r="BH50" s="200"/>
      <c r="BI50" s="213"/>
      <c r="BJ50" s="146"/>
    </row>
    <row r="51" spans="1:63" s="132" customFormat="1" ht="9.75" customHeight="1" thickTop="1" x14ac:dyDescent="0.15">
      <c r="B51" s="198">
        <v>1</v>
      </c>
      <c r="D51" s="192" t="s">
        <v>346</v>
      </c>
      <c r="E51" s="192"/>
      <c r="F51" s="138"/>
      <c r="G51" s="201"/>
      <c r="J51" s="198">
        <v>3</v>
      </c>
      <c r="L51" s="192" t="s">
        <v>346</v>
      </c>
      <c r="M51" s="192"/>
      <c r="N51" s="138"/>
      <c r="O51" s="201"/>
      <c r="R51" s="198">
        <v>5</v>
      </c>
      <c r="T51" s="192" t="s">
        <v>346</v>
      </c>
      <c r="U51" s="192"/>
      <c r="V51" s="138"/>
      <c r="W51" s="201"/>
      <c r="Z51" s="198">
        <v>7</v>
      </c>
      <c r="AB51" s="192" t="s">
        <v>346</v>
      </c>
      <c r="AC51" s="192"/>
      <c r="AD51" s="138"/>
      <c r="AE51" s="201"/>
      <c r="AH51" s="198">
        <v>9</v>
      </c>
      <c r="AJ51" s="192" t="s">
        <v>346</v>
      </c>
      <c r="AK51" s="192"/>
      <c r="AL51" s="138"/>
      <c r="AM51" s="201"/>
      <c r="AP51" s="198">
        <v>11</v>
      </c>
      <c r="AR51" s="192" t="s">
        <v>346</v>
      </c>
      <c r="AS51" s="192"/>
      <c r="AT51" s="138"/>
      <c r="AU51" s="201"/>
      <c r="AX51" s="198">
        <v>13</v>
      </c>
      <c r="AZ51" s="192" t="s">
        <v>346</v>
      </c>
      <c r="BA51" s="192"/>
      <c r="BB51" s="138"/>
      <c r="BC51" s="201"/>
      <c r="BF51" s="198">
        <v>15</v>
      </c>
      <c r="BH51" s="192" t="s">
        <v>346</v>
      </c>
      <c r="BI51" s="192"/>
      <c r="BJ51" s="138"/>
      <c r="BK51" s="201"/>
    </row>
    <row r="52" spans="1:63" s="132" customFormat="1" ht="9.75" customHeight="1" x14ac:dyDescent="0.15">
      <c r="B52" s="198"/>
      <c r="D52" s="192" t="s">
        <v>346</v>
      </c>
      <c r="E52" s="192"/>
      <c r="F52" s="138"/>
      <c r="G52" s="201"/>
      <c r="J52" s="198"/>
      <c r="L52" s="192" t="s">
        <v>346</v>
      </c>
      <c r="M52" s="192"/>
      <c r="N52" s="138"/>
      <c r="O52" s="201"/>
      <c r="R52" s="198"/>
      <c r="T52" s="192" t="s">
        <v>346</v>
      </c>
      <c r="U52" s="192"/>
      <c r="V52" s="138"/>
      <c r="W52" s="201"/>
      <c r="Z52" s="198"/>
      <c r="AB52" s="192" t="s">
        <v>346</v>
      </c>
      <c r="AC52" s="192"/>
      <c r="AD52" s="138"/>
      <c r="AE52" s="201"/>
      <c r="AH52" s="198"/>
      <c r="AJ52" s="192" t="s">
        <v>346</v>
      </c>
      <c r="AK52" s="192"/>
      <c r="AL52" s="138"/>
      <c r="AM52" s="201"/>
      <c r="AP52" s="198"/>
      <c r="AR52" s="192" t="s">
        <v>346</v>
      </c>
      <c r="AS52" s="192"/>
      <c r="AT52" s="138"/>
      <c r="AU52" s="201"/>
      <c r="AX52" s="198"/>
      <c r="AZ52" s="192" t="s">
        <v>346</v>
      </c>
      <c r="BA52" s="192"/>
      <c r="BB52" s="138"/>
      <c r="BC52" s="201"/>
      <c r="BF52" s="198"/>
      <c r="BH52" s="192" t="s">
        <v>346</v>
      </c>
      <c r="BI52" s="192"/>
      <c r="BJ52" s="138"/>
      <c r="BK52" s="201"/>
    </row>
    <row r="53" spans="1:63" s="132" customFormat="1" ht="9.75" customHeight="1" x14ac:dyDescent="0.15">
      <c r="B53" s="198"/>
      <c r="D53" s="192" t="str">
        <f>IF(C53="","","－")</f>
        <v/>
      </c>
      <c r="E53" s="192"/>
      <c r="F53" s="138"/>
      <c r="G53" s="201"/>
      <c r="J53" s="198"/>
      <c r="L53" s="192" t="str">
        <f>IF(K53="","","－")</f>
        <v/>
      </c>
      <c r="M53" s="192"/>
      <c r="N53" s="138"/>
      <c r="O53" s="201"/>
      <c r="R53" s="198"/>
      <c r="T53" s="192" t="str">
        <f>IF(S53="","","－")</f>
        <v/>
      </c>
      <c r="U53" s="192"/>
      <c r="V53" s="138"/>
      <c r="W53" s="201"/>
      <c r="Z53" s="198"/>
      <c r="AB53" s="192" t="str">
        <f>IF(AA53="","","－")</f>
        <v/>
      </c>
      <c r="AC53" s="192"/>
      <c r="AD53" s="138"/>
      <c r="AE53" s="201"/>
      <c r="AH53" s="198"/>
      <c r="AJ53" s="192" t="str">
        <f>IF(AI53="","","－")</f>
        <v/>
      </c>
      <c r="AK53" s="192"/>
      <c r="AL53" s="138"/>
      <c r="AM53" s="201"/>
      <c r="AP53" s="198"/>
      <c r="AR53" s="192" t="str">
        <f>IF(AQ53="","","－")</f>
        <v/>
      </c>
      <c r="AS53" s="192"/>
      <c r="AT53" s="138"/>
      <c r="AU53" s="201"/>
      <c r="AX53" s="198"/>
      <c r="AZ53" s="192" t="str">
        <f>IF(AY53="","","－")</f>
        <v/>
      </c>
      <c r="BA53" s="192"/>
      <c r="BB53" s="138"/>
      <c r="BC53" s="201"/>
      <c r="BF53" s="198"/>
      <c r="BH53" s="192" t="str">
        <f>IF(BG53="","","－")</f>
        <v/>
      </c>
      <c r="BI53" s="192"/>
      <c r="BJ53" s="138"/>
      <c r="BK53" s="201"/>
    </row>
    <row r="54" spans="1:63" s="132" customFormat="1" ht="9.75" customHeight="1" x14ac:dyDescent="0.15">
      <c r="B54" s="198"/>
      <c r="D54" s="192" t="str">
        <f>IF(C54="","","－")</f>
        <v/>
      </c>
      <c r="E54" s="192"/>
      <c r="F54" s="138"/>
      <c r="G54" s="201"/>
      <c r="J54" s="198"/>
      <c r="L54" s="192" t="str">
        <f>IF(K54="","","－")</f>
        <v/>
      </c>
      <c r="M54" s="192"/>
      <c r="N54" s="138"/>
      <c r="O54" s="201"/>
      <c r="R54" s="198"/>
      <c r="T54" s="192" t="str">
        <f>IF(S54="","","－")</f>
        <v/>
      </c>
      <c r="U54" s="192"/>
      <c r="V54" s="138"/>
      <c r="W54" s="201"/>
      <c r="Z54" s="198"/>
      <c r="AB54" s="192" t="str">
        <f>IF(AA54="","","－")</f>
        <v/>
      </c>
      <c r="AC54" s="192"/>
      <c r="AD54" s="138"/>
      <c r="AE54" s="201"/>
      <c r="AH54" s="198"/>
      <c r="AJ54" s="192" t="str">
        <f>IF(AI54="","","－")</f>
        <v/>
      </c>
      <c r="AK54" s="192"/>
      <c r="AL54" s="138"/>
      <c r="AM54" s="201"/>
      <c r="AP54" s="198"/>
      <c r="AR54" s="192" t="str">
        <f>IF(AQ54="","","－")</f>
        <v/>
      </c>
      <c r="AS54" s="192"/>
      <c r="AT54" s="138"/>
      <c r="AU54" s="201"/>
      <c r="AX54" s="198"/>
      <c r="AZ54" s="192" t="str">
        <f>IF(AY54="","","－")</f>
        <v/>
      </c>
      <c r="BA54" s="192"/>
      <c r="BB54" s="138"/>
      <c r="BC54" s="201"/>
      <c r="BF54" s="198"/>
      <c r="BH54" s="192" t="str">
        <f>IF(BG54="","","－")</f>
        <v/>
      </c>
      <c r="BI54" s="192"/>
      <c r="BJ54" s="138"/>
      <c r="BK54" s="201"/>
    </row>
    <row r="55" spans="1:63" s="132" customFormat="1" ht="9.75" customHeight="1" x14ac:dyDescent="0.15">
      <c r="B55" s="198"/>
      <c r="C55" s="192" t="str">
        <f>IF(D56="－","PK","")</f>
        <v/>
      </c>
      <c r="D55" s="192"/>
      <c r="E55" s="192"/>
      <c r="F55" s="192"/>
      <c r="G55" s="201"/>
      <c r="J55" s="198"/>
      <c r="K55" s="192" t="str">
        <f>IF(L56="－","PK","")</f>
        <v/>
      </c>
      <c r="L55" s="192"/>
      <c r="M55" s="192"/>
      <c r="N55" s="192"/>
      <c r="O55" s="201"/>
      <c r="R55" s="198"/>
      <c r="S55" s="192" t="str">
        <f>IF(T56="－","PK","")</f>
        <v/>
      </c>
      <c r="T55" s="192"/>
      <c r="U55" s="192"/>
      <c r="V55" s="192"/>
      <c r="W55" s="201"/>
      <c r="Z55" s="198"/>
      <c r="AA55" s="192" t="str">
        <f>IF(AB56="－","PK","")</f>
        <v/>
      </c>
      <c r="AB55" s="192"/>
      <c r="AC55" s="192"/>
      <c r="AD55" s="192"/>
      <c r="AE55" s="201"/>
      <c r="AH55" s="198"/>
      <c r="AI55" s="192" t="str">
        <f>IF(AJ56="－","PK","")</f>
        <v/>
      </c>
      <c r="AJ55" s="192"/>
      <c r="AK55" s="192"/>
      <c r="AL55" s="192"/>
      <c r="AM55" s="201"/>
      <c r="AP55" s="198"/>
      <c r="AQ55" s="192" t="str">
        <f>IF(AR56="－","PK","")</f>
        <v/>
      </c>
      <c r="AR55" s="192"/>
      <c r="AS55" s="192"/>
      <c r="AT55" s="192"/>
      <c r="AU55" s="201"/>
      <c r="AX55" s="198"/>
      <c r="AY55" s="192" t="str">
        <f>IF(AZ56="－","PK","")</f>
        <v/>
      </c>
      <c r="AZ55" s="192"/>
      <c r="BA55" s="192"/>
      <c r="BB55" s="192"/>
      <c r="BC55" s="201"/>
      <c r="BF55" s="198"/>
      <c r="BG55" s="192" t="str">
        <f>IF(BH56="－","PK","")</f>
        <v/>
      </c>
      <c r="BH55" s="192"/>
      <c r="BI55" s="192"/>
      <c r="BJ55" s="192"/>
      <c r="BK55" s="201"/>
    </row>
    <row r="56" spans="1:63" s="132" customFormat="1" ht="9.75" customHeight="1" x14ac:dyDescent="0.15">
      <c r="A56" s="132" t="s">
        <v>14</v>
      </c>
      <c r="B56" s="198"/>
      <c r="D56" s="192" t="str">
        <f>IF(C56="","","－")</f>
        <v/>
      </c>
      <c r="E56" s="192"/>
      <c r="F56" s="138"/>
      <c r="G56" s="201"/>
      <c r="J56" s="198"/>
      <c r="L56" s="192" t="str">
        <f>IF(K56="","","－")</f>
        <v/>
      </c>
      <c r="M56" s="192"/>
      <c r="N56" s="138"/>
      <c r="O56" s="201"/>
      <c r="R56" s="198"/>
      <c r="T56" s="192" t="str">
        <f>IF(S56="","","－")</f>
        <v/>
      </c>
      <c r="U56" s="192"/>
      <c r="V56" s="138"/>
      <c r="W56" s="201"/>
      <c r="Z56" s="198"/>
      <c r="AB56" s="192" t="str">
        <f>IF(AA56="","","－")</f>
        <v/>
      </c>
      <c r="AC56" s="192"/>
      <c r="AD56" s="138"/>
      <c r="AE56" s="201"/>
      <c r="AH56" s="198"/>
      <c r="AJ56" s="192" t="str">
        <f>IF(AI56="","","－")</f>
        <v/>
      </c>
      <c r="AK56" s="192"/>
      <c r="AL56" s="138"/>
      <c r="AM56" s="201"/>
      <c r="AP56" s="198"/>
      <c r="AR56" s="192" t="str">
        <f>IF(AQ56="","","－")</f>
        <v/>
      </c>
      <c r="AS56" s="192"/>
      <c r="AT56" s="138"/>
      <c r="AU56" s="201"/>
      <c r="AX56" s="198"/>
      <c r="AZ56" s="192" t="str">
        <f>IF(AY56="","","－")</f>
        <v/>
      </c>
      <c r="BA56" s="192"/>
      <c r="BB56" s="138"/>
      <c r="BC56" s="201"/>
      <c r="BF56" s="198"/>
      <c r="BH56" s="192" t="str">
        <f>IF(BG56="","","－")</f>
        <v/>
      </c>
      <c r="BI56" s="192"/>
      <c r="BJ56" s="138"/>
      <c r="BK56" s="201"/>
    </row>
    <row r="57" spans="1:63" s="132" customFormat="1" ht="9.75" customHeight="1" x14ac:dyDescent="0.15">
      <c r="A57" s="140">
        <f>A23-2</f>
        <v>45206</v>
      </c>
      <c r="B57" s="198"/>
      <c r="C57" s="192" t="str">
        <f>IF(C51&lt;&gt;"","","9:00")</f>
        <v>9:00</v>
      </c>
      <c r="D57" s="192"/>
      <c r="E57" s="192"/>
      <c r="F57" s="192"/>
      <c r="G57" s="201"/>
      <c r="J57" s="198"/>
      <c r="K57" s="208" t="str">
        <f>IF(K51&lt;&gt;"","","9:00")</f>
        <v>9:00</v>
      </c>
      <c r="L57" s="192"/>
      <c r="M57" s="192"/>
      <c r="N57" s="192"/>
      <c r="O57" s="201"/>
      <c r="R57" s="198"/>
      <c r="S57" s="208" t="str">
        <f>IF(S51&lt;&gt;"","","10:40")</f>
        <v>10:40</v>
      </c>
      <c r="T57" s="192"/>
      <c r="U57" s="192"/>
      <c r="V57" s="192"/>
      <c r="W57" s="201"/>
      <c r="Z57" s="198"/>
      <c r="AA57" s="192" t="str">
        <f>IF(AA51&lt;&gt;"","","10:40")</f>
        <v>10:40</v>
      </c>
      <c r="AB57" s="192"/>
      <c r="AC57" s="192"/>
      <c r="AD57" s="192"/>
      <c r="AE57" s="201"/>
      <c r="AH57" s="198"/>
      <c r="AI57" s="192" t="str">
        <f>IF(AI51&lt;&gt;"","","14:00")</f>
        <v>14:00</v>
      </c>
      <c r="AJ57" s="192"/>
      <c r="AK57" s="192"/>
      <c r="AL57" s="192"/>
      <c r="AM57" s="201"/>
      <c r="AP57" s="198"/>
      <c r="AQ57" s="192" t="str">
        <f>IF(AQ51&lt;&gt;"","","14:00")</f>
        <v>14:00</v>
      </c>
      <c r="AR57" s="192"/>
      <c r="AS57" s="192"/>
      <c r="AT57" s="192"/>
      <c r="AU57" s="201"/>
      <c r="AX57" s="198"/>
      <c r="AY57" s="208" t="str">
        <f>IF(AY51&lt;&gt;"","","12:20")</f>
        <v>12:20</v>
      </c>
      <c r="AZ57" s="192"/>
      <c r="BA57" s="192"/>
      <c r="BB57" s="192"/>
      <c r="BC57" s="201"/>
      <c r="BF57" s="198"/>
      <c r="BG57" s="192" t="str">
        <f>IF(BG51&lt;&gt;"","","12:20")</f>
        <v>12:20</v>
      </c>
      <c r="BH57" s="192"/>
      <c r="BI57" s="192"/>
      <c r="BJ57" s="192"/>
      <c r="BK57" s="201"/>
    </row>
    <row r="58" spans="1:63" s="132" customFormat="1" ht="9.75" customHeight="1" x14ac:dyDescent="0.15">
      <c r="A58" s="141" t="str">
        <f>"("&amp;CHOOSE(WEEKDAY(A57),"日","月","火","水","木","金","土")&amp;")"</f>
        <v>(土)</v>
      </c>
      <c r="B58" s="198"/>
      <c r="D58" s="192" t="s">
        <v>194</v>
      </c>
      <c r="E58" s="192"/>
      <c r="F58" s="138"/>
      <c r="G58" s="201"/>
      <c r="J58" s="198"/>
      <c r="L58" s="192" t="str">
        <f>IF(D58="A","B","A")</f>
        <v>B</v>
      </c>
      <c r="M58" s="192"/>
      <c r="N58" s="138"/>
      <c r="O58" s="201"/>
      <c r="R58" s="198"/>
      <c r="T58" s="192" t="s">
        <v>350</v>
      </c>
      <c r="U58" s="192"/>
      <c r="V58" s="138"/>
      <c r="W58" s="201"/>
      <c r="Z58" s="198"/>
      <c r="AB58" s="192" t="str">
        <f>IF(T58="A","B","A")</f>
        <v>A</v>
      </c>
      <c r="AC58" s="192"/>
      <c r="AD58" s="138"/>
      <c r="AE58" s="201"/>
      <c r="AH58" s="198"/>
      <c r="AJ58" s="192" t="s">
        <v>455</v>
      </c>
      <c r="AK58" s="192"/>
      <c r="AL58" s="138"/>
      <c r="AM58" s="201"/>
      <c r="AP58" s="198"/>
      <c r="AR58" s="192" t="s">
        <v>543</v>
      </c>
      <c r="AS58" s="192"/>
      <c r="AT58" s="138"/>
      <c r="AU58" s="201"/>
      <c r="AX58" s="198"/>
      <c r="AZ58" s="192" t="s">
        <v>350</v>
      </c>
      <c r="BA58" s="192"/>
      <c r="BB58" s="138"/>
      <c r="BC58" s="201"/>
      <c r="BF58" s="198"/>
      <c r="BH58" s="192" t="str">
        <f>IF(AZ58="A","B","A")</f>
        <v>A</v>
      </c>
      <c r="BI58" s="192"/>
      <c r="BJ58" s="138"/>
      <c r="BK58" s="201"/>
    </row>
    <row r="59" spans="1:63" s="132" customFormat="1" ht="9.75" customHeight="1" x14ac:dyDescent="0.15">
      <c r="B59" s="198"/>
      <c r="D59" s="192"/>
      <c r="E59" s="192"/>
      <c r="G59" s="201"/>
      <c r="J59" s="198"/>
      <c r="L59" s="192"/>
      <c r="M59" s="192"/>
      <c r="O59" s="201"/>
      <c r="R59" s="198"/>
      <c r="T59" s="192"/>
      <c r="U59" s="192"/>
      <c r="W59" s="201"/>
      <c r="Z59" s="198"/>
      <c r="AB59" s="192"/>
      <c r="AC59" s="192"/>
      <c r="AE59" s="201"/>
      <c r="AH59" s="198"/>
      <c r="AJ59" s="192"/>
      <c r="AK59" s="192"/>
      <c r="AM59" s="201"/>
      <c r="AP59" s="198"/>
      <c r="AR59" s="192"/>
      <c r="AS59" s="192"/>
      <c r="AU59" s="201"/>
      <c r="AX59" s="198"/>
      <c r="AZ59" s="192"/>
      <c r="BA59" s="192"/>
      <c r="BC59" s="201"/>
      <c r="BF59" s="198"/>
      <c r="BH59" s="192"/>
      <c r="BI59" s="192"/>
      <c r="BK59" s="201"/>
    </row>
    <row r="60" spans="1:63" s="132" customFormat="1" ht="9.75" customHeight="1" x14ac:dyDescent="0.15">
      <c r="B60" s="198"/>
      <c r="D60" s="145"/>
      <c r="E60" s="145"/>
      <c r="G60" s="201"/>
      <c r="J60" s="198"/>
      <c r="L60" s="145"/>
      <c r="M60" s="145"/>
      <c r="O60" s="201"/>
      <c r="R60" s="198"/>
      <c r="T60" s="145"/>
      <c r="U60" s="145"/>
      <c r="W60" s="201"/>
      <c r="Z60" s="198"/>
      <c r="AB60" s="145"/>
      <c r="AC60" s="145"/>
      <c r="AE60" s="201"/>
      <c r="AH60" s="198"/>
      <c r="AJ60" s="145"/>
      <c r="AK60" s="145"/>
      <c r="AM60" s="201"/>
      <c r="AP60" s="198"/>
      <c r="AR60" s="145"/>
      <c r="AS60" s="145"/>
      <c r="AU60" s="201"/>
      <c r="AX60" s="198"/>
      <c r="AZ60" s="145"/>
      <c r="BA60" s="145"/>
      <c r="BC60" s="201"/>
      <c r="BF60" s="198"/>
      <c r="BH60" s="145"/>
      <c r="BI60" s="145"/>
      <c r="BK60" s="201"/>
    </row>
    <row r="61" spans="1:63" s="132" customFormat="1" ht="9.75" hidden="1" customHeight="1" x14ac:dyDescent="0.15">
      <c r="B61" s="198"/>
      <c r="G61" s="201"/>
      <c r="J61" s="198"/>
      <c r="O61" s="201"/>
      <c r="R61" s="198"/>
      <c r="W61" s="201"/>
      <c r="Z61" s="198"/>
      <c r="AE61" s="201"/>
      <c r="AH61" s="198"/>
      <c r="AM61" s="201"/>
      <c r="AP61" s="198"/>
      <c r="AU61" s="201"/>
      <c r="AX61" s="198"/>
      <c r="BC61" s="201"/>
      <c r="BF61" s="198"/>
      <c r="BK61" s="201"/>
    </row>
    <row r="62" spans="1:63" s="132" customFormat="1" ht="9.75" hidden="1" customHeight="1" x14ac:dyDescent="0.15">
      <c r="B62" s="198"/>
      <c r="G62" s="201"/>
      <c r="J62" s="198"/>
      <c r="O62" s="201"/>
      <c r="R62" s="198"/>
      <c r="W62" s="201"/>
      <c r="Z62" s="198"/>
      <c r="AE62" s="201"/>
      <c r="AH62" s="198"/>
      <c r="AM62" s="201"/>
      <c r="AP62" s="198"/>
      <c r="AU62" s="201"/>
      <c r="AX62" s="198"/>
      <c r="BC62" s="201"/>
      <c r="BF62" s="198"/>
      <c r="BK62" s="201"/>
    </row>
    <row r="63" spans="1:63" s="132" customFormat="1" ht="9.75" hidden="1" customHeight="1" x14ac:dyDescent="0.15">
      <c r="B63" s="198"/>
      <c r="G63" s="201"/>
      <c r="J63" s="198"/>
      <c r="O63" s="201"/>
      <c r="R63" s="198"/>
      <c r="W63" s="201"/>
      <c r="Z63" s="198"/>
      <c r="AE63" s="201"/>
      <c r="AH63" s="198"/>
      <c r="AM63" s="201"/>
      <c r="AP63" s="198"/>
      <c r="AU63" s="201"/>
      <c r="AX63" s="198"/>
      <c r="BC63" s="201"/>
      <c r="BF63" s="198"/>
      <c r="BK63" s="201"/>
    </row>
    <row r="64" spans="1:63" s="132" customFormat="1" ht="9.75" hidden="1" customHeight="1" x14ac:dyDescent="0.15">
      <c r="B64" s="198"/>
      <c r="G64" s="201"/>
      <c r="J64" s="198"/>
      <c r="O64" s="201"/>
      <c r="R64" s="198"/>
      <c r="W64" s="201"/>
      <c r="Z64" s="198"/>
      <c r="AE64" s="201"/>
      <c r="AH64" s="198"/>
      <c r="AM64" s="201"/>
      <c r="AP64" s="198"/>
      <c r="AU64" s="201"/>
      <c r="AX64" s="198"/>
      <c r="BC64" s="201"/>
      <c r="BF64" s="198"/>
      <c r="BK64" s="201"/>
    </row>
    <row r="65" spans="2:63" s="132" customFormat="1" ht="9.75" hidden="1" customHeight="1" x14ac:dyDescent="0.15">
      <c r="B65" s="198"/>
      <c r="G65" s="201"/>
      <c r="J65" s="198"/>
      <c r="O65" s="201"/>
      <c r="R65" s="198"/>
      <c r="W65" s="201"/>
      <c r="Z65" s="198"/>
      <c r="AE65" s="201"/>
      <c r="AH65" s="198"/>
      <c r="AM65" s="201"/>
      <c r="AP65" s="198"/>
      <c r="AU65" s="201"/>
      <c r="AX65" s="198"/>
      <c r="BC65" s="201"/>
      <c r="BF65" s="198"/>
      <c r="BK65" s="201"/>
    </row>
    <row r="66" spans="2:63" s="132" customFormat="1" ht="9.75" hidden="1" customHeight="1" x14ac:dyDescent="0.15">
      <c r="B66" s="198"/>
      <c r="G66" s="201"/>
      <c r="J66" s="198"/>
      <c r="O66" s="201"/>
      <c r="R66" s="198"/>
      <c r="W66" s="201"/>
      <c r="Z66" s="198"/>
      <c r="AE66" s="201"/>
      <c r="AH66" s="198"/>
      <c r="AM66" s="201"/>
      <c r="AP66" s="198"/>
      <c r="AU66" s="201"/>
      <c r="AX66" s="198"/>
      <c r="BC66" s="201"/>
      <c r="BF66" s="198"/>
      <c r="BK66" s="201"/>
    </row>
    <row r="67" spans="2:63" s="132" customFormat="1" ht="9.75" hidden="1" customHeight="1" x14ac:dyDescent="0.15">
      <c r="B67" s="198"/>
      <c r="G67" s="201"/>
      <c r="J67" s="198"/>
      <c r="O67" s="201"/>
      <c r="R67" s="198"/>
      <c r="W67" s="201"/>
      <c r="Z67" s="198"/>
      <c r="AE67" s="201"/>
      <c r="AH67" s="198"/>
      <c r="AM67" s="201"/>
      <c r="AP67" s="198"/>
      <c r="AU67" s="201"/>
      <c r="AX67" s="198"/>
      <c r="BC67" s="201"/>
      <c r="BF67" s="198"/>
      <c r="BK67" s="201"/>
    </row>
    <row r="68" spans="2:63" s="147" customFormat="1" ht="9.75" customHeight="1" x14ac:dyDescent="0.15">
      <c r="B68" s="199"/>
      <c r="F68" s="148">
        <v>2</v>
      </c>
      <c r="G68" s="201"/>
      <c r="J68" s="199"/>
      <c r="N68" s="148">
        <v>4</v>
      </c>
      <c r="O68" s="202"/>
      <c r="R68" s="199"/>
      <c r="V68" s="148">
        <v>6</v>
      </c>
      <c r="W68" s="202"/>
      <c r="Z68" s="199"/>
      <c r="AD68" s="148">
        <v>8</v>
      </c>
      <c r="AE68" s="202"/>
      <c r="AH68" s="199"/>
      <c r="AL68" s="148">
        <v>10</v>
      </c>
      <c r="AM68" s="202"/>
      <c r="AP68" s="199"/>
      <c r="AT68" s="148">
        <v>12</v>
      </c>
      <c r="AU68" s="202"/>
      <c r="AX68" s="199"/>
      <c r="BB68" s="148">
        <v>14</v>
      </c>
      <c r="BC68" s="202"/>
      <c r="BF68" s="199"/>
      <c r="BJ68" s="148">
        <v>16</v>
      </c>
      <c r="BK68" s="202"/>
    </row>
    <row r="69" spans="2:63" s="128" customFormat="1" ht="6" customHeight="1" x14ac:dyDescent="0.15">
      <c r="B69" s="211" t="e">
        <f>INDEX(抽選!$C$3:$M$18,MATCH(B$51,抽選!$C$3:$C$18,0),4)</f>
        <v>#N/A</v>
      </c>
      <c r="C69" s="212"/>
      <c r="D69" s="149"/>
      <c r="E69" s="149"/>
      <c r="F69" s="211" t="e">
        <f>INDEX(抽選!$C$3:$M$18,MATCH(F$68,抽選!$C$3:$C$18,0),4)</f>
        <v>#N/A</v>
      </c>
      <c r="G69" s="212"/>
      <c r="H69" s="150"/>
      <c r="I69" s="151"/>
      <c r="J69" s="211" t="e">
        <f>INDEX(抽選!$C$3:$M$18,MATCH(J$51,抽選!$C$3:$C$18,0),4)</f>
        <v>#N/A</v>
      </c>
      <c r="K69" s="212"/>
      <c r="L69" s="149"/>
      <c r="M69" s="149"/>
      <c r="N69" s="211" t="e">
        <f>INDEX(抽選!$C$3:$M$18,MATCH(N$68,抽選!$C$3:$C$18,0),4)</f>
        <v>#N/A</v>
      </c>
      <c r="O69" s="212"/>
      <c r="P69" s="149"/>
      <c r="Q69" s="149"/>
      <c r="R69" s="211" t="e">
        <f>INDEX(抽選!$C$3:$M$18,MATCH(R$51,抽選!$C$3:$C$18,0),4)</f>
        <v>#N/A</v>
      </c>
      <c r="S69" s="212"/>
      <c r="T69" s="149"/>
      <c r="U69" s="149"/>
      <c r="V69" s="211" t="e">
        <f>INDEX(抽選!$C$3:$M$18,MATCH(V$68,抽選!$C$3:$C$18,0),4)</f>
        <v>#N/A</v>
      </c>
      <c r="W69" s="212"/>
      <c r="X69" s="149"/>
      <c r="Y69" s="149"/>
      <c r="Z69" s="211" t="e">
        <f>INDEX(抽選!$C$3:$M$18,MATCH(Z$51,抽選!$C$3:$C$18,0),4)</f>
        <v>#N/A</v>
      </c>
      <c r="AA69" s="212"/>
      <c r="AB69" s="149"/>
      <c r="AC69" s="149"/>
      <c r="AD69" s="211" t="e">
        <f>INDEX(抽選!$C$3:$M$18,MATCH(AD$68,抽選!$C$3:$C$18,0),4)</f>
        <v>#N/A</v>
      </c>
      <c r="AE69" s="212"/>
      <c r="AF69" s="149"/>
      <c r="AG69" s="149"/>
      <c r="AH69" s="211" t="e">
        <f>INDEX(抽選!$C$3:$M$18,MATCH(AH$51,抽選!$C$3:$C$18,0),4)</f>
        <v>#N/A</v>
      </c>
      <c r="AI69" s="212"/>
      <c r="AJ69" s="149"/>
      <c r="AK69" s="149"/>
      <c r="AL69" s="211" t="e">
        <f>INDEX(抽選!$C$3:$M$18,MATCH(AL$68,抽選!$C$3:$C$18,0),4)</f>
        <v>#N/A</v>
      </c>
      <c r="AM69" s="212"/>
      <c r="AN69" s="149"/>
      <c r="AO69" s="149"/>
      <c r="AP69" s="211" t="e">
        <f>INDEX(抽選!$C$3:$M$18,MATCH(AP$51,抽選!$C$3:$C$18,0),4)</f>
        <v>#N/A</v>
      </c>
      <c r="AQ69" s="212"/>
      <c r="AR69" s="149"/>
      <c r="AS69" s="149"/>
      <c r="AT69" s="211" t="e">
        <f>INDEX(抽選!$C$3:$M$18,MATCH(AT$68,抽選!$C$3:$C$18,0),4)</f>
        <v>#N/A</v>
      </c>
      <c r="AU69" s="212"/>
      <c r="AV69" s="149"/>
      <c r="AW69" s="149"/>
      <c r="AX69" s="211" t="e">
        <f>INDEX(抽選!$C$3:$M$18,MATCH(AX$51,抽選!$C$3:$C$18,0),4)</f>
        <v>#N/A</v>
      </c>
      <c r="AY69" s="212"/>
      <c r="AZ69" s="149"/>
      <c r="BA69" s="149"/>
      <c r="BB69" s="211" t="e">
        <f>INDEX(抽選!$C$3:$M$18,MATCH(BB$68,抽選!$C$3:$C$18,0),4)</f>
        <v>#N/A</v>
      </c>
      <c r="BC69" s="212"/>
      <c r="BD69" s="149"/>
      <c r="BE69" s="149"/>
      <c r="BF69" s="211" t="e">
        <f>INDEX(抽選!$C$3:$M$18,MATCH(BF$51,抽選!$C$3:$C$18,0),4)</f>
        <v>#N/A</v>
      </c>
      <c r="BG69" s="212"/>
      <c r="BH69" s="149"/>
      <c r="BI69" s="149"/>
      <c r="BJ69" s="211" t="e">
        <f>INDEX(抽選!$C$3:$M$18,MATCH(BJ$68,抽選!$C$3:$C$18,0),4)</f>
        <v>#N/A</v>
      </c>
      <c r="BK69" s="212"/>
    </row>
    <row r="70" spans="2:63" s="152" customFormat="1" ht="165.75" customHeight="1" x14ac:dyDescent="0.15">
      <c r="B70" s="203" t="e">
        <f>INDEX(抽選!$C$3:$M$18,MATCH(B$51,抽選!$C$3:$C$18,0),9)</f>
        <v>#N/A</v>
      </c>
      <c r="C70" s="204"/>
      <c r="F70" s="203" t="e">
        <f>INDEX(抽選!$C$3:$M$18,MATCH(F$68,抽選!$C$3:$C$18,0),9)</f>
        <v>#N/A</v>
      </c>
      <c r="G70" s="204"/>
      <c r="H70" s="153"/>
      <c r="I70" s="154"/>
      <c r="J70" s="203" t="e">
        <f>INDEX(抽選!$C$3:$M$18,MATCH(J$51,抽選!$C$3:$C$18,0),9)</f>
        <v>#N/A</v>
      </c>
      <c r="K70" s="204"/>
      <c r="N70" s="203" t="e">
        <f>INDEX(抽選!$C$3:$M$18,MATCH(N$68,抽選!$C$3:$C$18,0),9)</f>
        <v>#N/A</v>
      </c>
      <c r="O70" s="204"/>
      <c r="R70" s="203" t="e">
        <f>INDEX(抽選!$C$3:$M$18,MATCH(R$51,抽選!$C$3:$C$18,0),9)</f>
        <v>#N/A</v>
      </c>
      <c r="S70" s="204"/>
      <c r="V70" s="203" t="e">
        <f>INDEX(抽選!$C$3:$M$18,MATCH(V$68,抽選!$C$3:$C$18,0),9)</f>
        <v>#N/A</v>
      </c>
      <c r="W70" s="204"/>
      <c r="Z70" s="203" t="e">
        <f>INDEX(抽選!$C$3:$M$18,MATCH(Z$51,抽選!$C$3:$C$18,0),9)</f>
        <v>#N/A</v>
      </c>
      <c r="AA70" s="204"/>
      <c r="AD70" s="203" t="e">
        <f>INDEX(抽選!$C$3:$M$18,MATCH(AD$68,抽選!$C$3:$C$18,0),9)</f>
        <v>#N/A</v>
      </c>
      <c r="AE70" s="204"/>
      <c r="AH70" s="203" t="e">
        <f>INDEX(抽選!$C$3:$M$18,MATCH(AH$51,抽選!$C$3:$C$18,0),9)</f>
        <v>#N/A</v>
      </c>
      <c r="AI70" s="204"/>
      <c r="AL70" s="203" t="e">
        <f>INDEX(抽選!$C$3:$M$18,MATCH(AL$68,抽選!$C$3:$C$18,0),9)</f>
        <v>#N/A</v>
      </c>
      <c r="AM70" s="204"/>
      <c r="AP70" s="203" t="e">
        <f>INDEX(抽選!$C$3:$M$18,MATCH(AP$51,抽選!$C$3:$C$18,0),9)</f>
        <v>#N/A</v>
      </c>
      <c r="AQ70" s="204"/>
      <c r="AT70" s="203" t="e">
        <f>INDEX(抽選!$C$3:$M$18,MATCH(AT$68,抽選!$C$3:$C$18,0),9)</f>
        <v>#N/A</v>
      </c>
      <c r="AU70" s="204"/>
      <c r="AX70" s="203" t="e">
        <f>INDEX(抽選!$C$3:$M$18,MATCH(AX$51,抽選!$C$3:$C$18,0),9)</f>
        <v>#N/A</v>
      </c>
      <c r="AY70" s="204"/>
      <c r="BB70" s="203" t="e">
        <f>INDEX(抽選!$C$3:$M$18,MATCH(BB$68,抽選!$C$3:$C$18,0),9)</f>
        <v>#N/A</v>
      </c>
      <c r="BC70" s="204"/>
      <c r="BF70" s="203" t="e">
        <f>INDEX(抽選!$C$3:$M$18,MATCH(BF$51,抽選!$C$3:$C$18,0),9)</f>
        <v>#N/A</v>
      </c>
      <c r="BG70" s="204"/>
      <c r="BJ70" s="203" t="e">
        <f>INDEX(抽選!$C$3:$M$18,MATCH(BJ$68,抽選!$C$3:$C$18,0),9)</f>
        <v>#N/A</v>
      </c>
      <c r="BK70" s="204"/>
    </row>
    <row r="71" spans="2:63" s="157" customFormat="1" ht="6" customHeight="1" x14ac:dyDescent="0.15">
      <c r="B71" s="155"/>
      <c r="C71" s="156"/>
      <c r="F71" s="155"/>
      <c r="G71" s="156"/>
      <c r="H71" s="155"/>
      <c r="I71" s="156"/>
      <c r="J71" s="155"/>
      <c r="K71" s="156"/>
      <c r="N71" s="155"/>
      <c r="O71" s="156"/>
      <c r="R71" s="155"/>
      <c r="S71" s="156"/>
      <c r="V71" s="155"/>
      <c r="W71" s="156"/>
      <c r="Z71" s="155"/>
      <c r="AA71" s="156"/>
      <c r="AD71" s="155"/>
      <c r="AE71" s="156"/>
      <c r="AH71" s="155"/>
      <c r="AI71" s="156"/>
      <c r="AL71" s="155"/>
      <c r="AM71" s="156"/>
      <c r="AP71" s="155"/>
      <c r="AQ71" s="156"/>
      <c r="AT71" s="155"/>
      <c r="AU71" s="156"/>
      <c r="AX71" s="155"/>
      <c r="AY71" s="156"/>
      <c r="BB71" s="155"/>
      <c r="BC71" s="156"/>
      <c r="BF71" s="155"/>
      <c r="BG71" s="156"/>
      <c r="BJ71" s="155"/>
      <c r="BK71" s="156"/>
    </row>
    <row r="72" spans="2:63" s="161" customFormat="1" ht="87" customHeight="1" x14ac:dyDescent="0.15">
      <c r="B72" s="209" t="e">
        <f>INDEX(抽選!$C$3:$M$18,MATCH(B$51,抽選!$C$3:$C$18,0),10)</f>
        <v>#N/A</v>
      </c>
      <c r="C72" s="210"/>
      <c r="D72" s="158"/>
      <c r="E72" s="158"/>
      <c r="F72" s="209" t="e">
        <f>INDEX(抽選!$C$3:$M$18,MATCH(F$68,抽選!$C$3:$C$18,0),10)</f>
        <v>#N/A</v>
      </c>
      <c r="G72" s="210"/>
      <c r="H72" s="159"/>
      <c r="I72" s="160"/>
      <c r="J72" s="209" t="e">
        <f>INDEX(抽選!$C$3:$M$18,MATCH(J$51,抽選!$C$3:$C$18,0),10)</f>
        <v>#N/A</v>
      </c>
      <c r="K72" s="210"/>
      <c r="L72" s="158"/>
      <c r="M72" s="158"/>
      <c r="N72" s="209" t="e">
        <f>INDEX(抽選!$C$3:$M$18,MATCH(N$68,抽選!$C$3:$C$18,0),10)</f>
        <v>#N/A</v>
      </c>
      <c r="O72" s="210"/>
      <c r="P72" s="158"/>
      <c r="Q72" s="158"/>
      <c r="R72" s="209" t="e">
        <f>INDEX(抽選!$C$3:$M$18,MATCH(R$51,抽選!$C$3:$C$18,0),10)</f>
        <v>#N/A</v>
      </c>
      <c r="S72" s="210"/>
      <c r="T72" s="158"/>
      <c r="U72" s="158"/>
      <c r="V72" s="209" t="e">
        <f>INDEX(抽選!$C$3:$M$18,MATCH(V$68,抽選!$C$3:$C$18,0),10)</f>
        <v>#N/A</v>
      </c>
      <c r="W72" s="210"/>
      <c r="X72" s="158"/>
      <c r="Y72" s="158"/>
      <c r="Z72" s="209" t="e">
        <f>INDEX(抽選!$C$3:$M$18,MATCH(Z$51,抽選!$C$3:$C$18,0),10)</f>
        <v>#N/A</v>
      </c>
      <c r="AA72" s="210"/>
      <c r="AB72" s="158"/>
      <c r="AC72" s="158"/>
      <c r="AD72" s="209" t="e">
        <f>INDEX(抽選!$C$3:$M$18,MATCH(AD$68,抽選!$C$3:$C$18,0),10)</f>
        <v>#N/A</v>
      </c>
      <c r="AE72" s="210"/>
      <c r="AF72" s="158"/>
      <c r="AG72" s="158"/>
      <c r="AH72" s="209" t="e">
        <f>INDEX(抽選!$C$3:$M$18,MATCH(AH$51,抽選!$C$3:$C$18,0),10)</f>
        <v>#N/A</v>
      </c>
      <c r="AI72" s="210"/>
      <c r="AJ72" s="158"/>
      <c r="AK72" s="158"/>
      <c r="AL72" s="209" t="e">
        <f>INDEX(抽選!$C$3:$M$18,MATCH(AL$68,抽選!$C$3:$C$18,0),10)</f>
        <v>#N/A</v>
      </c>
      <c r="AM72" s="210"/>
      <c r="AN72" s="158"/>
      <c r="AO72" s="158"/>
      <c r="AP72" s="209" t="e">
        <f>INDEX(抽選!$C$3:$M$18,MATCH(AP$51,抽選!$C$3:$C$18,0),10)</f>
        <v>#N/A</v>
      </c>
      <c r="AQ72" s="210"/>
      <c r="AR72" s="158"/>
      <c r="AS72" s="158"/>
      <c r="AT72" s="209" t="e">
        <f>INDEX(抽選!$C$3:$M$18,MATCH(AT$68,抽選!$C$3:$C$18,0),10)</f>
        <v>#N/A</v>
      </c>
      <c r="AU72" s="210"/>
      <c r="AV72" s="158"/>
      <c r="AW72" s="158"/>
      <c r="AX72" s="209" t="e">
        <f>INDEX(抽選!$C$3:$M$18,MATCH(AX$51,抽選!$C$3:$C$18,0),10)</f>
        <v>#N/A</v>
      </c>
      <c r="AY72" s="210"/>
      <c r="AZ72" s="158"/>
      <c r="BA72" s="158"/>
      <c r="BB72" s="209" t="e">
        <f>INDEX(抽選!$C$3:$M$18,MATCH(BB$68,抽選!$C$3:$C$18,0),10)</f>
        <v>#N/A</v>
      </c>
      <c r="BC72" s="210"/>
      <c r="BD72" s="158"/>
      <c r="BE72" s="158"/>
      <c r="BF72" s="209" t="e">
        <f>INDEX(抽選!$C$3:$M$18,MATCH(BF$51,抽選!$C$3:$C$18,0),10)</f>
        <v>#N/A</v>
      </c>
      <c r="BG72" s="210"/>
      <c r="BH72" s="158"/>
      <c r="BI72" s="158"/>
      <c r="BJ72" s="209" t="e">
        <f>INDEX(抽選!$C$3:$M$18,MATCH(BJ$68,抽選!$C$3:$C$18,0),10)</f>
        <v>#N/A</v>
      </c>
      <c r="BK72" s="210"/>
    </row>
    <row r="73" spans="2:63" ht="14.25" customHeight="1" x14ac:dyDescent="0.15"/>
  </sheetData>
  <mergeCells count="315">
    <mergeCell ref="A15:M15"/>
    <mergeCell ref="A16:M16"/>
    <mergeCell ref="A17:M17"/>
    <mergeCell ref="A18:M18"/>
    <mergeCell ref="A11:A12"/>
    <mergeCell ref="B11:M12"/>
    <mergeCell ref="AX15:AY22"/>
    <mergeCell ref="AW15:AW26"/>
    <mergeCell ref="AT24:AU24"/>
    <mergeCell ref="AX24:AY24"/>
    <mergeCell ref="AO26:AV26"/>
    <mergeCell ref="AX26:BD26"/>
    <mergeCell ref="B6:F6"/>
    <mergeCell ref="H6:W6"/>
    <mergeCell ref="Y6:AD6"/>
    <mergeCell ref="AE6:AP6"/>
    <mergeCell ref="D7:F7"/>
    <mergeCell ref="H7:W7"/>
    <mergeCell ref="Y7:AD7"/>
    <mergeCell ref="AE7:AP7"/>
    <mergeCell ref="Q14:AE14"/>
    <mergeCell ref="AG14:AV14"/>
    <mergeCell ref="R9:V10"/>
    <mergeCell ref="W9:AP10"/>
    <mergeCell ref="AQ9:AY10"/>
    <mergeCell ref="AF11:AF14"/>
    <mergeCell ref="AL11:AY12"/>
    <mergeCell ref="AD12:AE12"/>
    <mergeCell ref="AH12:AI12"/>
    <mergeCell ref="A1:BK1"/>
    <mergeCell ref="B4:F4"/>
    <mergeCell ref="H4:W4"/>
    <mergeCell ref="Y4:AD4"/>
    <mergeCell ref="AE4:AP4"/>
    <mergeCell ref="B5:F5"/>
    <mergeCell ref="H5:W5"/>
    <mergeCell ref="Y5:AD5"/>
    <mergeCell ref="AE5:AP5"/>
    <mergeCell ref="AP36:AQ36"/>
    <mergeCell ref="BB36:BC36"/>
    <mergeCell ref="BF36:BG36"/>
    <mergeCell ref="P37:Q37"/>
    <mergeCell ref="AV37:AW37"/>
    <mergeCell ref="AV32:AW32"/>
    <mergeCell ref="N33:S33"/>
    <mergeCell ref="AT33:AY33"/>
    <mergeCell ref="P35:Q35"/>
    <mergeCell ref="AV35:AW35"/>
    <mergeCell ref="AN27:AN38"/>
    <mergeCell ref="AV27:AW27"/>
    <mergeCell ref="BE27:BE38"/>
    <mergeCell ref="P28:Q28"/>
    <mergeCell ref="AV28:AW28"/>
    <mergeCell ref="P29:Q29"/>
    <mergeCell ref="AV29:AW29"/>
    <mergeCell ref="P30:Q30"/>
    <mergeCell ref="AV30:AW30"/>
    <mergeCell ref="BA38:BD38"/>
    <mergeCell ref="AO38:AR38"/>
    <mergeCell ref="AV38:AW38"/>
    <mergeCell ref="BF38:BH38"/>
    <mergeCell ref="Z38:AB38"/>
    <mergeCell ref="H27:H38"/>
    <mergeCell ref="P27:Q27"/>
    <mergeCell ref="Y27:Y38"/>
    <mergeCell ref="P32:Q32"/>
    <mergeCell ref="F36:G36"/>
    <mergeCell ref="J36:K36"/>
    <mergeCell ref="V36:W36"/>
    <mergeCell ref="U38:X38"/>
    <mergeCell ref="B48:C48"/>
    <mergeCell ref="B39:C44"/>
    <mergeCell ref="E38:G38"/>
    <mergeCell ref="I38:L38"/>
    <mergeCell ref="O31:R31"/>
    <mergeCell ref="AD48:AE48"/>
    <mergeCell ref="AX48:AY48"/>
    <mergeCell ref="AK50:AL50"/>
    <mergeCell ref="AN50:AO50"/>
    <mergeCell ref="AN42:AO42"/>
    <mergeCell ref="AQ50:AR50"/>
    <mergeCell ref="F45:K45"/>
    <mergeCell ref="V45:AA45"/>
    <mergeCell ref="D39:D50"/>
    <mergeCell ref="H39:I39"/>
    <mergeCell ref="M39:M50"/>
    <mergeCell ref="H44:I44"/>
    <mergeCell ref="X44:Y44"/>
    <mergeCell ref="H42:I42"/>
    <mergeCell ref="X42:Y42"/>
    <mergeCell ref="N39:O44"/>
    <mergeCell ref="AM43:AP43"/>
    <mergeCell ref="BB45:BG45"/>
    <mergeCell ref="AH48:AI48"/>
    <mergeCell ref="AA50:AB50"/>
    <mergeCell ref="F48:G48"/>
    <mergeCell ref="J48:K48"/>
    <mergeCell ref="N48:O48"/>
    <mergeCell ref="R48:S48"/>
    <mergeCell ref="V48:W48"/>
    <mergeCell ref="E50:F50"/>
    <mergeCell ref="H50:I50"/>
    <mergeCell ref="K50:L50"/>
    <mergeCell ref="U50:V50"/>
    <mergeCell ref="BG50:BH50"/>
    <mergeCell ref="AS39:AS50"/>
    <mergeCell ref="AZ39:AZ50"/>
    <mergeCell ref="BD39:BE39"/>
    <mergeCell ref="T39:T50"/>
    <mergeCell ref="X39:Y39"/>
    <mergeCell ref="AC39:AC50"/>
    <mergeCell ref="H47:I47"/>
    <mergeCell ref="X47:Y47"/>
    <mergeCell ref="AN47:AO47"/>
    <mergeCell ref="AJ39:AJ50"/>
    <mergeCell ref="Z48:AA48"/>
    <mergeCell ref="BJ48:BK48"/>
    <mergeCell ref="H49:I49"/>
    <mergeCell ref="X49:Y49"/>
    <mergeCell ref="AN49:AO49"/>
    <mergeCell ref="BD49:BE49"/>
    <mergeCell ref="BB48:BC48"/>
    <mergeCell ref="BF48:BG48"/>
    <mergeCell ref="BI39:BI50"/>
    <mergeCell ref="H40:I40"/>
    <mergeCell ref="X40:Y40"/>
    <mergeCell ref="AN40:AO40"/>
    <mergeCell ref="BD40:BE40"/>
    <mergeCell ref="H41:I41"/>
    <mergeCell ref="X41:Y41"/>
    <mergeCell ref="AN41:AO41"/>
    <mergeCell ref="BD41:BE41"/>
    <mergeCell ref="AN39:AO39"/>
    <mergeCell ref="BD47:BE47"/>
    <mergeCell ref="X50:Y50"/>
    <mergeCell ref="AL48:AM48"/>
    <mergeCell ref="AP48:AQ48"/>
    <mergeCell ref="AT48:AU48"/>
    <mergeCell ref="BA50:BB50"/>
    <mergeCell ref="BD50:BE50"/>
    <mergeCell ref="G51:G68"/>
    <mergeCell ref="J51:J68"/>
    <mergeCell ref="L51:M51"/>
    <mergeCell ref="O51:O68"/>
    <mergeCell ref="D52:E52"/>
    <mergeCell ref="L52:M52"/>
    <mergeCell ref="D53:E53"/>
    <mergeCell ref="L53:M53"/>
    <mergeCell ref="D56:E56"/>
    <mergeCell ref="L56:M56"/>
    <mergeCell ref="D58:E58"/>
    <mergeCell ref="L58:M58"/>
    <mergeCell ref="D59:E59"/>
    <mergeCell ref="C57:F57"/>
    <mergeCell ref="K57:N57"/>
    <mergeCell ref="L59:M59"/>
    <mergeCell ref="D54:E54"/>
    <mergeCell ref="C55:F55"/>
    <mergeCell ref="K55:N55"/>
    <mergeCell ref="AZ54:BA54"/>
    <mergeCell ref="BH54:BI54"/>
    <mergeCell ref="AJ59:AK59"/>
    <mergeCell ref="AR59:AS59"/>
    <mergeCell ref="AZ59:BA59"/>
    <mergeCell ref="AZ58:BA58"/>
    <mergeCell ref="BH58:BI58"/>
    <mergeCell ref="AZ56:BA56"/>
    <mergeCell ref="BH56:BI56"/>
    <mergeCell ref="BF72:BG72"/>
    <mergeCell ref="BJ72:BK72"/>
    <mergeCell ref="BB70:BC70"/>
    <mergeCell ref="BF70:BG70"/>
    <mergeCell ref="BJ70:BK70"/>
    <mergeCell ref="BJ69:BK69"/>
    <mergeCell ref="BF69:BG69"/>
    <mergeCell ref="AL69:AM69"/>
    <mergeCell ref="AP69:AQ69"/>
    <mergeCell ref="AT69:AU69"/>
    <mergeCell ref="AL70:AM70"/>
    <mergeCell ref="AP70:AQ70"/>
    <mergeCell ref="BB69:BC69"/>
    <mergeCell ref="AX69:AY69"/>
    <mergeCell ref="AX72:AY72"/>
    <mergeCell ref="AL72:AM72"/>
    <mergeCell ref="AP72:AQ72"/>
    <mergeCell ref="AT72:AU72"/>
    <mergeCell ref="B72:C72"/>
    <mergeCell ref="F72:G72"/>
    <mergeCell ref="J72:K72"/>
    <mergeCell ref="N72:O72"/>
    <mergeCell ref="R72:S72"/>
    <mergeCell ref="V72:W72"/>
    <mergeCell ref="B70:C70"/>
    <mergeCell ref="T56:U56"/>
    <mergeCell ref="AB56:AC56"/>
    <mergeCell ref="AB59:AC59"/>
    <mergeCell ref="R51:R68"/>
    <mergeCell ref="T51:U51"/>
    <mergeCell ref="W51:W68"/>
    <mergeCell ref="Z51:Z68"/>
    <mergeCell ref="AB51:AC51"/>
    <mergeCell ref="T52:U52"/>
    <mergeCell ref="AB52:AC52"/>
    <mergeCell ref="T53:U53"/>
    <mergeCell ref="AB53:AC53"/>
    <mergeCell ref="T58:U58"/>
    <mergeCell ref="AB58:AC58"/>
    <mergeCell ref="T59:U59"/>
    <mergeCell ref="B51:B68"/>
    <mergeCell ref="D51:E51"/>
    <mergeCell ref="B69:C69"/>
    <mergeCell ref="AH70:AI70"/>
    <mergeCell ref="F69:G69"/>
    <mergeCell ref="J69:K69"/>
    <mergeCell ref="N69:O69"/>
    <mergeCell ref="R69:S69"/>
    <mergeCell ref="V69:W69"/>
    <mergeCell ref="Z70:AA70"/>
    <mergeCell ref="AD70:AE70"/>
    <mergeCell ref="AD23:AI23"/>
    <mergeCell ref="AX70:AY70"/>
    <mergeCell ref="AT70:AU70"/>
    <mergeCell ref="Z72:AA72"/>
    <mergeCell ref="AD72:AE72"/>
    <mergeCell ref="AH72:AI72"/>
    <mergeCell ref="Z69:AA69"/>
    <mergeCell ref="AD69:AE69"/>
    <mergeCell ref="AH69:AI69"/>
    <mergeCell ref="AJ56:AK56"/>
    <mergeCell ref="AR56:AS56"/>
    <mergeCell ref="AI57:AL57"/>
    <mergeCell ref="AQ57:AT57"/>
    <mergeCell ref="AY57:BB57"/>
    <mergeCell ref="AE51:AE68"/>
    <mergeCell ref="AJ58:AK58"/>
    <mergeCell ref="AR58:AS58"/>
    <mergeCell ref="AZ52:BA52"/>
    <mergeCell ref="AZ53:BA53"/>
    <mergeCell ref="AH51:AH68"/>
    <mergeCell ref="AJ51:AK51"/>
    <mergeCell ref="AM51:AM68"/>
    <mergeCell ref="AP51:AP68"/>
    <mergeCell ref="BB72:BC72"/>
    <mergeCell ref="F70:G70"/>
    <mergeCell ref="J70:K70"/>
    <mergeCell ref="N70:O70"/>
    <mergeCell ref="R70:S70"/>
    <mergeCell ref="V70:W70"/>
    <mergeCell ref="N15:O22"/>
    <mergeCell ref="AF16:AG16"/>
    <mergeCell ref="AF17:AG17"/>
    <mergeCell ref="AF18:AG18"/>
    <mergeCell ref="P15:P26"/>
    <mergeCell ref="AF15:AG15"/>
    <mergeCell ref="AF19:AG19"/>
    <mergeCell ref="N24:O24"/>
    <mergeCell ref="R24:S24"/>
    <mergeCell ref="AF25:AG25"/>
    <mergeCell ref="I26:O26"/>
    <mergeCell ref="Q26:X26"/>
    <mergeCell ref="AF26:AG26"/>
    <mergeCell ref="AF20:AG20"/>
    <mergeCell ref="AF22:AG22"/>
    <mergeCell ref="AE21:AH21"/>
    <mergeCell ref="S57:V57"/>
    <mergeCell ref="W43:Z43"/>
    <mergeCell ref="AA57:AD57"/>
    <mergeCell ref="BC43:BF43"/>
    <mergeCell ref="S55:V55"/>
    <mergeCell ref="BJ39:BK44"/>
    <mergeCell ref="AX39:AY44"/>
    <mergeCell ref="AT39:AU44"/>
    <mergeCell ref="AH39:AI44"/>
    <mergeCell ref="AD39:AE44"/>
    <mergeCell ref="R39:S44"/>
    <mergeCell ref="BC51:BC68"/>
    <mergeCell ref="BF51:BF68"/>
    <mergeCell ref="BH51:BI51"/>
    <mergeCell ref="BH59:BI59"/>
    <mergeCell ref="BG55:BJ55"/>
    <mergeCell ref="BG57:BJ57"/>
    <mergeCell ref="BK51:BK68"/>
    <mergeCell ref="BH52:BI52"/>
    <mergeCell ref="BH53:BI53"/>
    <mergeCell ref="AR51:AS51"/>
    <mergeCell ref="AU51:AU68"/>
    <mergeCell ref="AJ52:AK52"/>
    <mergeCell ref="AR52:AS52"/>
    <mergeCell ref="AJ53:AK53"/>
    <mergeCell ref="BD42:BE42"/>
    <mergeCell ref="AR53:AS53"/>
    <mergeCell ref="AU31:AX31"/>
    <mergeCell ref="BF27:BG32"/>
    <mergeCell ref="Z36:AA36"/>
    <mergeCell ref="AL36:AM36"/>
    <mergeCell ref="AL27:AM32"/>
    <mergeCell ref="Z27:AA32"/>
    <mergeCell ref="F27:G32"/>
    <mergeCell ref="AL45:AQ45"/>
    <mergeCell ref="L54:M54"/>
    <mergeCell ref="T54:U54"/>
    <mergeCell ref="AB54:AC54"/>
    <mergeCell ref="AJ54:AK54"/>
    <mergeCell ref="AR54:AS54"/>
    <mergeCell ref="AX51:AX68"/>
    <mergeCell ref="AZ51:BA51"/>
    <mergeCell ref="AK38:AM38"/>
    <mergeCell ref="AN44:AO44"/>
    <mergeCell ref="BD44:BE44"/>
    <mergeCell ref="P38:Q38"/>
    <mergeCell ref="AA55:AD55"/>
    <mergeCell ref="AI55:AL55"/>
    <mergeCell ref="AQ55:AT55"/>
    <mergeCell ref="AY55:BB55"/>
    <mergeCell ref="G43:J43"/>
  </mergeCells>
  <phoneticPr fontId="3"/>
  <conditionalFormatting sqref="B51:B68">
    <cfRule type="expression" dxfId="77" priority="23" stopIfTrue="1">
      <formula>$C$49&lt;=$F$49</formula>
    </cfRule>
  </conditionalFormatting>
  <conditionalFormatting sqref="B69:C72 F69:G72 J69:K72 N69:O72 R69:S72 V69:W72 Z69:AA72 AD69:AE72 AH69:AI72 AL69:AM72 AP69:AQ72 AT69:AU72 AX69:AY72 BB69:BC72 BF69:BG72 BJ69:BK72">
    <cfRule type="expression" dxfId="76" priority="25" stopIfTrue="1">
      <formula>ISERROR(B69)</formula>
    </cfRule>
  </conditionalFormatting>
  <conditionalFormatting sqref="C50">
    <cfRule type="expression" dxfId="75" priority="21" stopIfTrue="1">
      <formula>$C$49&lt;=$F$49</formula>
    </cfRule>
  </conditionalFormatting>
  <conditionalFormatting sqref="D39:D50">
    <cfRule type="expression" dxfId="74" priority="120" stopIfTrue="1">
      <formula>$C$49&lt;$F$49</formula>
    </cfRule>
    <cfRule type="expression" dxfId="73" priority="121" stopIfTrue="1">
      <formula>$C$49=$F$49</formula>
    </cfRule>
  </conditionalFormatting>
  <conditionalFormatting sqref="D58:E58 L58:M58 T58:U58 AB58:AC58 AJ58:AK58 AR58:AS58 AZ58:BA58 BH58:BI58">
    <cfRule type="expression" dxfId="72" priority="1">
      <formula>C51&lt;&gt;""</formula>
    </cfRule>
  </conditionalFormatting>
  <conditionalFormatting sqref="E50:F50">
    <cfRule type="expression" dxfId="71" priority="20" stopIfTrue="1">
      <formula>$F$49&lt;=$C$49</formula>
    </cfRule>
  </conditionalFormatting>
  <conditionalFormatting sqref="E38:G38">
    <cfRule type="expression" dxfId="70" priority="17" stopIfTrue="1">
      <formula>$G$37&lt;=$J$37</formula>
    </cfRule>
  </conditionalFormatting>
  <conditionalFormatting sqref="G51:G68">
    <cfRule type="expression" dxfId="69" priority="22" stopIfTrue="1">
      <formula>$F$49&lt;=$C$49</formula>
    </cfRule>
  </conditionalFormatting>
  <conditionalFormatting sqref="H27:H38">
    <cfRule type="expression" dxfId="68" priority="135" stopIfTrue="1">
      <formula>$G$37=$J$37</formula>
    </cfRule>
    <cfRule type="expression" dxfId="67" priority="134" stopIfTrue="1">
      <formula>$G$37&lt;$J$37</formula>
    </cfRule>
  </conditionalFormatting>
  <conditionalFormatting sqref="I38:L38">
    <cfRule type="expression" dxfId="66" priority="16" stopIfTrue="1">
      <formula>$J$37&lt;=$G$37</formula>
    </cfRule>
  </conditionalFormatting>
  <conditionalFormatting sqref="I26:O26">
    <cfRule type="expression" dxfId="65" priority="37" stopIfTrue="1">
      <formula>$O$25&lt;=$R$25</formula>
    </cfRule>
  </conditionalFormatting>
  <conditionalFormatting sqref="J51:J68">
    <cfRule type="expression" dxfId="64" priority="91" stopIfTrue="1">
      <formula>$K$49&lt;=$N$49</formula>
    </cfRule>
  </conditionalFormatting>
  <conditionalFormatting sqref="K50:L50">
    <cfRule type="expression" dxfId="63" priority="77" stopIfTrue="1">
      <formula>$K$49&lt;=$N$49</formula>
    </cfRule>
  </conditionalFormatting>
  <conditionalFormatting sqref="M39:M50">
    <cfRule type="expression" dxfId="62" priority="92" stopIfTrue="1">
      <formula>$N$49=$K$49</formula>
    </cfRule>
    <cfRule type="expression" dxfId="61" priority="93" stopIfTrue="1">
      <formula>$N$49&lt;$K$49</formula>
    </cfRule>
  </conditionalFormatting>
  <conditionalFormatting sqref="N50">
    <cfRule type="expression" dxfId="60" priority="76" stopIfTrue="1">
      <formula>$N$49&lt;=$K$49</formula>
    </cfRule>
  </conditionalFormatting>
  <conditionalFormatting sqref="O51:O68">
    <cfRule type="expression" dxfId="59" priority="90" stopIfTrue="1">
      <formula>$N$49&lt;=$K$49</formula>
    </cfRule>
  </conditionalFormatting>
  <conditionalFormatting sqref="P15:P26">
    <cfRule type="expression" dxfId="58" priority="136" stopIfTrue="1">
      <formula>$O$25&lt;$R$25</formula>
    </cfRule>
    <cfRule type="expression" dxfId="57" priority="137" stopIfTrue="1">
      <formula>$O$25=$R$25</formula>
    </cfRule>
  </conditionalFormatting>
  <conditionalFormatting sqref="Q26:X26">
    <cfRule type="expression" dxfId="56" priority="34" stopIfTrue="1">
      <formula>$R$25&lt;=$O$25</formula>
    </cfRule>
  </conditionalFormatting>
  <conditionalFormatting sqref="Q14:AE14">
    <cfRule type="expression" dxfId="55" priority="29" stopIfTrue="1">
      <formula>$AE$13&lt;=$AH$13</formula>
    </cfRule>
  </conditionalFormatting>
  <conditionalFormatting sqref="R51:R68">
    <cfRule type="expression" dxfId="54" priority="89" stopIfTrue="1">
      <formula>$S$49&lt;=$V$49</formula>
    </cfRule>
  </conditionalFormatting>
  <conditionalFormatting sqref="S50">
    <cfRule type="expression" dxfId="53" priority="73" stopIfTrue="1">
      <formula>$S$49&lt;=$V$49</formula>
    </cfRule>
  </conditionalFormatting>
  <conditionalFormatting sqref="T39:T50">
    <cfRule type="expression" dxfId="52" priority="97" stopIfTrue="1">
      <formula>$S$49&lt;$V$49</formula>
    </cfRule>
    <cfRule type="expression" dxfId="51" priority="96" stopIfTrue="1">
      <formula>$S$49=$V$49</formula>
    </cfRule>
  </conditionalFormatting>
  <conditionalFormatting sqref="U50:V50">
    <cfRule type="expression" dxfId="50" priority="70" stopIfTrue="1">
      <formula>$V$49&lt;=$S$49</formula>
    </cfRule>
  </conditionalFormatting>
  <conditionalFormatting sqref="U38:X38">
    <cfRule type="expression" dxfId="49" priority="49" stopIfTrue="1">
      <formula>$W$37&lt;=$Z$37</formula>
    </cfRule>
  </conditionalFormatting>
  <conditionalFormatting sqref="W51:W68">
    <cfRule type="expression" dxfId="48" priority="88" stopIfTrue="1">
      <formula>$V$49&lt;=$S$49</formula>
    </cfRule>
  </conditionalFormatting>
  <conditionalFormatting sqref="Y27:Y38">
    <cfRule type="expression" dxfId="47" priority="122" stopIfTrue="1">
      <formula>$Z$37&lt;$W$37</formula>
    </cfRule>
    <cfRule type="expression" dxfId="46" priority="123" stopIfTrue="1">
      <formula>$Z$37=$W$37</formula>
    </cfRule>
  </conditionalFormatting>
  <conditionalFormatting sqref="Z51:Z68">
    <cfRule type="expression" dxfId="45" priority="87" stopIfTrue="1">
      <formula>$AA$49&lt;=$AD$49</formula>
    </cfRule>
  </conditionalFormatting>
  <conditionalFormatting sqref="Z38:AB38">
    <cfRule type="expression" dxfId="44" priority="46" stopIfTrue="1">
      <formula>$Z$37&lt;=$W$37</formula>
    </cfRule>
  </conditionalFormatting>
  <conditionalFormatting sqref="AA50:AB50">
    <cfRule type="expression" dxfId="43" priority="69" stopIfTrue="1">
      <formula>$AA$49&lt;=$AD$49</formula>
    </cfRule>
  </conditionalFormatting>
  <conditionalFormatting sqref="AC39:AC50">
    <cfRule type="expression" dxfId="42" priority="100" stopIfTrue="1">
      <formula>$AD$49=$AA$49</formula>
    </cfRule>
    <cfRule type="expression" dxfId="41" priority="101" stopIfTrue="1">
      <formula>$AD$49&lt;$AA$49</formula>
    </cfRule>
  </conditionalFormatting>
  <conditionalFormatting sqref="AD50">
    <cfRule type="expression" dxfId="40" priority="66" stopIfTrue="1">
      <formula>$AD$49&lt;=$AA$49</formula>
    </cfRule>
  </conditionalFormatting>
  <conditionalFormatting sqref="AE51:AE68">
    <cfRule type="expression" dxfId="39" priority="86" stopIfTrue="1">
      <formula>$AD$49&lt;=$AA$49</formula>
    </cfRule>
  </conditionalFormatting>
  <conditionalFormatting sqref="AF11:AF14">
    <cfRule type="expression" dxfId="38" priority="27" stopIfTrue="1">
      <formula>$AE$13&lt;$AH$13</formula>
    </cfRule>
    <cfRule type="expression" dxfId="37" priority="28" stopIfTrue="1">
      <formula>$AE$13=$AH$13</formula>
    </cfRule>
  </conditionalFormatting>
  <conditionalFormatting sqref="AG14:AV14">
    <cfRule type="expression" dxfId="36" priority="26" stopIfTrue="1">
      <formula>$AH$13&lt;=$AE$13</formula>
    </cfRule>
  </conditionalFormatting>
  <conditionalFormatting sqref="AH51:AH68">
    <cfRule type="expression" dxfId="35" priority="85" stopIfTrue="1">
      <formula>$AI$49&lt;=$AL$49</formula>
    </cfRule>
  </conditionalFormatting>
  <conditionalFormatting sqref="AI50">
    <cfRule type="expression" dxfId="34" priority="65" stopIfTrue="1">
      <formula>$AI$49&lt;=$AL$49</formula>
    </cfRule>
  </conditionalFormatting>
  <conditionalFormatting sqref="AJ39:AJ50">
    <cfRule type="expression" dxfId="33" priority="104" stopIfTrue="1">
      <formula>$AI$49=$AL$49</formula>
    </cfRule>
    <cfRule type="expression" dxfId="32" priority="105" stopIfTrue="1">
      <formula>$AI$49&lt;$AL$49</formula>
    </cfRule>
  </conditionalFormatting>
  <conditionalFormatting sqref="AK50:AL50">
    <cfRule type="expression" dxfId="31" priority="62" stopIfTrue="1">
      <formula>$AL$49&lt;=$AI$49</formula>
    </cfRule>
  </conditionalFormatting>
  <conditionalFormatting sqref="AK38:AM38">
    <cfRule type="expression" dxfId="30" priority="45" stopIfTrue="1">
      <formula>$AM$37&lt;=$AP$37</formula>
    </cfRule>
  </conditionalFormatting>
  <conditionalFormatting sqref="AM51:AM68">
    <cfRule type="expression" dxfId="29" priority="84" stopIfTrue="1">
      <formula>$AL$49&lt;=$AI$49</formula>
    </cfRule>
  </conditionalFormatting>
  <conditionalFormatting sqref="AN27:AN38">
    <cfRule type="expression" dxfId="28" priority="126" stopIfTrue="1">
      <formula>$AM$37&lt;$AP$37</formula>
    </cfRule>
    <cfRule type="expression" dxfId="27" priority="127" stopIfTrue="1">
      <formula>$AM$37=$AP$37</formula>
    </cfRule>
  </conditionalFormatting>
  <conditionalFormatting sqref="AO38:AR38">
    <cfRule type="expression" dxfId="26" priority="42" stopIfTrue="1">
      <formula>$AP$37&lt;=$AM$37</formula>
    </cfRule>
  </conditionalFormatting>
  <conditionalFormatting sqref="AO26:AV26">
    <cfRule type="expression" dxfId="25" priority="33" stopIfTrue="1">
      <formula>$AU$25&lt;=$AX$25</formula>
    </cfRule>
  </conditionalFormatting>
  <conditionalFormatting sqref="AP51:AP68">
    <cfRule type="expression" dxfId="24" priority="83" stopIfTrue="1">
      <formula>$AQ$49&lt;=$AT$49</formula>
    </cfRule>
  </conditionalFormatting>
  <conditionalFormatting sqref="AQ50:AR50">
    <cfRule type="expression" dxfId="23" priority="58" stopIfTrue="1">
      <formula>$AQ$49&lt;=$AT$49</formula>
    </cfRule>
  </conditionalFormatting>
  <conditionalFormatting sqref="AS39:AS50">
    <cfRule type="expression" dxfId="22" priority="108" stopIfTrue="1">
      <formula>$AT$49=$AQ$49</formula>
    </cfRule>
    <cfRule type="expression" dxfId="21" priority="109" stopIfTrue="1">
      <formula>$AT$49&lt;$AQ$49</formula>
    </cfRule>
  </conditionalFormatting>
  <conditionalFormatting sqref="AT50">
    <cfRule type="expression" dxfId="20" priority="61" stopIfTrue="1">
      <formula>$AT$49&lt;=$AQ$49</formula>
    </cfRule>
  </conditionalFormatting>
  <conditionalFormatting sqref="AU51:AU68">
    <cfRule type="expression" dxfId="19" priority="82" stopIfTrue="1">
      <formula>$AT$49&lt;=$AQ$49</formula>
    </cfRule>
  </conditionalFormatting>
  <conditionalFormatting sqref="AW15:AW26">
    <cfRule type="expression" dxfId="18" priority="140" stopIfTrue="1">
      <formula>$AX$25&lt;$AU$25</formula>
    </cfRule>
    <cfRule type="expression" dxfId="17" priority="141" stopIfTrue="1">
      <formula>$AX$25=$AU$25</formula>
    </cfRule>
  </conditionalFormatting>
  <conditionalFormatting sqref="AX51:AX68">
    <cfRule type="expression" dxfId="16" priority="81" stopIfTrue="1">
      <formula>$AY$49&lt;=$BB$49</formula>
    </cfRule>
  </conditionalFormatting>
  <conditionalFormatting sqref="AX26:BD26">
    <cfRule type="expression" dxfId="15" priority="30" stopIfTrue="1">
      <formula>$AX$25&lt;=$AU$25</formula>
    </cfRule>
  </conditionalFormatting>
  <conditionalFormatting sqref="AY50">
    <cfRule type="expression" dxfId="14" priority="57" stopIfTrue="1">
      <formula>$AY$49&lt;=$BB$49</formula>
    </cfRule>
  </conditionalFormatting>
  <conditionalFormatting sqref="AZ39:AZ50">
    <cfRule type="expression" dxfId="13" priority="112" stopIfTrue="1">
      <formula>$AY$49&lt;$BB$49</formula>
    </cfRule>
    <cfRule type="expression" dxfId="12" priority="113" stopIfTrue="1">
      <formula>$AY$49=$BB$49</formula>
    </cfRule>
  </conditionalFormatting>
  <conditionalFormatting sqref="BA50:BB50">
    <cfRule type="expression" dxfId="11" priority="54" stopIfTrue="1">
      <formula>$BB$49&lt;=$AY$49</formula>
    </cfRule>
  </conditionalFormatting>
  <conditionalFormatting sqref="BA38:BD38">
    <cfRule type="expression" dxfId="10" priority="41" stopIfTrue="1">
      <formula>$BC$37&lt;=$BF$37</formula>
    </cfRule>
  </conditionalFormatting>
  <conditionalFormatting sqref="BC51:BC68">
    <cfRule type="expression" dxfId="9" priority="80" stopIfTrue="1">
      <formula>$BB$49&lt;=$AY$49</formula>
    </cfRule>
  </conditionalFormatting>
  <conditionalFormatting sqref="BE27:BE38">
    <cfRule type="expression" dxfId="8" priority="130" stopIfTrue="1">
      <formula>$BF$37&lt;$BC$37</formula>
    </cfRule>
    <cfRule type="expression" dxfId="7" priority="131" stopIfTrue="1">
      <formula>$BC$37=$BF$37</formula>
    </cfRule>
  </conditionalFormatting>
  <conditionalFormatting sqref="BF51:BF68">
    <cfRule type="expression" dxfId="6" priority="79" stopIfTrue="1">
      <formula>$BG$49&lt;=$BJ$49</formula>
    </cfRule>
  </conditionalFormatting>
  <conditionalFormatting sqref="BF38:BH38">
    <cfRule type="expression" dxfId="5" priority="38" stopIfTrue="1">
      <formula>$BF$37&lt;=$BC$37</formula>
    </cfRule>
  </conditionalFormatting>
  <conditionalFormatting sqref="BG50:BH50">
    <cfRule type="expression" dxfId="4" priority="53" stopIfTrue="1">
      <formula>$BG$49&lt;=$BJ$49</formula>
    </cfRule>
  </conditionalFormatting>
  <conditionalFormatting sqref="BI39:BI50">
    <cfRule type="expression" dxfId="3" priority="116" stopIfTrue="1">
      <formula>$BJ$49&lt;$BG$49</formula>
    </cfRule>
    <cfRule type="expression" dxfId="2" priority="117" stopIfTrue="1">
      <formula>$BJ$49=$BG$49</formula>
    </cfRule>
  </conditionalFormatting>
  <conditionalFormatting sqref="BJ50">
    <cfRule type="expression" dxfId="1" priority="50" stopIfTrue="1">
      <formula>$BJ$49&lt;=$BG$49</formula>
    </cfRule>
  </conditionalFormatting>
  <conditionalFormatting sqref="BK51:BK68">
    <cfRule type="expression" dxfId="0" priority="78" stopIfTrue="1">
      <formula>$BJ$49&lt;=$BG$49</formula>
    </cfRule>
  </conditionalFormatting>
  <dataValidations disablePrompts="1" count="1">
    <dataValidation type="list" allowBlank="1" showInputMessage="1" showErrorMessage="1" sqref="D58:E58 IZ58:JA58 SV58:SW58 ACR58:ACS58 AMN58:AMO58 AWJ58:AWK58 BGF58:BGG58 BQB58:BQC58 BZX58:BZY58 CJT58:CJU58 CTP58:CTQ58 DDL58:DDM58 DNH58:DNI58 DXD58:DXE58 EGZ58:EHA58 EQV58:EQW58 FAR58:FAS58 FKN58:FKO58 FUJ58:FUK58 GEF58:GEG58 GOB58:GOC58 GXX58:GXY58 HHT58:HHU58 HRP58:HRQ58 IBL58:IBM58 ILH58:ILI58 IVD58:IVE58 JEZ58:JFA58 JOV58:JOW58 JYR58:JYS58 KIN58:KIO58 KSJ58:KSK58 LCF58:LCG58 LMB58:LMC58 LVX58:LVY58 MFT58:MFU58 MPP58:MPQ58 MZL58:MZM58 NJH58:NJI58 NTD58:NTE58 OCZ58:ODA58 OMV58:OMW58 OWR58:OWS58 PGN58:PGO58 PQJ58:PQK58 QAF58:QAG58 QKB58:QKC58 QTX58:QTY58 RDT58:RDU58 RNP58:RNQ58 RXL58:RXM58 SHH58:SHI58 SRD58:SRE58 TAZ58:TBA58 TKV58:TKW58 TUR58:TUS58 UEN58:UEO58 UOJ58:UOK58 UYF58:UYG58 VIB58:VIC58 VRX58:VRY58 WBT58:WBU58 WLP58:WLQ58 WVL58:WVM58 D65594:E65594 IZ65594:JA65594 SV65594:SW65594 ACR65594:ACS65594 AMN65594:AMO65594 AWJ65594:AWK65594 BGF65594:BGG65594 BQB65594:BQC65594 BZX65594:BZY65594 CJT65594:CJU65594 CTP65594:CTQ65594 DDL65594:DDM65594 DNH65594:DNI65594 DXD65594:DXE65594 EGZ65594:EHA65594 EQV65594:EQW65594 FAR65594:FAS65594 FKN65594:FKO65594 FUJ65594:FUK65594 GEF65594:GEG65594 GOB65594:GOC65594 GXX65594:GXY65594 HHT65594:HHU65594 HRP65594:HRQ65594 IBL65594:IBM65594 ILH65594:ILI65594 IVD65594:IVE65594 JEZ65594:JFA65594 JOV65594:JOW65594 JYR65594:JYS65594 KIN65594:KIO65594 KSJ65594:KSK65594 LCF65594:LCG65594 LMB65594:LMC65594 LVX65594:LVY65594 MFT65594:MFU65594 MPP65594:MPQ65594 MZL65594:MZM65594 NJH65594:NJI65594 NTD65594:NTE65594 OCZ65594:ODA65594 OMV65594:OMW65594 OWR65594:OWS65594 PGN65594:PGO65594 PQJ65594:PQK65594 QAF65594:QAG65594 QKB65594:QKC65594 QTX65594:QTY65594 RDT65594:RDU65594 RNP65594:RNQ65594 RXL65594:RXM65594 SHH65594:SHI65594 SRD65594:SRE65594 TAZ65594:TBA65594 TKV65594:TKW65594 TUR65594:TUS65594 UEN65594:UEO65594 UOJ65594:UOK65594 UYF65594:UYG65594 VIB65594:VIC65594 VRX65594:VRY65594 WBT65594:WBU65594 WLP65594:WLQ65594 WVL65594:WVM65594 D131130:E131130 IZ131130:JA131130 SV131130:SW131130 ACR131130:ACS131130 AMN131130:AMO131130 AWJ131130:AWK131130 BGF131130:BGG131130 BQB131130:BQC131130 BZX131130:BZY131130 CJT131130:CJU131130 CTP131130:CTQ131130 DDL131130:DDM131130 DNH131130:DNI131130 DXD131130:DXE131130 EGZ131130:EHA131130 EQV131130:EQW131130 FAR131130:FAS131130 FKN131130:FKO131130 FUJ131130:FUK131130 GEF131130:GEG131130 GOB131130:GOC131130 GXX131130:GXY131130 HHT131130:HHU131130 HRP131130:HRQ131130 IBL131130:IBM131130 ILH131130:ILI131130 IVD131130:IVE131130 JEZ131130:JFA131130 JOV131130:JOW131130 JYR131130:JYS131130 KIN131130:KIO131130 KSJ131130:KSK131130 LCF131130:LCG131130 LMB131130:LMC131130 LVX131130:LVY131130 MFT131130:MFU131130 MPP131130:MPQ131130 MZL131130:MZM131130 NJH131130:NJI131130 NTD131130:NTE131130 OCZ131130:ODA131130 OMV131130:OMW131130 OWR131130:OWS131130 PGN131130:PGO131130 PQJ131130:PQK131130 QAF131130:QAG131130 QKB131130:QKC131130 QTX131130:QTY131130 RDT131130:RDU131130 RNP131130:RNQ131130 RXL131130:RXM131130 SHH131130:SHI131130 SRD131130:SRE131130 TAZ131130:TBA131130 TKV131130:TKW131130 TUR131130:TUS131130 UEN131130:UEO131130 UOJ131130:UOK131130 UYF131130:UYG131130 VIB131130:VIC131130 VRX131130:VRY131130 WBT131130:WBU131130 WLP131130:WLQ131130 WVL131130:WVM131130 D196666:E196666 IZ196666:JA196666 SV196666:SW196666 ACR196666:ACS196666 AMN196666:AMO196666 AWJ196666:AWK196666 BGF196666:BGG196666 BQB196666:BQC196666 BZX196666:BZY196666 CJT196666:CJU196666 CTP196666:CTQ196666 DDL196666:DDM196666 DNH196666:DNI196666 DXD196666:DXE196666 EGZ196666:EHA196666 EQV196666:EQW196666 FAR196666:FAS196666 FKN196666:FKO196666 FUJ196666:FUK196666 GEF196666:GEG196666 GOB196666:GOC196666 GXX196666:GXY196666 HHT196666:HHU196666 HRP196666:HRQ196666 IBL196666:IBM196666 ILH196666:ILI196666 IVD196666:IVE196666 JEZ196666:JFA196666 JOV196666:JOW196666 JYR196666:JYS196666 KIN196666:KIO196666 KSJ196666:KSK196666 LCF196666:LCG196666 LMB196666:LMC196666 LVX196666:LVY196666 MFT196666:MFU196666 MPP196666:MPQ196666 MZL196666:MZM196666 NJH196666:NJI196666 NTD196666:NTE196666 OCZ196666:ODA196666 OMV196666:OMW196666 OWR196666:OWS196666 PGN196666:PGO196666 PQJ196666:PQK196666 QAF196666:QAG196666 QKB196666:QKC196666 QTX196666:QTY196666 RDT196666:RDU196666 RNP196666:RNQ196666 RXL196666:RXM196666 SHH196666:SHI196666 SRD196666:SRE196666 TAZ196666:TBA196666 TKV196666:TKW196666 TUR196666:TUS196666 UEN196666:UEO196666 UOJ196666:UOK196666 UYF196666:UYG196666 VIB196666:VIC196666 VRX196666:VRY196666 WBT196666:WBU196666 WLP196666:WLQ196666 WVL196666:WVM196666 D262202:E262202 IZ262202:JA262202 SV262202:SW262202 ACR262202:ACS262202 AMN262202:AMO262202 AWJ262202:AWK262202 BGF262202:BGG262202 BQB262202:BQC262202 BZX262202:BZY262202 CJT262202:CJU262202 CTP262202:CTQ262202 DDL262202:DDM262202 DNH262202:DNI262202 DXD262202:DXE262202 EGZ262202:EHA262202 EQV262202:EQW262202 FAR262202:FAS262202 FKN262202:FKO262202 FUJ262202:FUK262202 GEF262202:GEG262202 GOB262202:GOC262202 GXX262202:GXY262202 HHT262202:HHU262202 HRP262202:HRQ262202 IBL262202:IBM262202 ILH262202:ILI262202 IVD262202:IVE262202 JEZ262202:JFA262202 JOV262202:JOW262202 JYR262202:JYS262202 KIN262202:KIO262202 KSJ262202:KSK262202 LCF262202:LCG262202 LMB262202:LMC262202 LVX262202:LVY262202 MFT262202:MFU262202 MPP262202:MPQ262202 MZL262202:MZM262202 NJH262202:NJI262202 NTD262202:NTE262202 OCZ262202:ODA262202 OMV262202:OMW262202 OWR262202:OWS262202 PGN262202:PGO262202 PQJ262202:PQK262202 QAF262202:QAG262202 QKB262202:QKC262202 QTX262202:QTY262202 RDT262202:RDU262202 RNP262202:RNQ262202 RXL262202:RXM262202 SHH262202:SHI262202 SRD262202:SRE262202 TAZ262202:TBA262202 TKV262202:TKW262202 TUR262202:TUS262202 UEN262202:UEO262202 UOJ262202:UOK262202 UYF262202:UYG262202 VIB262202:VIC262202 VRX262202:VRY262202 WBT262202:WBU262202 WLP262202:WLQ262202 WVL262202:WVM262202 D327738:E327738 IZ327738:JA327738 SV327738:SW327738 ACR327738:ACS327738 AMN327738:AMO327738 AWJ327738:AWK327738 BGF327738:BGG327738 BQB327738:BQC327738 BZX327738:BZY327738 CJT327738:CJU327738 CTP327738:CTQ327738 DDL327738:DDM327738 DNH327738:DNI327738 DXD327738:DXE327738 EGZ327738:EHA327738 EQV327738:EQW327738 FAR327738:FAS327738 FKN327738:FKO327738 FUJ327738:FUK327738 GEF327738:GEG327738 GOB327738:GOC327738 GXX327738:GXY327738 HHT327738:HHU327738 HRP327738:HRQ327738 IBL327738:IBM327738 ILH327738:ILI327738 IVD327738:IVE327738 JEZ327738:JFA327738 JOV327738:JOW327738 JYR327738:JYS327738 KIN327738:KIO327738 KSJ327738:KSK327738 LCF327738:LCG327738 LMB327738:LMC327738 LVX327738:LVY327738 MFT327738:MFU327738 MPP327738:MPQ327738 MZL327738:MZM327738 NJH327738:NJI327738 NTD327738:NTE327738 OCZ327738:ODA327738 OMV327738:OMW327738 OWR327738:OWS327738 PGN327738:PGO327738 PQJ327738:PQK327738 QAF327738:QAG327738 QKB327738:QKC327738 QTX327738:QTY327738 RDT327738:RDU327738 RNP327738:RNQ327738 RXL327738:RXM327738 SHH327738:SHI327738 SRD327738:SRE327738 TAZ327738:TBA327738 TKV327738:TKW327738 TUR327738:TUS327738 UEN327738:UEO327738 UOJ327738:UOK327738 UYF327738:UYG327738 VIB327738:VIC327738 VRX327738:VRY327738 WBT327738:WBU327738 WLP327738:WLQ327738 WVL327738:WVM327738 D393274:E393274 IZ393274:JA393274 SV393274:SW393274 ACR393274:ACS393274 AMN393274:AMO393274 AWJ393274:AWK393274 BGF393274:BGG393274 BQB393274:BQC393274 BZX393274:BZY393274 CJT393274:CJU393274 CTP393274:CTQ393274 DDL393274:DDM393274 DNH393274:DNI393274 DXD393274:DXE393274 EGZ393274:EHA393274 EQV393274:EQW393274 FAR393274:FAS393274 FKN393274:FKO393274 FUJ393274:FUK393274 GEF393274:GEG393274 GOB393274:GOC393274 GXX393274:GXY393274 HHT393274:HHU393274 HRP393274:HRQ393274 IBL393274:IBM393274 ILH393274:ILI393274 IVD393274:IVE393274 JEZ393274:JFA393274 JOV393274:JOW393274 JYR393274:JYS393274 KIN393274:KIO393274 KSJ393274:KSK393274 LCF393274:LCG393274 LMB393274:LMC393274 LVX393274:LVY393274 MFT393274:MFU393274 MPP393274:MPQ393274 MZL393274:MZM393274 NJH393274:NJI393274 NTD393274:NTE393274 OCZ393274:ODA393274 OMV393274:OMW393274 OWR393274:OWS393274 PGN393274:PGO393274 PQJ393274:PQK393274 QAF393274:QAG393274 QKB393274:QKC393274 QTX393274:QTY393274 RDT393274:RDU393274 RNP393274:RNQ393274 RXL393274:RXM393274 SHH393274:SHI393274 SRD393274:SRE393274 TAZ393274:TBA393274 TKV393274:TKW393274 TUR393274:TUS393274 UEN393274:UEO393274 UOJ393274:UOK393274 UYF393274:UYG393274 VIB393274:VIC393274 VRX393274:VRY393274 WBT393274:WBU393274 WLP393274:WLQ393274 WVL393274:WVM393274 D458810:E458810 IZ458810:JA458810 SV458810:SW458810 ACR458810:ACS458810 AMN458810:AMO458810 AWJ458810:AWK458810 BGF458810:BGG458810 BQB458810:BQC458810 BZX458810:BZY458810 CJT458810:CJU458810 CTP458810:CTQ458810 DDL458810:DDM458810 DNH458810:DNI458810 DXD458810:DXE458810 EGZ458810:EHA458810 EQV458810:EQW458810 FAR458810:FAS458810 FKN458810:FKO458810 FUJ458810:FUK458810 GEF458810:GEG458810 GOB458810:GOC458810 GXX458810:GXY458810 HHT458810:HHU458810 HRP458810:HRQ458810 IBL458810:IBM458810 ILH458810:ILI458810 IVD458810:IVE458810 JEZ458810:JFA458810 JOV458810:JOW458810 JYR458810:JYS458810 KIN458810:KIO458810 KSJ458810:KSK458810 LCF458810:LCG458810 LMB458810:LMC458810 LVX458810:LVY458810 MFT458810:MFU458810 MPP458810:MPQ458810 MZL458810:MZM458810 NJH458810:NJI458810 NTD458810:NTE458810 OCZ458810:ODA458810 OMV458810:OMW458810 OWR458810:OWS458810 PGN458810:PGO458810 PQJ458810:PQK458810 QAF458810:QAG458810 QKB458810:QKC458810 QTX458810:QTY458810 RDT458810:RDU458810 RNP458810:RNQ458810 RXL458810:RXM458810 SHH458810:SHI458810 SRD458810:SRE458810 TAZ458810:TBA458810 TKV458810:TKW458810 TUR458810:TUS458810 UEN458810:UEO458810 UOJ458810:UOK458810 UYF458810:UYG458810 VIB458810:VIC458810 VRX458810:VRY458810 WBT458810:WBU458810 WLP458810:WLQ458810 WVL458810:WVM458810 D524346:E524346 IZ524346:JA524346 SV524346:SW524346 ACR524346:ACS524346 AMN524346:AMO524346 AWJ524346:AWK524346 BGF524346:BGG524346 BQB524346:BQC524346 BZX524346:BZY524346 CJT524346:CJU524346 CTP524346:CTQ524346 DDL524346:DDM524346 DNH524346:DNI524346 DXD524346:DXE524346 EGZ524346:EHA524346 EQV524346:EQW524346 FAR524346:FAS524346 FKN524346:FKO524346 FUJ524346:FUK524346 GEF524346:GEG524346 GOB524346:GOC524346 GXX524346:GXY524346 HHT524346:HHU524346 HRP524346:HRQ524346 IBL524346:IBM524346 ILH524346:ILI524346 IVD524346:IVE524346 JEZ524346:JFA524346 JOV524346:JOW524346 JYR524346:JYS524346 KIN524346:KIO524346 KSJ524346:KSK524346 LCF524346:LCG524346 LMB524346:LMC524346 LVX524346:LVY524346 MFT524346:MFU524346 MPP524346:MPQ524346 MZL524346:MZM524346 NJH524346:NJI524346 NTD524346:NTE524346 OCZ524346:ODA524346 OMV524346:OMW524346 OWR524346:OWS524346 PGN524346:PGO524346 PQJ524346:PQK524346 QAF524346:QAG524346 QKB524346:QKC524346 QTX524346:QTY524346 RDT524346:RDU524346 RNP524346:RNQ524346 RXL524346:RXM524346 SHH524346:SHI524346 SRD524346:SRE524346 TAZ524346:TBA524346 TKV524346:TKW524346 TUR524346:TUS524346 UEN524346:UEO524346 UOJ524346:UOK524346 UYF524346:UYG524346 VIB524346:VIC524346 VRX524346:VRY524346 WBT524346:WBU524346 WLP524346:WLQ524346 WVL524346:WVM524346 D589882:E589882 IZ589882:JA589882 SV589882:SW589882 ACR589882:ACS589882 AMN589882:AMO589882 AWJ589882:AWK589882 BGF589882:BGG589882 BQB589882:BQC589882 BZX589882:BZY589882 CJT589882:CJU589882 CTP589882:CTQ589882 DDL589882:DDM589882 DNH589882:DNI589882 DXD589882:DXE589882 EGZ589882:EHA589882 EQV589882:EQW589882 FAR589882:FAS589882 FKN589882:FKO589882 FUJ589882:FUK589882 GEF589882:GEG589882 GOB589882:GOC589882 GXX589882:GXY589882 HHT589882:HHU589882 HRP589882:HRQ589882 IBL589882:IBM589882 ILH589882:ILI589882 IVD589882:IVE589882 JEZ589882:JFA589882 JOV589882:JOW589882 JYR589882:JYS589882 KIN589882:KIO589882 KSJ589882:KSK589882 LCF589882:LCG589882 LMB589882:LMC589882 LVX589882:LVY589882 MFT589882:MFU589882 MPP589882:MPQ589882 MZL589882:MZM589882 NJH589882:NJI589882 NTD589882:NTE589882 OCZ589882:ODA589882 OMV589882:OMW589882 OWR589882:OWS589882 PGN589882:PGO589882 PQJ589882:PQK589882 QAF589882:QAG589882 QKB589882:QKC589882 QTX589882:QTY589882 RDT589882:RDU589882 RNP589882:RNQ589882 RXL589882:RXM589882 SHH589882:SHI589882 SRD589882:SRE589882 TAZ589882:TBA589882 TKV589882:TKW589882 TUR589882:TUS589882 UEN589882:UEO589882 UOJ589882:UOK589882 UYF589882:UYG589882 VIB589882:VIC589882 VRX589882:VRY589882 WBT589882:WBU589882 WLP589882:WLQ589882 WVL589882:WVM589882 D655418:E655418 IZ655418:JA655418 SV655418:SW655418 ACR655418:ACS655418 AMN655418:AMO655418 AWJ655418:AWK655418 BGF655418:BGG655418 BQB655418:BQC655418 BZX655418:BZY655418 CJT655418:CJU655418 CTP655418:CTQ655418 DDL655418:DDM655418 DNH655418:DNI655418 DXD655418:DXE655418 EGZ655418:EHA655418 EQV655418:EQW655418 FAR655418:FAS655418 FKN655418:FKO655418 FUJ655418:FUK655418 GEF655418:GEG655418 GOB655418:GOC655418 GXX655418:GXY655418 HHT655418:HHU655418 HRP655418:HRQ655418 IBL655418:IBM655418 ILH655418:ILI655418 IVD655418:IVE655418 JEZ655418:JFA655418 JOV655418:JOW655418 JYR655418:JYS655418 KIN655418:KIO655418 KSJ655418:KSK655418 LCF655418:LCG655418 LMB655418:LMC655418 LVX655418:LVY655418 MFT655418:MFU655418 MPP655418:MPQ655418 MZL655418:MZM655418 NJH655418:NJI655418 NTD655418:NTE655418 OCZ655418:ODA655418 OMV655418:OMW655418 OWR655418:OWS655418 PGN655418:PGO655418 PQJ655418:PQK655418 QAF655418:QAG655418 QKB655418:QKC655418 QTX655418:QTY655418 RDT655418:RDU655418 RNP655418:RNQ655418 RXL655418:RXM655418 SHH655418:SHI655418 SRD655418:SRE655418 TAZ655418:TBA655418 TKV655418:TKW655418 TUR655418:TUS655418 UEN655418:UEO655418 UOJ655418:UOK655418 UYF655418:UYG655418 VIB655418:VIC655418 VRX655418:VRY655418 WBT655418:WBU655418 WLP655418:WLQ655418 WVL655418:WVM655418 D720954:E720954 IZ720954:JA720954 SV720954:SW720954 ACR720954:ACS720954 AMN720954:AMO720954 AWJ720954:AWK720954 BGF720954:BGG720954 BQB720954:BQC720954 BZX720954:BZY720954 CJT720954:CJU720954 CTP720954:CTQ720954 DDL720954:DDM720954 DNH720954:DNI720954 DXD720954:DXE720954 EGZ720954:EHA720954 EQV720954:EQW720954 FAR720954:FAS720954 FKN720954:FKO720954 FUJ720954:FUK720954 GEF720954:GEG720954 GOB720954:GOC720954 GXX720954:GXY720954 HHT720954:HHU720954 HRP720954:HRQ720954 IBL720954:IBM720954 ILH720954:ILI720954 IVD720954:IVE720954 JEZ720954:JFA720954 JOV720954:JOW720954 JYR720954:JYS720954 KIN720954:KIO720954 KSJ720954:KSK720954 LCF720954:LCG720954 LMB720954:LMC720954 LVX720954:LVY720954 MFT720954:MFU720954 MPP720954:MPQ720954 MZL720954:MZM720954 NJH720954:NJI720954 NTD720954:NTE720954 OCZ720954:ODA720954 OMV720954:OMW720954 OWR720954:OWS720954 PGN720954:PGO720954 PQJ720954:PQK720954 QAF720954:QAG720954 QKB720954:QKC720954 QTX720954:QTY720954 RDT720954:RDU720954 RNP720954:RNQ720954 RXL720954:RXM720954 SHH720954:SHI720954 SRD720954:SRE720954 TAZ720954:TBA720954 TKV720954:TKW720954 TUR720954:TUS720954 UEN720954:UEO720954 UOJ720954:UOK720954 UYF720954:UYG720954 VIB720954:VIC720954 VRX720954:VRY720954 WBT720954:WBU720954 WLP720954:WLQ720954 WVL720954:WVM720954 D786490:E786490 IZ786490:JA786490 SV786490:SW786490 ACR786490:ACS786490 AMN786490:AMO786490 AWJ786490:AWK786490 BGF786490:BGG786490 BQB786490:BQC786490 BZX786490:BZY786490 CJT786490:CJU786490 CTP786490:CTQ786490 DDL786490:DDM786490 DNH786490:DNI786490 DXD786490:DXE786490 EGZ786490:EHA786490 EQV786490:EQW786490 FAR786490:FAS786490 FKN786490:FKO786490 FUJ786490:FUK786490 GEF786490:GEG786490 GOB786490:GOC786490 GXX786490:GXY786490 HHT786490:HHU786490 HRP786490:HRQ786490 IBL786490:IBM786490 ILH786490:ILI786490 IVD786490:IVE786490 JEZ786490:JFA786490 JOV786490:JOW786490 JYR786490:JYS786490 KIN786490:KIO786490 KSJ786490:KSK786490 LCF786490:LCG786490 LMB786490:LMC786490 LVX786490:LVY786490 MFT786490:MFU786490 MPP786490:MPQ786490 MZL786490:MZM786490 NJH786490:NJI786490 NTD786490:NTE786490 OCZ786490:ODA786490 OMV786490:OMW786490 OWR786490:OWS786490 PGN786490:PGO786490 PQJ786490:PQK786490 QAF786490:QAG786490 QKB786490:QKC786490 QTX786490:QTY786490 RDT786490:RDU786490 RNP786490:RNQ786490 RXL786490:RXM786490 SHH786490:SHI786490 SRD786490:SRE786490 TAZ786490:TBA786490 TKV786490:TKW786490 TUR786490:TUS786490 UEN786490:UEO786490 UOJ786490:UOK786490 UYF786490:UYG786490 VIB786490:VIC786490 VRX786490:VRY786490 WBT786490:WBU786490 WLP786490:WLQ786490 WVL786490:WVM786490 D852026:E852026 IZ852026:JA852026 SV852026:SW852026 ACR852026:ACS852026 AMN852026:AMO852026 AWJ852026:AWK852026 BGF852026:BGG852026 BQB852026:BQC852026 BZX852026:BZY852026 CJT852026:CJU852026 CTP852026:CTQ852026 DDL852026:DDM852026 DNH852026:DNI852026 DXD852026:DXE852026 EGZ852026:EHA852026 EQV852026:EQW852026 FAR852026:FAS852026 FKN852026:FKO852026 FUJ852026:FUK852026 GEF852026:GEG852026 GOB852026:GOC852026 GXX852026:GXY852026 HHT852026:HHU852026 HRP852026:HRQ852026 IBL852026:IBM852026 ILH852026:ILI852026 IVD852026:IVE852026 JEZ852026:JFA852026 JOV852026:JOW852026 JYR852026:JYS852026 KIN852026:KIO852026 KSJ852026:KSK852026 LCF852026:LCG852026 LMB852026:LMC852026 LVX852026:LVY852026 MFT852026:MFU852026 MPP852026:MPQ852026 MZL852026:MZM852026 NJH852026:NJI852026 NTD852026:NTE852026 OCZ852026:ODA852026 OMV852026:OMW852026 OWR852026:OWS852026 PGN852026:PGO852026 PQJ852026:PQK852026 QAF852026:QAG852026 QKB852026:QKC852026 QTX852026:QTY852026 RDT852026:RDU852026 RNP852026:RNQ852026 RXL852026:RXM852026 SHH852026:SHI852026 SRD852026:SRE852026 TAZ852026:TBA852026 TKV852026:TKW852026 TUR852026:TUS852026 UEN852026:UEO852026 UOJ852026:UOK852026 UYF852026:UYG852026 VIB852026:VIC852026 VRX852026:VRY852026 WBT852026:WBU852026 WLP852026:WLQ852026 WVL852026:WVM852026 D917562:E917562 IZ917562:JA917562 SV917562:SW917562 ACR917562:ACS917562 AMN917562:AMO917562 AWJ917562:AWK917562 BGF917562:BGG917562 BQB917562:BQC917562 BZX917562:BZY917562 CJT917562:CJU917562 CTP917562:CTQ917562 DDL917562:DDM917562 DNH917562:DNI917562 DXD917562:DXE917562 EGZ917562:EHA917562 EQV917562:EQW917562 FAR917562:FAS917562 FKN917562:FKO917562 FUJ917562:FUK917562 GEF917562:GEG917562 GOB917562:GOC917562 GXX917562:GXY917562 HHT917562:HHU917562 HRP917562:HRQ917562 IBL917562:IBM917562 ILH917562:ILI917562 IVD917562:IVE917562 JEZ917562:JFA917562 JOV917562:JOW917562 JYR917562:JYS917562 KIN917562:KIO917562 KSJ917562:KSK917562 LCF917562:LCG917562 LMB917562:LMC917562 LVX917562:LVY917562 MFT917562:MFU917562 MPP917562:MPQ917562 MZL917562:MZM917562 NJH917562:NJI917562 NTD917562:NTE917562 OCZ917562:ODA917562 OMV917562:OMW917562 OWR917562:OWS917562 PGN917562:PGO917562 PQJ917562:PQK917562 QAF917562:QAG917562 QKB917562:QKC917562 QTX917562:QTY917562 RDT917562:RDU917562 RNP917562:RNQ917562 RXL917562:RXM917562 SHH917562:SHI917562 SRD917562:SRE917562 TAZ917562:TBA917562 TKV917562:TKW917562 TUR917562:TUS917562 UEN917562:UEO917562 UOJ917562:UOK917562 UYF917562:UYG917562 VIB917562:VIC917562 VRX917562:VRY917562 WBT917562:WBU917562 WLP917562:WLQ917562 WVL917562:WVM917562 D983098:E983098 IZ983098:JA983098 SV983098:SW983098 ACR983098:ACS983098 AMN983098:AMO983098 AWJ983098:AWK983098 BGF983098:BGG983098 BQB983098:BQC983098 BZX983098:BZY983098 CJT983098:CJU983098 CTP983098:CTQ983098 DDL983098:DDM983098 DNH983098:DNI983098 DXD983098:DXE983098 EGZ983098:EHA983098 EQV983098:EQW983098 FAR983098:FAS983098 FKN983098:FKO983098 FUJ983098:FUK983098 GEF983098:GEG983098 GOB983098:GOC983098 GXX983098:GXY983098 HHT983098:HHU983098 HRP983098:HRQ983098 IBL983098:IBM983098 ILH983098:ILI983098 IVD983098:IVE983098 JEZ983098:JFA983098 JOV983098:JOW983098 JYR983098:JYS983098 KIN983098:KIO983098 KSJ983098:KSK983098 LCF983098:LCG983098 LMB983098:LMC983098 LVX983098:LVY983098 MFT983098:MFU983098 MPP983098:MPQ983098 MZL983098:MZM983098 NJH983098:NJI983098 NTD983098:NTE983098 OCZ983098:ODA983098 OMV983098:OMW983098 OWR983098:OWS983098 PGN983098:PGO983098 PQJ983098:PQK983098 QAF983098:QAG983098 QKB983098:QKC983098 QTX983098:QTY983098 RDT983098:RDU983098 RNP983098:RNQ983098 RXL983098:RXM983098 SHH983098:SHI983098 SRD983098:SRE983098 TAZ983098:TBA983098 TKV983098:TKW983098 TUR983098:TUS983098 UEN983098:UEO983098 UOJ983098:UOK983098 UYF983098:UYG983098 VIB983098:VIC983098 VRX983098:VRY983098 WBT983098:WBU983098 WLP983098:WLQ983098 WVL983098:WVM983098 T58:U58 JP58:JQ58 TL58:TM58 ADH58:ADI58 AND58:ANE58 AWZ58:AXA58 BGV58:BGW58 BQR58:BQS58 CAN58:CAO58 CKJ58:CKK58 CUF58:CUG58 DEB58:DEC58 DNX58:DNY58 DXT58:DXU58 EHP58:EHQ58 ERL58:ERM58 FBH58:FBI58 FLD58:FLE58 FUZ58:FVA58 GEV58:GEW58 GOR58:GOS58 GYN58:GYO58 HIJ58:HIK58 HSF58:HSG58 ICB58:ICC58 ILX58:ILY58 IVT58:IVU58 JFP58:JFQ58 JPL58:JPM58 JZH58:JZI58 KJD58:KJE58 KSZ58:KTA58 LCV58:LCW58 LMR58:LMS58 LWN58:LWO58 MGJ58:MGK58 MQF58:MQG58 NAB58:NAC58 NJX58:NJY58 NTT58:NTU58 ODP58:ODQ58 ONL58:ONM58 OXH58:OXI58 PHD58:PHE58 PQZ58:PRA58 QAV58:QAW58 QKR58:QKS58 QUN58:QUO58 REJ58:REK58 ROF58:ROG58 RYB58:RYC58 SHX58:SHY58 SRT58:SRU58 TBP58:TBQ58 TLL58:TLM58 TVH58:TVI58 UFD58:UFE58 UOZ58:UPA58 UYV58:UYW58 VIR58:VIS58 VSN58:VSO58 WCJ58:WCK58 WMF58:WMG58 WWB58:WWC58 T65594:U65594 JP65594:JQ65594 TL65594:TM65594 ADH65594:ADI65594 AND65594:ANE65594 AWZ65594:AXA65594 BGV65594:BGW65594 BQR65594:BQS65594 CAN65594:CAO65594 CKJ65594:CKK65594 CUF65594:CUG65594 DEB65594:DEC65594 DNX65594:DNY65594 DXT65594:DXU65594 EHP65594:EHQ65594 ERL65594:ERM65594 FBH65594:FBI65594 FLD65594:FLE65594 FUZ65594:FVA65594 GEV65594:GEW65594 GOR65594:GOS65594 GYN65594:GYO65594 HIJ65594:HIK65594 HSF65594:HSG65594 ICB65594:ICC65594 ILX65594:ILY65594 IVT65594:IVU65594 JFP65594:JFQ65594 JPL65594:JPM65594 JZH65594:JZI65594 KJD65594:KJE65594 KSZ65594:KTA65594 LCV65594:LCW65594 LMR65594:LMS65594 LWN65594:LWO65594 MGJ65594:MGK65594 MQF65594:MQG65594 NAB65594:NAC65594 NJX65594:NJY65594 NTT65594:NTU65594 ODP65594:ODQ65594 ONL65594:ONM65594 OXH65594:OXI65594 PHD65594:PHE65594 PQZ65594:PRA65594 QAV65594:QAW65594 QKR65594:QKS65594 QUN65594:QUO65594 REJ65594:REK65594 ROF65594:ROG65594 RYB65594:RYC65594 SHX65594:SHY65594 SRT65594:SRU65594 TBP65594:TBQ65594 TLL65594:TLM65594 TVH65594:TVI65594 UFD65594:UFE65594 UOZ65594:UPA65594 UYV65594:UYW65594 VIR65594:VIS65594 VSN65594:VSO65594 WCJ65594:WCK65594 WMF65594:WMG65594 WWB65594:WWC65594 T131130:U131130 JP131130:JQ131130 TL131130:TM131130 ADH131130:ADI131130 AND131130:ANE131130 AWZ131130:AXA131130 BGV131130:BGW131130 BQR131130:BQS131130 CAN131130:CAO131130 CKJ131130:CKK131130 CUF131130:CUG131130 DEB131130:DEC131130 DNX131130:DNY131130 DXT131130:DXU131130 EHP131130:EHQ131130 ERL131130:ERM131130 FBH131130:FBI131130 FLD131130:FLE131130 FUZ131130:FVA131130 GEV131130:GEW131130 GOR131130:GOS131130 GYN131130:GYO131130 HIJ131130:HIK131130 HSF131130:HSG131130 ICB131130:ICC131130 ILX131130:ILY131130 IVT131130:IVU131130 JFP131130:JFQ131130 JPL131130:JPM131130 JZH131130:JZI131130 KJD131130:KJE131130 KSZ131130:KTA131130 LCV131130:LCW131130 LMR131130:LMS131130 LWN131130:LWO131130 MGJ131130:MGK131130 MQF131130:MQG131130 NAB131130:NAC131130 NJX131130:NJY131130 NTT131130:NTU131130 ODP131130:ODQ131130 ONL131130:ONM131130 OXH131130:OXI131130 PHD131130:PHE131130 PQZ131130:PRA131130 QAV131130:QAW131130 QKR131130:QKS131130 QUN131130:QUO131130 REJ131130:REK131130 ROF131130:ROG131130 RYB131130:RYC131130 SHX131130:SHY131130 SRT131130:SRU131130 TBP131130:TBQ131130 TLL131130:TLM131130 TVH131130:TVI131130 UFD131130:UFE131130 UOZ131130:UPA131130 UYV131130:UYW131130 VIR131130:VIS131130 VSN131130:VSO131130 WCJ131130:WCK131130 WMF131130:WMG131130 WWB131130:WWC131130 T196666:U196666 JP196666:JQ196666 TL196666:TM196666 ADH196666:ADI196666 AND196666:ANE196666 AWZ196666:AXA196666 BGV196666:BGW196666 BQR196666:BQS196666 CAN196666:CAO196666 CKJ196666:CKK196666 CUF196666:CUG196666 DEB196666:DEC196666 DNX196666:DNY196666 DXT196666:DXU196666 EHP196666:EHQ196666 ERL196666:ERM196666 FBH196666:FBI196666 FLD196666:FLE196666 FUZ196666:FVA196666 GEV196666:GEW196666 GOR196666:GOS196666 GYN196666:GYO196666 HIJ196666:HIK196666 HSF196666:HSG196666 ICB196666:ICC196666 ILX196666:ILY196666 IVT196666:IVU196666 JFP196666:JFQ196666 JPL196666:JPM196666 JZH196666:JZI196666 KJD196666:KJE196666 KSZ196666:KTA196666 LCV196666:LCW196666 LMR196666:LMS196666 LWN196666:LWO196666 MGJ196666:MGK196666 MQF196666:MQG196666 NAB196666:NAC196666 NJX196666:NJY196666 NTT196666:NTU196666 ODP196666:ODQ196666 ONL196666:ONM196666 OXH196666:OXI196666 PHD196666:PHE196666 PQZ196666:PRA196666 QAV196666:QAW196666 QKR196666:QKS196666 QUN196666:QUO196666 REJ196666:REK196666 ROF196666:ROG196666 RYB196666:RYC196666 SHX196666:SHY196666 SRT196666:SRU196666 TBP196666:TBQ196666 TLL196666:TLM196666 TVH196666:TVI196666 UFD196666:UFE196666 UOZ196666:UPA196666 UYV196666:UYW196666 VIR196666:VIS196666 VSN196666:VSO196666 WCJ196666:WCK196666 WMF196666:WMG196666 WWB196666:WWC196666 T262202:U262202 JP262202:JQ262202 TL262202:TM262202 ADH262202:ADI262202 AND262202:ANE262202 AWZ262202:AXA262202 BGV262202:BGW262202 BQR262202:BQS262202 CAN262202:CAO262202 CKJ262202:CKK262202 CUF262202:CUG262202 DEB262202:DEC262202 DNX262202:DNY262202 DXT262202:DXU262202 EHP262202:EHQ262202 ERL262202:ERM262202 FBH262202:FBI262202 FLD262202:FLE262202 FUZ262202:FVA262202 GEV262202:GEW262202 GOR262202:GOS262202 GYN262202:GYO262202 HIJ262202:HIK262202 HSF262202:HSG262202 ICB262202:ICC262202 ILX262202:ILY262202 IVT262202:IVU262202 JFP262202:JFQ262202 JPL262202:JPM262202 JZH262202:JZI262202 KJD262202:KJE262202 KSZ262202:KTA262202 LCV262202:LCW262202 LMR262202:LMS262202 LWN262202:LWO262202 MGJ262202:MGK262202 MQF262202:MQG262202 NAB262202:NAC262202 NJX262202:NJY262202 NTT262202:NTU262202 ODP262202:ODQ262202 ONL262202:ONM262202 OXH262202:OXI262202 PHD262202:PHE262202 PQZ262202:PRA262202 QAV262202:QAW262202 QKR262202:QKS262202 QUN262202:QUO262202 REJ262202:REK262202 ROF262202:ROG262202 RYB262202:RYC262202 SHX262202:SHY262202 SRT262202:SRU262202 TBP262202:TBQ262202 TLL262202:TLM262202 TVH262202:TVI262202 UFD262202:UFE262202 UOZ262202:UPA262202 UYV262202:UYW262202 VIR262202:VIS262202 VSN262202:VSO262202 WCJ262202:WCK262202 WMF262202:WMG262202 WWB262202:WWC262202 T327738:U327738 JP327738:JQ327738 TL327738:TM327738 ADH327738:ADI327738 AND327738:ANE327738 AWZ327738:AXA327738 BGV327738:BGW327738 BQR327738:BQS327738 CAN327738:CAO327738 CKJ327738:CKK327738 CUF327738:CUG327738 DEB327738:DEC327738 DNX327738:DNY327738 DXT327738:DXU327738 EHP327738:EHQ327738 ERL327738:ERM327738 FBH327738:FBI327738 FLD327738:FLE327738 FUZ327738:FVA327738 GEV327738:GEW327738 GOR327738:GOS327738 GYN327738:GYO327738 HIJ327738:HIK327738 HSF327738:HSG327738 ICB327738:ICC327738 ILX327738:ILY327738 IVT327738:IVU327738 JFP327738:JFQ327738 JPL327738:JPM327738 JZH327738:JZI327738 KJD327738:KJE327738 KSZ327738:KTA327738 LCV327738:LCW327738 LMR327738:LMS327738 LWN327738:LWO327738 MGJ327738:MGK327738 MQF327738:MQG327738 NAB327738:NAC327738 NJX327738:NJY327738 NTT327738:NTU327738 ODP327738:ODQ327738 ONL327738:ONM327738 OXH327738:OXI327738 PHD327738:PHE327738 PQZ327738:PRA327738 QAV327738:QAW327738 QKR327738:QKS327738 QUN327738:QUO327738 REJ327738:REK327738 ROF327738:ROG327738 RYB327738:RYC327738 SHX327738:SHY327738 SRT327738:SRU327738 TBP327738:TBQ327738 TLL327738:TLM327738 TVH327738:TVI327738 UFD327738:UFE327738 UOZ327738:UPA327738 UYV327738:UYW327738 VIR327738:VIS327738 VSN327738:VSO327738 WCJ327738:WCK327738 WMF327738:WMG327738 WWB327738:WWC327738 T393274:U393274 JP393274:JQ393274 TL393274:TM393274 ADH393274:ADI393274 AND393274:ANE393274 AWZ393274:AXA393274 BGV393274:BGW393274 BQR393274:BQS393274 CAN393274:CAO393274 CKJ393274:CKK393274 CUF393274:CUG393274 DEB393274:DEC393274 DNX393274:DNY393274 DXT393274:DXU393274 EHP393274:EHQ393274 ERL393274:ERM393274 FBH393274:FBI393274 FLD393274:FLE393274 FUZ393274:FVA393274 GEV393274:GEW393274 GOR393274:GOS393274 GYN393274:GYO393274 HIJ393274:HIK393274 HSF393274:HSG393274 ICB393274:ICC393274 ILX393274:ILY393274 IVT393274:IVU393274 JFP393274:JFQ393274 JPL393274:JPM393274 JZH393274:JZI393274 KJD393274:KJE393274 KSZ393274:KTA393274 LCV393274:LCW393274 LMR393274:LMS393274 LWN393274:LWO393274 MGJ393274:MGK393274 MQF393274:MQG393274 NAB393274:NAC393274 NJX393274:NJY393274 NTT393274:NTU393274 ODP393274:ODQ393274 ONL393274:ONM393274 OXH393274:OXI393274 PHD393274:PHE393274 PQZ393274:PRA393274 QAV393274:QAW393274 QKR393274:QKS393274 QUN393274:QUO393274 REJ393274:REK393274 ROF393274:ROG393274 RYB393274:RYC393274 SHX393274:SHY393274 SRT393274:SRU393274 TBP393274:TBQ393274 TLL393274:TLM393274 TVH393274:TVI393274 UFD393274:UFE393274 UOZ393274:UPA393274 UYV393274:UYW393274 VIR393274:VIS393274 VSN393274:VSO393274 WCJ393274:WCK393274 WMF393274:WMG393274 WWB393274:WWC393274 T458810:U458810 JP458810:JQ458810 TL458810:TM458810 ADH458810:ADI458810 AND458810:ANE458810 AWZ458810:AXA458810 BGV458810:BGW458810 BQR458810:BQS458810 CAN458810:CAO458810 CKJ458810:CKK458810 CUF458810:CUG458810 DEB458810:DEC458810 DNX458810:DNY458810 DXT458810:DXU458810 EHP458810:EHQ458810 ERL458810:ERM458810 FBH458810:FBI458810 FLD458810:FLE458810 FUZ458810:FVA458810 GEV458810:GEW458810 GOR458810:GOS458810 GYN458810:GYO458810 HIJ458810:HIK458810 HSF458810:HSG458810 ICB458810:ICC458810 ILX458810:ILY458810 IVT458810:IVU458810 JFP458810:JFQ458810 JPL458810:JPM458810 JZH458810:JZI458810 KJD458810:KJE458810 KSZ458810:KTA458810 LCV458810:LCW458810 LMR458810:LMS458810 LWN458810:LWO458810 MGJ458810:MGK458810 MQF458810:MQG458810 NAB458810:NAC458810 NJX458810:NJY458810 NTT458810:NTU458810 ODP458810:ODQ458810 ONL458810:ONM458810 OXH458810:OXI458810 PHD458810:PHE458810 PQZ458810:PRA458810 QAV458810:QAW458810 QKR458810:QKS458810 QUN458810:QUO458810 REJ458810:REK458810 ROF458810:ROG458810 RYB458810:RYC458810 SHX458810:SHY458810 SRT458810:SRU458810 TBP458810:TBQ458810 TLL458810:TLM458810 TVH458810:TVI458810 UFD458810:UFE458810 UOZ458810:UPA458810 UYV458810:UYW458810 VIR458810:VIS458810 VSN458810:VSO458810 WCJ458810:WCK458810 WMF458810:WMG458810 WWB458810:WWC458810 T524346:U524346 JP524346:JQ524346 TL524346:TM524346 ADH524346:ADI524346 AND524346:ANE524346 AWZ524346:AXA524346 BGV524346:BGW524346 BQR524346:BQS524346 CAN524346:CAO524346 CKJ524346:CKK524346 CUF524346:CUG524346 DEB524346:DEC524346 DNX524346:DNY524346 DXT524346:DXU524346 EHP524346:EHQ524346 ERL524346:ERM524346 FBH524346:FBI524346 FLD524346:FLE524346 FUZ524346:FVA524346 GEV524346:GEW524346 GOR524346:GOS524346 GYN524346:GYO524346 HIJ524346:HIK524346 HSF524346:HSG524346 ICB524346:ICC524346 ILX524346:ILY524346 IVT524346:IVU524346 JFP524346:JFQ524346 JPL524346:JPM524346 JZH524346:JZI524346 KJD524346:KJE524346 KSZ524346:KTA524346 LCV524346:LCW524346 LMR524346:LMS524346 LWN524346:LWO524346 MGJ524346:MGK524346 MQF524346:MQG524346 NAB524346:NAC524346 NJX524346:NJY524346 NTT524346:NTU524346 ODP524346:ODQ524346 ONL524346:ONM524346 OXH524346:OXI524346 PHD524346:PHE524346 PQZ524346:PRA524346 QAV524346:QAW524346 QKR524346:QKS524346 QUN524346:QUO524346 REJ524346:REK524346 ROF524346:ROG524346 RYB524346:RYC524346 SHX524346:SHY524346 SRT524346:SRU524346 TBP524346:TBQ524346 TLL524346:TLM524346 TVH524346:TVI524346 UFD524346:UFE524346 UOZ524346:UPA524346 UYV524346:UYW524346 VIR524346:VIS524346 VSN524346:VSO524346 WCJ524346:WCK524346 WMF524346:WMG524346 WWB524346:WWC524346 T589882:U589882 JP589882:JQ589882 TL589882:TM589882 ADH589882:ADI589882 AND589882:ANE589882 AWZ589882:AXA589882 BGV589882:BGW589882 BQR589882:BQS589882 CAN589882:CAO589882 CKJ589882:CKK589882 CUF589882:CUG589882 DEB589882:DEC589882 DNX589882:DNY589882 DXT589882:DXU589882 EHP589882:EHQ589882 ERL589882:ERM589882 FBH589882:FBI589882 FLD589882:FLE589882 FUZ589882:FVA589882 GEV589882:GEW589882 GOR589882:GOS589882 GYN589882:GYO589882 HIJ589882:HIK589882 HSF589882:HSG589882 ICB589882:ICC589882 ILX589882:ILY589882 IVT589882:IVU589882 JFP589882:JFQ589882 JPL589882:JPM589882 JZH589882:JZI589882 KJD589882:KJE589882 KSZ589882:KTA589882 LCV589882:LCW589882 LMR589882:LMS589882 LWN589882:LWO589882 MGJ589882:MGK589882 MQF589882:MQG589882 NAB589882:NAC589882 NJX589882:NJY589882 NTT589882:NTU589882 ODP589882:ODQ589882 ONL589882:ONM589882 OXH589882:OXI589882 PHD589882:PHE589882 PQZ589882:PRA589882 QAV589882:QAW589882 QKR589882:QKS589882 QUN589882:QUO589882 REJ589882:REK589882 ROF589882:ROG589882 RYB589882:RYC589882 SHX589882:SHY589882 SRT589882:SRU589882 TBP589882:TBQ589882 TLL589882:TLM589882 TVH589882:TVI589882 UFD589882:UFE589882 UOZ589882:UPA589882 UYV589882:UYW589882 VIR589882:VIS589882 VSN589882:VSO589882 WCJ589882:WCK589882 WMF589882:WMG589882 WWB589882:WWC589882 T655418:U655418 JP655418:JQ655418 TL655418:TM655418 ADH655418:ADI655418 AND655418:ANE655418 AWZ655418:AXA655418 BGV655418:BGW655418 BQR655418:BQS655418 CAN655418:CAO655418 CKJ655418:CKK655418 CUF655418:CUG655418 DEB655418:DEC655418 DNX655418:DNY655418 DXT655418:DXU655418 EHP655418:EHQ655418 ERL655418:ERM655418 FBH655418:FBI655418 FLD655418:FLE655418 FUZ655418:FVA655418 GEV655418:GEW655418 GOR655418:GOS655418 GYN655418:GYO655418 HIJ655418:HIK655418 HSF655418:HSG655418 ICB655418:ICC655418 ILX655418:ILY655418 IVT655418:IVU655418 JFP655418:JFQ655418 JPL655418:JPM655418 JZH655418:JZI655418 KJD655418:KJE655418 KSZ655418:KTA655418 LCV655418:LCW655418 LMR655418:LMS655418 LWN655418:LWO655418 MGJ655418:MGK655418 MQF655418:MQG655418 NAB655418:NAC655418 NJX655418:NJY655418 NTT655418:NTU655418 ODP655418:ODQ655418 ONL655418:ONM655418 OXH655418:OXI655418 PHD655418:PHE655418 PQZ655418:PRA655418 QAV655418:QAW655418 QKR655418:QKS655418 QUN655418:QUO655418 REJ655418:REK655418 ROF655418:ROG655418 RYB655418:RYC655418 SHX655418:SHY655418 SRT655418:SRU655418 TBP655418:TBQ655418 TLL655418:TLM655418 TVH655418:TVI655418 UFD655418:UFE655418 UOZ655418:UPA655418 UYV655418:UYW655418 VIR655418:VIS655418 VSN655418:VSO655418 WCJ655418:WCK655418 WMF655418:WMG655418 WWB655418:WWC655418 T720954:U720954 JP720954:JQ720954 TL720954:TM720954 ADH720954:ADI720954 AND720954:ANE720954 AWZ720954:AXA720954 BGV720954:BGW720954 BQR720954:BQS720954 CAN720954:CAO720954 CKJ720954:CKK720954 CUF720954:CUG720954 DEB720954:DEC720954 DNX720954:DNY720954 DXT720954:DXU720954 EHP720954:EHQ720954 ERL720954:ERM720954 FBH720954:FBI720954 FLD720954:FLE720954 FUZ720954:FVA720954 GEV720954:GEW720954 GOR720954:GOS720954 GYN720954:GYO720954 HIJ720954:HIK720954 HSF720954:HSG720954 ICB720954:ICC720954 ILX720954:ILY720954 IVT720954:IVU720954 JFP720954:JFQ720954 JPL720954:JPM720954 JZH720954:JZI720954 KJD720954:KJE720954 KSZ720954:KTA720954 LCV720954:LCW720954 LMR720954:LMS720954 LWN720954:LWO720954 MGJ720954:MGK720954 MQF720954:MQG720954 NAB720954:NAC720954 NJX720954:NJY720954 NTT720954:NTU720954 ODP720954:ODQ720954 ONL720954:ONM720954 OXH720954:OXI720954 PHD720954:PHE720954 PQZ720954:PRA720954 QAV720954:QAW720954 QKR720954:QKS720954 QUN720954:QUO720954 REJ720954:REK720954 ROF720954:ROG720954 RYB720954:RYC720954 SHX720954:SHY720954 SRT720954:SRU720954 TBP720954:TBQ720954 TLL720954:TLM720954 TVH720954:TVI720954 UFD720954:UFE720954 UOZ720954:UPA720954 UYV720954:UYW720954 VIR720954:VIS720954 VSN720954:VSO720954 WCJ720954:WCK720954 WMF720954:WMG720954 WWB720954:WWC720954 T786490:U786490 JP786490:JQ786490 TL786490:TM786490 ADH786490:ADI786490 AND786490:ANE786490 AWZ786490:AXA786490 BGV786490:BGW786490 BQR786490:BQS786490 CAN786490:CAO786490 CKJ786490:CKK786490 CUF786490:CUG786490 DEB786490:DEC786490 DNX786490:DNY786490 DXT786490:DXU786490 EHP786490:EHQ786490 ERL786490:ERM786490 FBH786490:FBI786490 FLD786490:FLE786490 FUZ786490:FVA786490 GEV786490:GEW786490 GOR786490:GOS786490 GYN786490:GYO786490 HIJ786490:HIK786490 HSF786490:HSG786490 ICB786490:ICC786490 ILX786490:ILY786490 IVT786490:IVU786490 JFP786490:JFQ786490 JPL786490:JPM786490 JZH786490:JZI786490 KJD786490:KJE786490 KSZ786490:KTA786490 LCV786490:LCW786490 LMR786490:LMS786490 LWN786490:LWO786490 MGJ786490:MGK786490 MQF786490:MQG786490 NAB786490:NAC786490 NJX786490:NJY786490 NTT786490:NTU786490 ODP786490:ODQ786490 ONL786490:ONM786490 OXH786490:OXI786490 PHD786490:PHE786490 PQZ786490:PRA786490 QAV786490:QAW786490 QKR786490:QKS786490 QUN786490:QUO786490 REJ786490:REK786490 ROF786490:ROG786490 RYB786490:RYC786490 SHX786490:SHY786490 SRT786490:SRU786490 TBP786490:TBQ786490 TLL786490:TLM786490 TVH786490:TVI786490 UFD786490:UFE786490 UOZ786490:UPA786490 UYV786490:UYW786490 VIR786490:VIS786490 VSN786490:VSO786490 WCJ786490:WCK786490 WMF786490:WMG786490 WWB786490:WWC786490 T852026:U852026 JP852026:JQ852026 TL852026:TM852026 ADH852026:ADI852026 AND852026:ANE852026 AWZ852026:AXA852026 BGV852026:BGW852026 BQR852026:BQS852026 CAN852026:CAO852026 CKJ852026:CKK852026 CUF852026:CUG852026 DEB852026:DEC852026 DNX852026:DNY852026 DXT852026:DXU852026 EHP852026:EHQ852026 ERL852026:ERM852026 FBH852026:FBI852026 FLD852026:FLE852026 FUZ852026:FVA852026 GEV852026:GEW852026 GOR852026:GOS852026 GYN852026:GYO852026 HIJ852026:HIK852026 HSF852026:HSG852026 ICB852026:ICC852026 ILX852026:ILY852026 IVT852026:IVU852026 JFP852026:JFQ852026 JPL852026:JPM852026 JZH852026:JZI852026 KJD852026:KJE852026 KSZ852026:KTA852026 LCV852026:LCW852026 LMR852026:LMS852026 LWN852026:LWO852026 MGJ852026:MGK852026 MQF852026:MQG852026 NAB852026:NAC852026 NJX852026:NJY852026 NTT852026:NTU852026 ODP852026:ODQ852026 ONL852026:ONM852026 OXH852026:OXI852026 PHD852026:PHE852026 PQZ852026:PRA852026 QAV852026:QAW852026 QKR852026:QKS852026 QUN852026:QUO852026 REJ852026:REK852026 ROF852026:ROG852026 RYB852026:RYC852026 SHX852026:SHY852026 SRT852026:SRU852026 TBP852026:TBQ852026 TLL852026:TLM852026 TVH852026:TVI852026 UFD852026:UFE852026 UOZ852026:UPA852026 UYV852026:UYW852026 VIR852026:VIS852026 VSN852026:VSO852026 WCJ852026:WCK852026 WMF852026:WMG852026 WWB852026:WWC852026 T917562:U917562 JP917562:JQ917562 TL917562:TM917562 ADH917562:ADI917562 AND917562:ANE917562 AWZ917562:AXA917562 BGV917562:BGW917562 BQR917562:BQS917562 CAN917562:CAO917562 CKJ917562:CKK917562 CUF917562:CUG917562 DEB917562:DEC917562 DNX917562:DNY917562 DXT917562:DXU917562 EHP917562:EHQ917562 ERL917562:ERM917562 FBH917562:FBI917562 FLD917562:FLE917562 FUZ917562:FVA917562 GEV917562:GEW917562 GOR917562:GOS917562 GYN917562:GYO917562 HIJ917562:HIK917562 HSF917562:HSG917562 ICB917562:ICC917562 ILX917562:ILY917562 IVT917562:IVU917562 JFP917562:JFQ917562 JPL917562:JPM917562 JZH917562:JZI917562 KJD917562:KJE917562 KSZ917562:KTA917562 LCV917562:LCW917562 LMR917562:LMS917562 LWN917562:LWO917562 MGJ917562:MGK917562 MQF917562:MQG917562 NAB917562:NAC917562 NJX917562:NJY917562 NTT917562:NTU917562 ODP917562:ODQ917562 ONL917562:ONM917562 OXH917562:OXI917562 PHD917562:PHE917562 PQZ917562:PRA917562 QAV917562:QAW917562 QKR917562:QKS917562 QUN917562:QUO917562 REJ917562:REK917562 ROF917562:ROG917562 RYB917562:RYC917562 SHX917562:SHY917562 SRT917562:SRU917562 TBP917562:TBQ917562 TLL917562:TLM917562 TVH917562:TVI917562 UFD917562:UFE917562 UOZ917562:UPA917562 UYV917562:UYW917562 VIR917562:VIS917562 VSN917562:VSO917562 WCJ917562:WCK917562 WMF917562:WMG917562 WWB917562:WWC917562 T983098:U983098 JP983098:JQ983098 TL983098:TM983098 ADH983098:ADI983098 AND983098:ANE983098 AWZ983098:AXA983098 BGV983098:BGW983098 BQR983098:BQS983098 CAN983098:CAO983098 CKJ983098:CKK983098 CUF983098:CUG983098 DEB983098:DEC983098 DNX983098:DNY983098 DXT983098:DXU983098 EHP983098:EHQ983098 ERL983098:ERM983098 FBH983098:FBI983098 FLD983098:FLE983098 FUZ983098:FVA983098 GEV983098:GEW983098 GOR983098:GOS983098 GYN983098:GYO983098 HIJ983098:HIK983098 HSF983098:HSG983098 ICB983098:ICC983098 ILX983098:ILY983098 IVT983098:IVU983098 JFP983098:JFQ983098 JPL983098:JPM983098 JZH983098:JZI983098 KJD983098:KJE983098 KSZ983098:KTA983098 LCV983098:LCW983098 LMR983098:LMS983098 LWN983098:LWO983098 MGJ983098:MGK983098 MQF983098:MQG983098 NAB983098:NAC983098 NJX983098:NJY983098 NTT983098:NTU983098 ODP983098:ODQ983098 ONL983098:ONM983098 OXH983098:OXI983098 PHD983098:PHE983098 PQZ983098:PRA983098 QAV983098:QAW983098 QKR983098:QKS983098 QUN983098:QUO983098 REJ983098:REK983098 ROF983098:ROG983098 RYB983098:RYC983098 SHX983098:SHY983098 SRT983098:SRU983098 TBP983098:TBQ983098 TLL983098:TLM983098 TVH983098:TVI983098 UFD983098:UFE983098 UOZ983098:UPA983098 UYV983098:UYW983098 VIR983098:VIS983098 VSN983098:VSO983098 WCJ983098:WCK983098 WMF983098:WMG983098 WWB983098:WWC983098 AJ58:AK58 KF58:KG58 UB58:UC58 ADX58:ADY58 ANT58:ANU58 AXP58:AXQ58 BHL58:BHM58 BRH58:BRI58 CBD58:CBE58 CKZ58:CLA58 CUV58:CUW58 DER58:DES58 DON58:DOO58 DYJ58:DYK58 EIF58:EIG58 ESB58:ESC58 FBX58:FBY58 FLT58:FLU58 FVP58:FVQ58 GFL58:GFM58 GPH58:GPI58 GZD58:GZE58 HIZ58:HJA58 HSV58:HSW58 ICR58:ICS58 IMN58:IMO58 IWJ58:IWK58 JGF58:JGG58 JQB58:JQC58 JZX58:JZY58 KJT58:KJU58 KTP58:KTQ58 LDL58:LDM58 LNH58:LNI58 LXD58:LXE58 MGZ58:MHA58 MQV58:MQW58 NAR58:NAS58 NKN58:NKO58 NUJ58:NUK58 OEF58:OEG58 OOB58:OOC58 OXX58:OXY58 PHT58:PHU58 PRP58:PRQ58 QBL58:QBM58 QLH58:QLI58 QVD58:QVE58 REZ58:RFA58 ROV58:ROW58 RYR58:RYS58 SIN58:SIO58 SSJ58:SSK58 TCF58:TCG58 TMB58:TMC58 TVX58:TVY58 UFT58:UFU58 UPP58:UPQ58 UZL58:UZM58 VJH58:VJI58 VTD58:VTE58 WCZ58:WDA58 WMV58:WMW58 WWR58:WWS58 AJ65594:AK65594 KF65594:KG65594 UB65594:UC65594 ADX65594:ADY65594 ANT65594:ANU65594 AXP65594:AXQ65594 BHL65594:BHM65594 BRH65594:BRI65594 CBD65594:CBE65594 CKZ65594:CLA65594 CUV65594:CUW65594 DER65594:DES65594 DON65594:DOO65594 DYJ65594:DYK65594 EIF65594:EIG65594 ESB65594:ESC65594 FBX65594:FBY65594 FLT65594:FLU65594 FVP65594:FVQ65594 GFL65594:GFM65594 GPH65594:GPI65594 GZD65594:GZE65594 HIZ65594:HJA65594 HSV65594:HSW65594 ICR65594:ICS65594 IMN65594:IMO65594 IWJ65594:IWK65594 JGF65594:JGG65594 JQB65594:JQC65594 JZX65594:JZY65594 KJT65594:KJU65594 KTP65594:KTQ65594 LDL65594:LDM65594 LNH65594:LNI65594 LXD65594:LXE65594 MGZ65594:MHA65594 MQV65594:MQW65594 NAR65594:NAS65594 NKN65594:NKO65594 NUJ65594:NUK65594 OEF65594:OEG65594 OOB65594:OOC65594 OXX65594:OXY65594 PHT65594:PHU65594 PRP65594:PRQ65594 QBL65594:QBM65594 QLH65594:QLI65594 QVD65594:QVE65594 REZ65594:RFA65594 ROV65594:ROW65594 RYR65594:RYS65594 SIN65594:SIO65594 SSJ65594:SSK65594 TCF65594:TCG65594 TMB65594:TMC65594 TVX65594:TVY65594 UFT65594:UFU65594 UPP65594:UPQ65594 UZL65594:UZM65594 VJH65594:VJI65594 VTD65594:VTE65594 WCZ65594:WDA65594 WMV65594:WMW65594 WWR65594:WWS65594 AJ131130:AK131130 KF131130:KG131130 UB131130:UC131130 ADX131130:ADY131130 ANT131130:ANU131130 AXP131130:AXQ131130 BHL131130:BHM131130 BRH131130:BRI131130 CBD131130:CBE131130 CKZ131130:CLA131130 CUV131130:CUW131130 DER131130:DES131130 DON131130:DOO131130 DYJ131130:DYK131130 EIF131130:EIG131130 ESB131130:ESC131130 FBX131130:FBY131130 FLT131130:FLU131130 FVP131130:FVQ131130 GFL131130:GFM131130 GPH131130:GPI131130 GZD131130:GZE131130 HIZ131130:HJA131130 HSV131130:HSW131130 ICR131130:ICS131130 IMN131130:IMO131130 IWJ131130:IWK131130 JGF131130:JGG131130 JQB131130:JQC131130 JZX131130:JZY131130 KJT131130:KJU131130 KTP131130:KTQ131130 LDL131130:LDM131130 LNH131130:LNI131130 LXD131130:LXE131130 MGZ131130:MHA131130 MQV131130:MQW131130 NAR131130:NAS131130 NKN131130:NKO131130 NUJ131130:NUK131130 OEF131130:OEG131130 OOB131130:OOC131130 OXX131130:OXY131130 PHT131130:PHU131130 PRP131130:PRQ131130 QBL131130:QBM131130 QLH131130:QLI131130 QVD131130:QVE131130 REZ131130:RFA131130 ROV131130:ROW131130 RYR131130:RYS131130 SIN131130:SIO131130 SSJ131130:SSK131130 TCF131130:TCG131130 TMB131130:TMC131130 TVX131130:TVY131130 UFT131130:UFU131130 UPP131130:UPQ131130 UZL131130:UZM131130 VJH131130:VJI131130 VTD131130:VTE131130 WCZ131130:WDA131130 WMV131130:WMW131130 WWR131130:WWS131130 AJ196666:AK196666 KF196666:KG196666 UB196666:UC196666 ADX196666:ADY196666 ANT196666:ANU196666 AXP196666:AXQ196666 BHL196666:BHM196666 BRH196666:BRI196666 CBD196666:CBE196666 CKZ196666:CLA196666 CUV196666:CUW196666 DER196666:DES196666 DON196666:DOO196666 DYJ196666:DYK196666 EIF196666:EIG196666 ESB196666:ESC196666 FBX196666:FBY196666 FLT196666:FLU196666 FVP196666:FVQ196666 GFL196666:GFM196666 GPH196666:GPI196666 GZD196666:GZE196666 HIZ196666:HJA196666 HSV196666:HSW196666 ICR196666:ICS196666 IMN196666:IMO196666 IWJ196666:IWK196666 JGF196666:JGG196666 JQB196666:JQC196666 JZX196666:JZY196666 KJT196666:KJU196666 KTP196666:KTQ196666 LDL196666:LDM196666 LNH196666:LNI196666 LXD196666:LXE196666 MGZ196666:MHA196666 MQV196666:MQW196666 NAR196666:NAS196666 NKN196666:NKO196666 NUJ196666:NUK196666 OEF196666:OEG196666 OOB196666:OOC196666 OXX196666:OXY196666 PHT196666:PHU196666 PRP196666:PRQ196666 QBL196666:QBM196666 QLH196666:QLI196666 QVD196666:QVE196666 REZ196666:RFA196666 ROV196666:ROW196666 RYR196666:RYS196666 SIN196666:SIO196666 SSJ196666:SSK196666 TCF196666:TCG196666 TMB196666:TMC196666 TVX196666:TVY196666 UFT196666:UFU196666 UPP196666:UPQ196666 UZL196666:UZM196666 VJH196666:VJI196666 VTD196666:VTE196666 WCZ196666:WDA196666 WMV196666:WMW196666 WWR196666:WWS196666 AJ262202:AK262202 KF262202:KG262202 UB262202:UC262202 ADX262202:ADY262202 ANT262202:ANU262202 AXP262202:AXQ262202 BHL262202:BHM262202 BRH262202:BRI262202 CBD262202:CBE262202 CKZ262202:CLA262202 CUV262202:CUW262202 DER262202:DES262202 DON262202:DOO262202 DYJ262202:DYK262202 EIF262202:EIG262202 ESB262202:ESC262202 FBX262202:FBY262202 FLT262202:FLU262202 FVP262202:FVQ262202 GFL262202:GFM262202 GPH262202:GPI262202 GZD262202:GZE262202 HIZ262202:HJA262202 HSV262202:HSW262202 ICR262202:ICS262202 IMN262202:IMO262202 IWJ262202:IWK262202 JGF262202:JGG262202 JQB262202:JQC262202 JZX262202:JZY262202 KJT262202:KJU262202 KTP262202:KTQ262202 LDL262202:LDM262202 LNH262202:LNI262202 LXD262202:LXE262202 MGZ262202:MHA262202 MQV262202:MQW262202 NAR262202:NAS262202 NKN262202:NKO262202 NUJ262202:NUK262202 OEF262202:OEG262202 OOB262202:OOC262202 OXX262202:OXY262202 PHT262202:PHU262202 PRP262202:PRQ262202 QBL262202:QBM262202 QLH262202:QLI262202 QVD262202:QVE262202 REZ262202:RFA262202 ROV262202:ROW262202 RYR262202:RYS262202 SIN262202:SIO262202 SSJ262202:SSK262202 TCF262202:TCG262202 TMB262202:TMC262202 TVX262202:TVY262202 UFT262202:UFU262202 UPP262202:UPQ262202 UZL262202:UZM262202 VJH262202:VJI262202 VTD262202:VTE262202 WCZ262202:WDA262202 WMV262202:WMW262202 WWR262202:WWS262202 AJ327738:AK327738 KF327738:KG327738 UB327738:UC327738 ADX327738:ADY327738 ANT327738:ANU327738 AXP327738:AXQ327738 BHL327738:BHM327738 BRH327738:BRI327738 CBD327738:CBE327738 CKZ327738:CLA327738 CUV327738:CUW327738 DER327738:DES327738 DON327738:DOO327738 DYJ327738:DYK327738 EIF327738:EIG327738 ESB327738:ESC327738 FBX327738:FBY327738 FLT327738:FLU327738 FVP327738:FVQ327738 GFL327738:GFM327738 GPH327738:GPI327738 GZD327738:GZE327738 HIZ327738:HJA327738 HSV327738:HSW327738 ICR327738:ICS327738 IMN327738:IMO327738 IWJ327738:IWK327738 JGF327738:JGG327738 JQB327738:JQC327738 JZX327738:JZY327738 KJT327738:KJU327738 KTP327738:KTQ327738 LDL327738:LDM327738 LNH327738:LNI327738 LXD327738:LXE327738 MGZ327738:MHA327738 MQV327738:MQW327738 NAR327738:NAS327738 NKN327738:NKO327738 NUJ327738:NUK327738 OEF327738:OEG327738 OOB327738:OOC327738 OXX327738:OXY327738 PHT327738:PHU327738 PRP327738:PRQ327738 QBL327738:QBM327738 QLH327738:QLI327738 QVD327738:QVE327738 REZ327738:RFA327738 ROV327738:ROW327738 RYR327738:RYS327738 SIN327738:SIO327738 SSJ327738:SSK327738 TCF327738:TCG327738 TMB327738:TMC327738 TVX327738:TVY327738 UFT327738:UFU327738 UPP327738:UPQ327738 UZL327738:UZM327738 VJH327738:VJI327738 VTD327738:VTE327738 WCZ327738:WDA327738 WMV327738:WMW327738 WWR327738:WWS327738 AJ393274:AK393274 KF393274:KG393274 UB393274:UC393274 ADX393274:ADY393274 ANT393274:ANU393274 AXP393274:AXQ393274 BHL393274:BHM393274 BRH393274:BRI393274 CBD393274:CBE393274 CKZ393274:CLA393274 CUV393274:CUW393274 DER393274:DES393274 DON393274:DOO393274 DYJ393274:DYK393274 EIF393274:EIG393274 ESB393274:ESC393274 FBX393274:FBY393274 FLT393274:FLU393274 FVP393274:FVQ393274 GFL393274:GFM393274 GPH393274:GPI393274 GZD393274:GZE393274 HIZ393274:HJA393274 HSV393274:HSW393274 ICR393274:ICS393274 IMN393274:IMO393274 IWJ393274:IWK393274 JGF393274:JGG393274 JQB393274:JQC393274 JZX393274:JZY393274 KJT393274:KJU393274 KTP393274:KTQ393274 LDL393274:LDM393274 LNH393274:LNI393274 LXD393274:LXE393274 MGZ393274:MHA393274 MQV393274:MQW393274 NAR393274:NAS393274 NKN393274:NKO393274 NUJ393274:NUK393274 OEF393274:OEG393274 OOB393274:OOC393274 OXX393274:OXY393274 PHT393274:PHU393274 PRP393274:PRQ393274 QBL393274:QBM393274 QLH393274:QLI393274 QVD393274:QVE393274 REZ393274:RFA393274 ROV393274:ROW393274 RYR393274:RYS393274 SIN393274:SIO393274 SSJ393274:SSK393274 TCF393274:TCG393274 TMB393274:TMC393274 TVX393274:TVY393274 UFT393274:UFU393274 UPP393274:UPQ393274 UZL393274:UZM393274 VJH393274:VJI393274 VTD393274:VTE393274 WCZ393274:WDA393274 WMV393274:WMW393274 WWR393274:WWS393274 AJ458810:AK458810 KF458810:KG458810 UB458810:UC458810 ADX458810:ADY458810 ANT458810:ANU458810 AXP458810:AXQ458810 BHL458810:BHM458810 BRH458810:BRI458810 CBD458810:CBE458810 CKZ458810:CLA458810 CUV458810:CUW458810 DER458810:DES458810 DON458810:DOO458810 DYJ458810:DYK458810 EIF458810:EIG458810 ESB458810:ESC458810 FBX458810:FBY458810 FLT458810:FLU458810 FVP458810:FVQ458810 GFL458810:GFM458810 GPH458810:GPI458810 GZD458810:GZE458810 HIZ458810:HJA458810 HSV458810:HSW458810 ICR458810:ICS458810 IMN458810:IMO458810 IWJ458810:IWK458810 JGF458810:JGG458810 JQB458810:JQC458810 JZX458810:JZY458810 KJT458810:KJU458810 KTP458810:KTQ458810 LDL458810:LDM458810 LNH458810:LNI458810 LXD458810:LXE458810 MGZ458810:MHA458810 MQV458810:MQW458810 NAR458810:NAS458810 NKN458810:NKO458810 NUJ458810:NUK458810 OEF458810:OEG458810 OOB458810:OOC458810 OXX458810:OXY458810 PHT458810:PHU458810 PRP458810:PRQ458810 QBL458810:QBM458810 QLH458810:QLI458810 QVD458810:QVE458810 REZ458810:RFA458810 ROV458810:ROW458810 RYR458810:RYS458810 SIN458810:SIO458810 SSJ458810:SSK458810 TCF458810:TCG458810 TMB458810:TMC458810 TVX458810:TVY458810 UFT458810:UFU458810 UPP458810:UPQ458810 UZL458810:UZM458810 VJH458810:VJI458810 VTD458810:VTE458810 WCZ458810:WDA458810 WMV458810:WMW458810 WWR458810:WWS458810 AJ524346:AK524346 KF524346:KG524346 UB524346:UC524346 ADX524346:ADY524346 ANT524346:ANU524346 AXP524346:AXQ524346 BHL524346:BHM524346 BRH524346:BRI524346 CBD524346:CBE524346 CKZ524346:CLA524346 CUV524346:CUW524346 DER524346:DES524346 DON524346:DOO524346 DYJ524346:DYK524346 EIF524346:EIG524346 ESB524346:ESC524346 FBX524346:FBY524346 FLT524346:FLU524346 FVP524346:FVQ524346 GFL524346:GFM524346 GPH524346:GPI524346 GZD524346:GZE524346 HIZ524346:HJA524346 HSV524346:HSW524346 ICR524346:ICS524346 IMN524346:IMO524346 IWJ524346:IWK524346 JGF524346:JGG524346 JQB524346:JQC524346 JZX524346:JZY524346 KJT524346:KJU524346 KTP524346:KTQ524346 LDL524346:LDM524346 LNH524346:LNI524346 LXD524346:LXE524346 MGZ524346:MHA524346 MQV524346:MQW524346 NAR524346:NAS524346 NKN524346:NKO524346 NUJ524346:NUK524346 OEF524346:OEG524346 OOB524346:OOC524346 OXX524346:OXY524346 PHT524346:PHU524346 PRP524346:PRQ524346 QBL524346:QBM524346 QLH524346:QLI524346 QVD524346:QVE524346 REZ524346:RFA524346 ROV524346:ROW524346 RYR524346:RYS524346 SIN524346:SIO524346 SSJ524346:SSK524346 TCF524346:TCG524346 TMB524346:TMC524346 TVX524346:TVY524346 UFT524346:UFU524346 UPP524346:UPQ524346 UZL524346:UZM524346 VJH524346:VJI524346 VTD524346:VTE524346 WCZ524346:WDA524346 WMV524346:WMW524346 WWR524346:WWS524346 AJ589882:AK589882 KF589882:KG589882 UB589882:UC589882 ADX589882:ADY589882 ANT589882:ANU589882 AXP589882:AXQ589882 BHL589882:BHM589882 BRH589882:BRI589882 CBD589882:CBE589882 CKZ589882:CLA589882 CUV589882:CUW589882 DER589882:DES589882 DON589882:DOO589882 DYJ589882:DYK589882 EIF589882:EIG589882 ESB589882:ESC589882 FBX589882:FBY589882 FLT589882:FLU589882 FVP589882:FVQ589882 GFL589882:GFM589882 GPH589882:GPI589882 GZD589882:GZE589882 HIZ589882:HJA589882 HSV589882:HSW589882 ICR589882:ICS589882 IMN589882:IMO589882 IWJ589882:IWK589882 JGF589882:JGG589882 JQB589882:JQC589882 JZX589882:JZY589882 KJT589882:KJU589882 KTP589882:KTQ589882 LDL589882:LDM589882 LNH589882:LNI589882 LXD589882:LXE589882 MGZ589882:MHA589882 MQV589882:MQW589882 NAR589882:NAS589882 NKN589882:NKO589882 NUJ589882:NUK589882 OEF589882:OEG589882 OOB589882:OOC589882 OXX589882:OXY589882 PHT589882:PHU589882 PRP589882:PRQ589882 QBL589882:QBM589882 QLH589882:QLI589882 QVD589882:QVE589882 REZ589882:RFA589882 ROV589882:ROW589882 RYR589882:RYS589882 SIN589882:SIO589882 SSJ589882:SSK589882 TCF589882:TCG589882 TMB589882:TMC589882 TVX589882:TVY589882 UFT589882:UFU589882 UPP589882:UPQ589882 UZL589882:UZM589882 VJH589882:VJI589882 VTD589882:VTE589882 WCZ589882:WDA589882 WMV589882:WMW589882 WWR589882:WWS589882 AJ655418:AK655418 KF655418:KG655418 UB655418:UC655418 ADX655418:ADY655418 ANT655418:ANU655418 AXP655418:AXQ655418 BHL655418:BHM655418 BRH655418:BRI655418 CBD655418:CBE655418 CKZ655418:CLA655418 CUV655418:CUW655418 DER655418:DES655418 DON655418:DOO655418 DYJ655418:DYK655418 EIF655418:EIG655418 ESB655418:ESC655418 FBX655418:FBY655418 FLT655418:FLU655418 FVP655418:FVQ655418 GFL655418:GFM655418 GPH655418:GPI655418 GZD655418:GZE655418 HIZ655418:HJA655418 HSV655418:HSW655418 ICR655418:ICS655418 IMN655418:IMO655418 IWJ655418:IWK655418 JGF655418:JGG655418 JQB655418:JQC655418 JZX655418:JZY655418 KJT655418:KJU655418 KTP655418:KTQ655418 LDL655418:LDM655418 LNH655418:LNI655418 LXD655418:LXE655418 MGZ655418:MHA655418 MQV655418:MQW655418 NAR655418:NAS655418 NKN655418:NKO655418 NUJ655418:NUK655418 OEF655418:OEG655418 OOB655418:OOC655418 OXX655418:OXY655418 PHT655418:PHU655418 PRP655418:PRQ655418 QBL655418:QBM655418 QLH655418:QLI655418 QVD655418:QVE655418 REZ655418:RFA655418 ROV655418:ROW655418 RYR655418:RYS655418 SIN655418:SIO655418 SSJ655418:SSK655418 TCF655418:TCG655418 TMB655418:TMC655418 TVX655418:TVY655418 UFT655418:UFU655418 UPP655418:UPQ655418 UZL655418:UZM655418 VJH655418:VJI655418 VTD655418:VTE655418 WCZ655418:WDA655418 WMV655418:WMW655418 WWR655418:WWS655418 AJ720954:AK720954 KF720954:KG720954 UB720954:UC720954 ADX720954:ADY720954 ANT720954:ANU720954 AXP720954:AXQ720954 BHL720954:BHM720954 BRH720954:BRI720954 CBD720954:CBE720954 CKZ720954:CLA720954 CUV720954:CUW720954 DER720954:DES720954 DON720954:DOO720954 DYJ720954:DYK720954 EIF720954:EIG720954 ESB720954:ESC720954 FBX720954:FBY720954 FLT720954:FLU720954 FVP720954:FVQ720954 GFL720954:GFM720954 GPH720954:GPI720954 GZD720954:GZE720954 HIZ720954:HJA720954 HSV720954:HSW720954 ICR720954:ICS720954 IMN720954:IMO720954 IWJ720954:IWK720954 JGF720954:JGG720954 JQB720954:JQC720954 JZX720954:JZY720954 KJT720954:KJU720954 KTP720954:KTQ720954 LDL720954:LDM720954 LNH720954:LNI720954 LXD720954:LXE720954 MGZ720954:MHA720954 MQV720954:MQW720954 NAR720954:NAS720954 NKN720954:NKO720954 NUJ720954:NUK720954 OEF720954:OEG720954 OOB720954:OOC720954 OXX720954:OXY720954 PHT720954:PHU720954 PRP720954:PRQ720954 QBL720954:QBM720954 QLH720954:QLI720954 QVD720954:QVE720954 REZ720954:RFA720954 ROV720954:ROW720954 RYR720954:RYS720954 SIN720954:SIO720954 SSJ720954:SSK720954 TCF720954:TCG720954 TMB720954:TMC720954 TVX720954:TVY720954 UFT720954:UFU720954 UPP720954:UPQ720954 UZL720954:UZM720954 VJH720954:VJI720954 VTD720954:VTE720954 WCZ720954:WDA720954 WMV720954:WMW720954 WWR720954:WWS720954 AJ786490:AK786490 KF786490:KG786490 UB786490:UC786490 ADX786490:ADY786490 ANT786490:ANU786490 AXP786490:AXQ786490 BHL786490:BHM786490 BRH786490:BRI786490 CBD786490:CBE786490 CKZ786490:CLA786490 CUV786490:CUW786490 DER786490:DES786490 DON786490:DOO786490 DYJ786490:DYK786490 EIF786490:EIG786490 ESB786490:ESC786490 FBX786490:FBY786490 FLT786490:FLU786490 FVP786490:FVQ786490 GFL786490:GFM786490 GPH786490:GPI786490 GZD786490:GZE786490 HIZ786490:HJA786490 HSV786490:HSW786490 ICR786490:ICS786490 IMN786490:IMO786490 IWJ786490:IWK786490 JGF786490:JGG786490 JQB786490:JQC786490 JZX786490:JZY786490 KJT786490:KJU786490 KTP786490:KTQ786490 LDL786490:LDM786490 LNH786490:LNI786490 LXD786490:LXE786490 MGZ786490:MHA786490 MQV786490:MQW786490 NAR786490:NAS786490 NKN786490:NKO786490 NUJ786490:NUK786490 OEF786490:OEG786490 OOB786490:OOC786490 OXX786490:OXY786490 PHT786490:PHU786490 PRP786490:PRQ786490 QBL786490:QBM786490 QLH786490:QLI786490 QVD786490:QVE786490 REZ786490:RFA786490 ROV786490:ROW786490 RYR786490:RYS786490 SIN786490:SIO786490 SSJ786490:SSK786490 TCF786490:TCG786490 TMB786490:TMC786490 TVX786490:TVY786490 UFT786490:UFU786490 UPP786490:UPQ786490 UZL786490:UZM786490 VJH786490:VJI786490 VTD786490:VTE786490 WCZ786490:WDA786490 WMV786490:WMW786490 WWR786490:WWS786490 AJ852026:AK852026 KF852026:KG852026 UB852026:UC852026 ADX852026:ADY852026 ANT852026:ANU852026 AXP852026:AXQ852026 BHL852026:BHM852026 BRH852026:BRI852026 CBD852026:CBE852026 CKZ852026:CLA852026 CUV852026:CUW852026 DER852026:DES852026 DON852026:DOO852026 DYJ852026:DYK852026 EIF852026:EIG852026 ESB852026:ESC852026 FBX852026:FBY852026 FLT852026:FLU852026 FVP852026:FVQ852026 GFL852026:GFM852026 GPH852026:GPI852026 GZD852026:GZE852026 HIZ852026:HJA852026 HSV852026:HSW852026 ICR852026:ICS852026 IMN852026:IMO852026 IWJ852026:IWK852026 JGF852026:JGG852026 JQB852026:JQC852026 JZX852026:JZY852026 KJT852026:KJU852026 KTP852026:KTQ852026 LDL852026:LDM852026 LNH852026:LNI852026 LXD852026:LXE852026 MGZ852026:MHA852026 MQV852026:MQW852026 NAR852026:NAS852026 NKN852026:NKO852026 NUJ852026:NUK852026 OEF852026:OEG852026 OOB852026:OOC852026 OXX852026:OXY852026 PHT852026:PHU852026 PRP852026:PRQ852026 QBL852026:QBM852026 QLH852026:QLI852026 QVD852026:QVE852026 REZ852026:RFA852026 ROV852026:ROW852026 RYR852026:RYS852026 SIN852026:SIO852026 SSJ852026:SSK852026 TCF852026:TCG852026 TMB852026:TMC852026 TVX852026:TVY852026 UFT852026:UFU852026 UPP852026:UPQ852026 UZL852026:UZM852026 VJH852026:VJI852026 VTD852026:VTE852026 WCZ852026:WDA852026 WMV852026:WMW852026 WWR852026:WWS852026 AJ917562:AK917562 KF917562:KG917562 UB917562:UC917562 ADX917562:ADY917562 ANT917562:ANU917562 AXP917562:AXQ917562 BHL917562:BHM917562 BRH917562:BRI917562 CBD917562:CBE917562 CKZ917562:CLA917562 CUV917562:CUW917562 DER917562:DES917562 DON917562:DOO917562 DYJ917562:DYK917562 EIF917562:EIG917562 ESB917562:ESC917562 FBX917562:FBY917562 FLT917562:FLU917562 FVP917562:FVQ917562 GFL917562:GFM917562 GPH917562:GPI917562 GZD917562:GZE917562 HIZ917562:HJA917562 HSV917562:HSW917562 ICR917562:ICS917562 IMN917562:IMO917562 IWJ917562:IWK917562 JGF917562:JGG917562 JQB917562:JQC917562 JZX917562:JZY917562 KJT917562:KJU917562 KTP917562:KTQ917562 LDL917562:LDM917562 LNH917562:LNI917562 LXD917562:LXE917562 MGZ917562:MHA917562 MQV917562:MQW917562 NAR917562:NAS917562 NKN917562:NKO917562 NUJ917562:NUK917562 OEF917562:OEG917562 OOB917562:OOC917562 OXX917562:OXY917562 PHT917562:PHU917562 PRP917562:PRQ917562 QBL917562:QBM917562 QLH917562:QLI917562 QVD917562:QVE917562 REZ917562:RFA917562 ROV917562:ROW917562 RYR917562:RYS917562 SIN917562:SIO917562 SSJ917562:SSK917562 TCF917562:TCG917562 TMB917562:TMC917562 TVX917562:TVY917562 UFT917562:UFU917562 UPP917562:UPQ917562 UZL917562:UZM917562 VJH917562:VJI917562 VTD917562:VTE917562 WCZ917562:WDA917562 WMV917562:WMW917562 WWR917562:WWS917562 AJ983098:AK983098 KF983098:KG983098 UB983098:UC983098 ADX983098:ADY983098 ANT983098:ANU983098 AXP983098:AXQ983098 BHL983098:BHM983098 BRH983098:BRI983098 CBD983098:CBE983098 CKZ983098:CLA983098 CUV983098:CUW983098 DER983098:DES983098 DON983098:DOO983098 DYJ983098:DYK983098 EIF983098:EIG983098 ESB983098:ESC983098 FBX983098:FBY983098 FLT983098:FLU983098 FVP983098:FVQ983098 GFL983098:GFM983098 GPH983098:GPI983098 GZD983098:GZE983098 HIZ983098:HJA983098 HSV983098:HSW983098 ICR983098:ICS983098 IMN983098:IMO983098 IWJ983098:IWK983098 JGF983098:JGG983098 JQB983098:JQC983098 JZX983098:JZY983098 KJT983098:KJU983098 KTP983098:KTQ983098 LDL983098:LDM983098 LNH983098:LNI983098 LXD983098:LXE983098 MGZ983098:MHA983098 MQV983098:MQW983098 NAR983098:NAS983098 NKN983098:NKO983098 NUJ983098:NUK983098 OEF983098:OEG983098 OOB983098:OOC983098 OXX983098:OXY983098 PHT983098:PHU983098 PRP983098:PRQ983098 QBL983098:QBM983098 QLH983098:QLI983098 QVD983098:QVE983098 REZ983098:RFA983098 ROV983098:ROW983098 RYR983098:RYS983098 SIN983098:SIO983098 SSJ983098:SSK983098 TCF983098:TCG983098 TMB983098:TMC983098 TVX983098:TVY983098 UFT983098:UFU983098 UPP983098:UPQ983098 UZL983098:UZM983098 VJH983098:VJI983098 VTD983098:VTE983098 WCZ983098:WDA983098 WMV983098:WMW983098 WWR983098:WWS983098 AZ58:BA58 KV58:KW58 UR58:US58 AEN58:AEO58 AOJ58:AOK58 AYF58:AYG58 BIB58:BIC58 BRX58:BRY58 CBT58:CBU58 CLP58:CLQ58 CVL58:CVM58 DFH58:DFI58 DPD58:DPE58 DYZ58:DZA58 EIV58:EIW58 ESR58:ESS58 FCN58:FCO58 FMJ58:FMK58 FWF58:FWG58 GGB58:GGC58 GPX58:GPY58 GZT58:GZU58 HJP58:HJQ58 HTL58:HTM58 IDH58:IDI58 IND58:INE58 IWZ58:IXA58 JGV58:JGW58 JQR58:JQS58 KAN58:KAO58 KKJ58:KKK58 KUF58:KUG58 LEB58:LEC58 LNX58:LNY58 LXT58:LXU58 MHP58:MHQ58 MRL58:MRM58 NBH58:NBI58 NLD58:NLE58 NUZ58:NVA58 OEV58:OEW58 OOR58:OOS58 OYN58:OYO58 PIJ58:PIK58 PSF58:PSG58 QCB58:QCC58 QLX58:QLY58 QVT58:QVU58 RFP58:RFQ58 RPL58:RPM58 RZH58:RZI58 SJD58:SJE58 SSZ58:STA58 TCV58:TCW58 TMR58:TMS58 TWN58:TWO58 UGJ58:UGK58 UQF58:UQG58 VAB58:VAC58 VJX58:VJY58 VTT58:VTU58 WDP58:WDQ58 WNL58:WNM58 WXH58:WXI58 AZ65594:BA65594 KV65594:KW65594 UR65594:US65594 AEN65594:AEO65594 AOJ65594:AOK65594 AYF65594:AYG65594 BIB65594:BIC65594 BRX65594:BRY65594 CBT65594:CBU65594 CLP65594:CLQ65594 CVL65594:CVM65594 DFH65594:DFI65594 DPD65594:DPE65594 DYZ65594:DZA65594 EIV65594:EIW65594 ESR65594:ESS65594 FCN65594:FCO65594 FMJ65594:FMK65594 FWF65594:FWG65594 GGB65594:GGC65594 GPX65594:GPY65594 GZT65594:GZU65594 HJP65594:HJQ65594 HTL65594:HTM65594 IDH65594:IDI65594 IND65594:INE65594 IWZ65594:IXA65594 JGV65594:JGW65594 JQR65594:JQS65594 KAN65594:KAO65594 KKJ65594:KKK65594 KUF65594:KUG65594 LEB65594:LEC65594 LNX65594:LNY65594 LXT65594:LXU65594 MHP65594:MHQ65594 MRL65594:MRM65594 NBH65594:NBI65594 NLD65594:NLE65594 NUZ65594:NVA65594 OEV65594:OEW65594 OOR65594:OOS65594 OYN65594:OYO65594 PIJ65594:PIK65594 PSF65594:PSG65594 QCB65594:QCC65594 QLX65594:QLY65594 QVT65594:QVU65594 RFP65594:RFQ65594 RPL65594:RPM65594 RZH65594:RZI65594 SJD65594:SJE65594 SSZ65594:STA65594 TCV65594:TCW65594 TMR65594:TMS65594 TWN65594:TWO65594 UGJ65594:UGK65594 UQF65594:UQG65594 VAB65594:VAC65594 VJX65594:VJY65594 VTT65594:VTU65594 WDP65594:WDQ65594 WNL65594:WNM65594 WXH65594:WXI65594 AZ131130:BA131130 KV131130:KW131130 UR131130:US131130 AEN131130:AEO131130 AOJ131130:AOK131130 AYF131130:AYG131130 BIB131130:BIC131130 BRX131130:BRY131130 CBT131130:CBU131130 CLP131130:CLQ131130 CVL131130:CVM131130 DFH131130:DFI131130 DPD131130:DPE131130 DYZ131130:DZA131130 EIV131130:EIW131130 ESR131130:ESS131130 FCN131130:FCO131130 FMJ131130:FMK131130 FWF131130:FWG131130 GGB131130:GGC131130 GPX131130:GPY131130 GZT131130:GZU131130 HJP131130:HJQ131130 HTL131130:HTM131130 IDH131130:IDI131130 IND131130:INE131130 IWZ131130:IXA131130 JGV131130:JGW131130 JQR131130:JQS131130 KAN131130:KAO131130 KKJ131130:KKK131130 KUF131130:KUG131130 LEB131130:LEC131130 LNX131130:LNY131130 LXT131130:LXU131130 MHP131130:MHQ131130 MRL131130:MRM131130 NBH131130:NBI131130 NLD131130:NLE131130 NUZ131130:NVA131130 OEV131130:OEW131130 OOR131130:OOS131130 OYN131130:OYO131130 PIJ131130:PIK131130 PSF131130:PSG131130 QCB131130:QCC131130 QLX131130:QLY131130 QVT131130:QVU131130 RFP131130:RFQ131130 RPL131130:RPM131130 RZH131130:RZI131130 SJD131130:SJE131130 SSZ131130:STA131130 TCV131130:TCW131130 TMR131130:TMS131130 TWN131130:TWO131130 UGJ131130:UGK131130 UQF131130:UQG131130 VAB131130:VAC131130 VJX131130:VJY131130 VTT131130:VTU131130 WDP131130:WDQ131130 WNL131130:WNM131130 WXH131130:WXI131130 AZ196666:BA196666 KV196666:KW196666 UR196666:US196666 AEN196666:AEO196666 AOJ196666:AOK196666 AYF196666:AYG196666 BIB196666:BIC196666 BRX196666:BRY196666 CBT196666:CBU196666 CLP196666:CLQ196666 CVL196666:CVM196666 DFH196666:DFI196666 DPD196666:DPE196666 DYZ196666:DZA196666 EIV196666:EIW196666 ESR196666:ESS196666 FCN196666:FCO196666 FMJ196666:FMK196666 FWF196666:FWG196666 GGB196666:GGC196666 GPX196666:GPY196666 GZT196666:GZU196666 HJP196666:HJQ196666 HTL196666:HTM196666 IDH196666:IDI196666 IND196666:INE196666 IWZ196666:IXA196666 JGV196666:JGW196666 JQR196666:JQS196666 KAN196666:KAO196666 KKJ196666:KKK196666 KUF196666:KUG196666 LEB196666:LEC196666 LNX196666:LNY196666 LXT196666:LXU196666 MHP196666:MHQ196666 MRL196666:MRM196666 NBH196666:NBI196666 NLD196666:NLE196666 NUZ196666:NVA196666 OEV196666:OEW196666 OOR196666:OOS196666 OYN196666:OYO196666 PIJ196666:PIK196666 PSF196666:PSG196666 QCB196666:QCC196666 QLX196666:QLY196666 QVT196666:QVU196666 RFP196666:RFQ196666 RPL196666:RPM196666 RZH196666:RZI196666 SJD196666:SJE196666 SSZ196666:STA196666 TCV196666:TCW196666 TMR196666:TMS196666 TWN196666:TWO196666 UGJ196666:UGK196666 UQF196666:UQG196666 VAB196666:VAC196666 VJX196666:VJY196666 VTT196666:VTU196666 WDP196666:WDQ196666 WNL196666:WNM196666 WXH196666:WXI196666 AZ262202:BA262202 KV262202:KW262202 UR262202:US262202 AEN262202:AEO262202 AOJ262202:AOK262202 AYF262202:AYG262202 BIB262202:BIC262202 BRX262202:BRY262202 CBT262202:CBU262202 CLP262202:CLQ262202 CVL262202:CVM262202 DFH262202:DFI262202 DPD262202:DPE262202 DYZ262202:DZA262202 EIV262202:EIW262202 ESR262202:ESS262202 FCN262202:FCO262202 FMJ262202:FMK262202 FWF262202:FWG262202 GGB262202:GGC262202 GPX262202:GPY262202 GZT262202:GZU262202 HJP262202:HJQ262202 HTL262202:HTM262202 IDH262202:IDI262202 IND262202:INE262202 IWZ262202:IXA262202 JGV262202:JGW262202 JQR262202:JQS262202 KAN262202:KAO262202 KKJ262202:KKK262202 KUF262202:KUG262202 LEB262202:LEC262202 LNX262202:LNY262202 LXT262202:LXU262202 MHP262202:MHQ262202 MRL262202:MRM262202 NBH262202:NBI262202 NLD262202:NLE262202 NUZ262202:NVA262202 OEV262202:OEW262202 OOR262202:OOS262202 OYN262202:OYO262202 PIJ262202:PIK262202 PSF262202:PSG262202 QCB262202:QCC262202 QLX262202:QLY262202 QVT262202:QVU262202 RFP262202:RFQ262202 RPL262202:RPM262202 RZH262202:RZI262202 SJD262202:SJE262202 SSZ262202:STA262202 TCV262202:TCW262202 TMR262202:TMS262202 TWN262202:TWO262202 UGJ262202:UGK262202 UQF262202:UQG262202 VAB262202:VAC262202 VJX262202:VJY262202 VTT262202:VTU262202 WDP262202:WDQ262202 WNL262202:WNM262202 WXH262202:WXI262202 AZ327738:BA327738 KV327738:KW327738 UR327738:US327738 AEN327738:AEO327738 AOJ327738:AOK327738 AYF327738:AYG327738 BIB327738:BIC327738 BRX327738:BRY327738 CBT327738:CBU327738 CLP327738:CLQ327738 CVL327738:CVM327738 DFH327738:DFI327738 DPD327738:DPE327738 DYZ327738:DZA327738 EIV327738:EIW327738 ESR327738:ESS327738 FCN327738:FCO327738 FMJ327738:FMK327738 FWF327738:FWG327738 GGB327738:GGC327738 GPX327738:GPY327738 GZT327738:GZU327738 HJP327738:HJQ327738 HTL327738:HTM327738 IDH327738:IDI327738 IND327738:INE327738 IWZ327738:IXA327738 JGV327738:JGW327738 JQR327738:JQS327738 KAN327738:KAO327738 KKJ327738:KKK327738 KUF327738:KUG327738 LEB327738:LEC327738 LNX327738:LNY327738 LXT327738:LXU327738 MHP327738:MHQ327738 MRL327738:MRM327738 NBH327738:NBI327738 NLD327738:NLE327738 NUZ327738:NVA327738 OEV327738:OEW327738 OOR327738:OOS327738 OYN327738:OYO327738 PIJ327738:PIK327738 PSF327738:PSG327738 QCB327738:QCC327738 QLX327738:QLY327738 QVT327738:QVU327738 RFP327738:RFQ327738 RPL327738:RPM327738 RZH327738:RZI327738 SJD327738:SJE327738 SSZ327738:STA327738 TCV327738:TCW327738 TMR327738:TMS327738 TWN327738:TWO327738 UGJ327738:UGK327738 UQF327738:UQG327738 VAB327738:VAC327738 VJX327738:VJY327738 VTT327738:VTU327738 WDP327738:WDQ327738 WNL327738:WNM327738 WXH327738:WXI327738 AZ393274:BA393274 KV393274:KW393274 UR393274:US393274 AEN393274:AEO393274 AOJ393274:AOK393274 AYF393274:AYG393274 BIB393274:BIC393274 BRX393274:BRY393274 CBT393274:CBU393274 CLP393274:CLQ393274 CVL393274:CVM393274 DFH393274:DFI393274 DPD393274:DPE393274 DYZ393274:DZA393274 EIV393274:EIW393274 ESR393274:ESS393274 FCN393274:FCO393274 FMJ393274:FMK393274 FWF393274:FWG393274 GGB393274:GGC393274 GPX393274:GPY393274 GZT393274:GZU393274 HJP393274:HJQ393274 HTL393274:HTM393274 IDH393274:IDI393274 IND393274:INE393274 IWZ393274:IXA393274 JGV393274:JGW393274 JQR393274:JQS393274 KAN393274:KAO393274 KKJ393274:KKK393274 KUF393274:KUG393274 LEB393274:LEC393274 LNX393274:LNY393274 LXT393274:LXU393274 MHP393274:MHQ393274 MRL393274:MRM393274 NBH393274:NBI393274 NLD393274:NLE393274 NUZ393274:NVA393274 OEV393274:OEW393274 OOR393274:OOS393274 OYN393274:OYO393274 PIJ393274:PIK393274 PSF393274:PSG393274 QCB393274:QCC393274 QLX393274:QLY393274 QVT393274:QVU393274 RFP393274:RFQ393274 RPL393274:RPM393274 RZH393274:RZI393274 SJD393274:SJE393274 SSZ393274:STA393274 TCV393274:TCW393274 TMR393274:TMS393274 TWN393274:TWO393274 UGJ393274:UGK393274 UQF393274:UQG393274 VAB393274:VAC393274 VJX393274:VJY393274 VTT393274:VTU393274 WDP393274:WDQ393274 WNL393274:WNM393274 WXH393274:WXI393274 AZ458810:BA458810 KV458810:KW458810 UR458810:US458810 AEN458810:AEO458810 AOJ458810:AOK458810 AYF458810:AYG458810 BIB458810:BIC458810 BRX458810:BRY458810 CBT458810:CBU458810 CLP458810:CLQ458810 CVL458810:CVM458810 DFH458810:DFI458810 DPD458810:DPE458810 DYZ458810:DZA458810 EIV458810:EIW458810 ESR458810:ESS458810 FCN458810:FCO458810 FMJ458810:FMK458810 FWF458810:FWG458810 GGB458810:GGC458810 GPX458810:GPY458810 GZT458810:GZU458810 HJP458810:HJQ458810 HTL458810:HTM458810 IDH458810:IDI458810 IND458810:INE458810 IWZ458810:IXA458810 JGV458810:JGW458810 JQR458810:JQS458810 KAN458810:KAO458810 KKJ458810:KKK458810 KUF458810:KUG458810 LEB458810:LEC458810 LNX458810:LNY458810 LXT458810:LXU458810 MHP458810:MHQ458810 MRL458810:MRM458810 NBH458810:NBI458810 NLD458810:NLE458810 NUZ458810:NVA458810 OEV458810:OEW458810 OOR458810:OOS458810 OYN458810:OYO458810 PIJ458810:PIK458810 PSF458810:PSG458810 QCB458810:QCC458810 QLX458810:QLY458810 QVT458810:QVU458810 RFP458810:RFQ458810 RPL458810:RPM458810 RZH458810:RZI458810 SJD458810:SJE458810 SSZ458810:STA458810 TCV458810:TCW458810 TMR458810:TMS458810 TWN458810:TWO458810 UGJ458810:UGK458810 UQF458810:UQG458810 VAB458810:VAC458810 VJX458810:VJY458810 VTT458810:VTU458810 WDP458810:WDQ458810 WNL458810:WNM458810 WXH458810:WXI458810 AZ524346:BA524346 KV524346:KW524346 UR524346:US524346 AEN524346:AEO524346 AOJ524346:AOK524346 AYF524346:AYG524346 BIB524346:BIC524346 BRX524346:BRY524346 CBT524346:CBU524346 CLP524346:CLQ524346 CVL524346:CVM524346 DFH524346:DFI524346 DPD524346:DPE524346 DYZ524346:DZA524346 EIV524346:EIW524346 ESR524346:ESS524346 FCN524346:FCO524346 FMJ524346:FMK524346 FWF524346:FWG524346 GGB524346:GGC524346 GPX524346:GPY524346 GZT524346:GZU524346 HJP524346:HJQ524346 HTL524346:HTM524346 IDH524346:IDI524346 IND524346:INE524346 IWZ524346:IXA524346 JGV524346:JGW524346 JQR524346:JQS524346 KAN524346:KAO524346 KKJ524346:KKK524346 KUF524346:KUG524346 LEB524346:LEC524346 LNX524346:LNY524346 LXT524346:LXU524346 MHP524346:MHQ524346 MRL524346:MRM524346 NBH524346:NBI524346 NLD524346:NLE524346 NUZ524346:NVA524346 OEV524346:OEW524346 OOR524346:OOS524346 OYN524346:OYO524346 PIJ524346:PIK524346 PSF524346:PSG524346 QCB524346:QCC524346 QLX524346:QLY524346 QVT524346:QVU524346 RFP524346:RFQ524346 RPL524346:RPM524346 RZH524346:RZI524346 SJD524346:SJE524346 SSZ524346:STA524346 TCV524346:TCW524346 TMR524346:TMS524346 TWN524346:TWO524346 UGJ524346:UGK524346 UQF524346:UQG524346 VAB524346:VAC524346 VJX524346:VJY524346 VTT524346:VTU524346 WDP524346:WDQ524346 WNL524346:WNM524346 WXH524346:WXI524346 AZ589882:BA589882 KV589882:KW589882 UR589882:US589882 AEN589882:AEO589882 AOJ589882:AOK589882 AYF589882:AYG589882 BIB589882:BIC589882 BRX589882:BRY589882 CBT589882:CBU589882 CLP589882:CLQ589882 CVL589882:CVM589882 DFH589882:DFI589882 DPD589882:DPE589882 DYZ589882:DZA589882 EIV589882:EIW589882 ESR589882:ESS589882 FCN589882:FCO589882 FMJ589882:FMK589882 FWF589882:FWG589882 GGB589882:GGC589882 GPX589882:GPY589882 GZT589882:GZU589882 HJP589882:HJQ589882 HTL589882:HTM589882 IDH589882:IDI589882 IND589882:INE589882 IWZ589882:IXA589882 JGV589882:JGW589882 JQR589882:JQS589882 KAN589882:KAO589882 KKJ589882:KKK589882 KUF589882:KUG589882 LEB589882:LEC589882 LNX589882:LNY589882 LXT589882:LXU589882 MHP589882:MHQ589882 MRL589882:MRM589882 NBH589882:NBI589882 NLD589882:NLE589882 NUZ589882:NVA589882 OEV589882:OEW589882 OOR589882:OOS589882 OYN589882:OYO589882 PIJ589882:PIK589882 PSF589882:PSG589882 QCB589882:QCC589882 QLX589882:QLY589882 QVT589882:QVU589882 RFP589882:RFQ589882 RPL589882:RPM589882 RZH589882:RZI589882 SJD589882:SJE589882 SSZ589882:STA589882 TCV589882:TCW589882 TMR589882:TMS589882 TWN589882:TWO589882 UGJ589882:UGK589882 UQF589882:UQG589882 VAB589882:VAC589882 VJX589882:VJY589882 VTT589882:VTU589882 WDP589882:WDQ589882 WNL589882:WNM589882 WXH589882:WXI589882 AZ655418:BA655418 KV655418:KW655418 UR655418:US655418 AEN655418:AEO655418 AOJ655418:AOK655418 AYF655418:AYG655418 BIB655418:BIC655418 BRX655418:BRY655418 CBT655418:CBU655418 CLP655418:CLQ655418 CVL655418:CVM655418 DFH655418:DFI655418 DPD655418:DPE655418 DYZ655418:DZA655418 EIV655418:EIW655418 ESR655418:ESS655418 FCN655418:FCO655418 FMJ655418:FMK655418 FWF655418:FWG655418 GGB655418:GGC655418 GPX655418:GPY655418 GZT655418:GZU655418 HJP655418:HJQ655418 HTL655418:HTM655418 IDH655418:IDI655418 IND655418:INE655418 IWZ655418:IXA655418 JGV655418:JGW655418 JQR655418:JQS655418 KAN655418:KAO655418 KKJ655418:KKK655418 KUF655418:KUG655418 LEB655418:LEC655418 LNX655418:LNY655418 LXT655418:LXU655418 MHP655418:MHQ655418 MRL655418:MRM655418 NBH655418:NBI655418 NLD655418:NLE655418 NUZ655418:NVA655418 OEV655418:OEW655418 OOR655418:OOS655418 OYN655418:OYO655418 PIJ655418:PIK655418 PSF655418:PSG655418 QCB655418:QCC655418 QLX655418:QLY655418 QVT655418:QVU655418 RFP655418:RFQ655418 RPL655418:RPM655418 RZH655418:RZI655418 SJD655418:SJE655418 SSZ655418:STA655418 TCV655418:TCW655418 TMR655418:TMS655418 TWN655418:TWO655418 UGJ655418:UGK655418 UQF655418:UQG655418 VAB655418:VAC655418 VJX655418:VJY655418 VTT655418:VTU655418 WDP655418:WDQ655418 WNL655418:WNM655418 WXH655418:WXI655418 AZ720954:BA720954 KV720954:KW720954 UR720954:US720954 AEN720954:AEO720954 AOJ720954:AOK720954 AYF720954:AYG720954 BIB720954:BIC720954 BRX720954:BRY720954 CBT720954:CBU720954 CLP720954:CLQ720954 CVL720954:CVM720954 DFH720954:DFI720954 DPD720954:DPE720954 DYZ720954:DZA720954 EIV720954:EIW720954 ESR720954:ESS720954 FCN720954:FCO720954 FMJ720954:FMK720954 FWF720954:FWG720954 GGB720954:GGC720954 GPX720954:GPY720954 GZT720954:GZU720954 HJP720954:HJQ720954 HTL720954:HTM720954 IDH720954:IDI720954 IND720954:INE720954 IWZ720954:IXA720954 JGV720954:JGW720954 JQR720954:JQS720954 KAN720954:KAO720954 KKJ720954:KKK720954 KUF720954:KUG720954 LEB720954:LEC720954 LNX720954:LNY720954 LXT720954:LXU720954 MHP720954:MHQ720954 MRL720954:MRM720954 NBH720954:NBI720954 NLD720954:NLE720954 NUZ720954:NVA720954 OEV720954:OEW720954 OOR720954:OOS720954 OYN720954:OYO720954 PIJ720954:PIK720954 PSF720954:PSG720954 QCB720954:QCC720954 QLX720954:QLY720954 QVT720954:QVU720954 RFP720954:RFQ720954 RPL720954:RPM720954 RZH720954:RZI720954 SJD720954:SJE720954 SSZ720954:STA720954 TCV720954:TCW720954 TMR720954:TMS720954 TWN720954:TWO720954 UGJ720954:UGK720954 UQF720954:UQG720954 VAB720954:VAC720954 VJX720954:VJY720954 VTT720954:VTU720954 WDP720954:WDQ720954 WNL720954:WNM720954 WXH720954:WXI720954 AZ786490:BA786490 KV786490:KW786490 UR786490:US786490 AEN786490:AEO786490 AOJ786490:AOK786490 AYF786490:AYG786490 BIB786490:BIC786490 BRX786490:BRY786490 CBT786490:CBU786490 CLP786490:CLQ786490 CVL786490:CVM786490 DFH786490:DFI786490 DPD786490:DPE786490 DYZ786490:DZA786490 EIV786490:EIW786490 ESR786490:ESS786490 FCN786490:FCO786490 FMJ786490:FMK786490 FWF786490:FWG786490 GGB786490:GGC786490 GPX786490:GPY786490 GZT786490:GZU786490 HJP786490:HJQ786490 HTL786490:HTM786490 IDH786490:IDI786490 IND786490:INE786490 IWZ786490:IXA786490 JGV786490:JGW786490 JQR786490:JQS786490 KAN786490:KAO786490 KKJ786490:KKK786490 KUF786490:KUG786490 LEB786490:LEC786490 LNX786490:LNY786490 LXT786490:LXU786490 MHP786490:MHQ786490 MRL786490:MRM786490 NBH786490:NBI786490 NLD786490:NLE786490 NUZ786490:NVA786490 OEV786490:OEW786490 OOR786490:OOS786490 OYN786490:OYO786490 PIJ786490:PIK786490 PSF786490:PSG786490 QCB786490:QCC786490 QLX786490:QLY786490 QVT786490:QVU786490 RFP786490:RFQ786490 RPL786490:RPM786490 RZH786490:RZI786490 SJD786490:SJE786490 SSZ786490:STA786490 TCV786490:TCW786490 TMR786490:TMS786490 TWN786490:TWO786490 UGJ786490:UGK786490 UQF786490:UQG786490 VAB786490:VAC786490 VJX786490:VJY786490 VTT786490:VTU786490 WDP786490:WDQ786490 WNL786490:WNM786490 WXH786490:WXI786490 AZ852026:BA852026 KV852026:KW852026 UR852026:US852026 AEN852026:AEO852026 AOJ852026:AOK852026 AYF852026:AYG852026 BIB852026:BIC852026 BRX852026:BRY852026 CBT852026:CBU852026 CLP852026:CLQ852026 CVL852026:CVM852026 DFH852026:DFI852026 DPD852026:DPE852026 DYZ852026:DZA852026 EIV852026:EIW852026 ESR852026:ESS852026 FCN852026:FCO852026 FMJ852026:FMK852026 FWF852026:FWG852026 GGB852026:GGC852026 GPX852026:GPY852026 GZT852026:GZU852026 HJP852026:HJQ852026 HTL852026:HTM852026 IDH852026:IDI852026 IND852026:INE852026 IWZ852026:IXA852026 JGV852026:JGW852026 JQR852026:JQS852026 KAN852026:KAO852026 KKJ852026:KKK852026 KUF852026:KUG852026 LEB852026:LEC852026 LNX852026:LNY852026 LXT852026:LXU852026 MHP852026:MHQ852026 MRL852026:MRM852026 NBH852026:NBI852026 NLD852026:NLE852026 NUZ852026:NVA852026 OEV852026:OEW852026 OOR852026:OOS852026 OYN852026:OYO852026 PIJ852026:PIK852026 PSF852026:PSG852026 QCB852026:QCC852026 QLX852026:QLY852026 QVT852026:QVU852026 RFP852026:RFQ852026 RPL852026:RPM852026 RZH852026:RZI852026 SJD852026:SJE852026 SSZ852026:STA852026 TCV852026:TCW852026 TMR852026:TMS852026 TWN852026:TWO852026 UGJ852026:UGK852026 UQF852026:UQG852026 VAB852026:VAC852026 VJX852026:VJY852026 VTT852026:VTU852026 WDP852026:WDQ852026 WNL852026:WNM852026 WXH852026:WXI852026 AZ917562:BA917562 KV917562:KW917562 UR917562:US917562 AEN917562:AEO917562 AOJ917562:AOK917562 AYF917562:AYG917562 BIB917562:BIC917562 BRX917562:BRY917562 CBT917562:CBU917562 CLP917562:CLQ917562 CVL917562:CVM917562 DFH917562:DFI917562 DPD917562:DPE917562 DYZ917562:DZA917562 EIV917562:EIW917562 ESR917562:ESS917562 FCN917562:FCO917562 FMJ917562:FMK917562 FWF917562:FWG917562 GGB917562:GGC917562 GPX917562:GPY917562 GZT917562:GZU917562 HJP917562:HJQ917562 HTL917562:HTM917562 IDH917562:IDI917562 IND917562:INE917562 IWZ917562:IXA917562 JGV917562:JGW917562 JQR917562:JQS917562 KAN917562:KAO917562 KKJ917562:KKK917562 KUF917562:KUG917562 LEB917562:LEC917562 LNX917562:LNY917562 LXT917562:LXU917562 MHP917562:MHQ917562 MRL917562:MRM917562 NBH917562:NBI917562 NLD917562:NLE917562 NUZ917562:NVA917562 OEV917562:OEW917562 OOR917562:OOS917562 OYN917562:OYO917562 PIJ917562:PIK917562 PSF917562:PSG917562 QCB917562:QCC917562 QLX917562:QLY917562 QVT917562:QVU917562 RFP917562:RFQ917562 RPL917562:RPM917562 RZH917562:RZI917562 SJD917562:SJE917562 SSZ917562:STA917562 TCV917562:TCW917562 TMR917562:TMS917562 TWN917562:TWO917562 UGJ917562:UGK917562 UQF917562:UQG917562 VAB917562:VAC917562 VJX917562:VJY917562 VTT917562:VTU917562 WDP917562:WDQ917562 WNL917562:WNM917562 WXH917562:WXI917562 AZ983098:BA983098 KV983098:KW983098 UR983098:US983098 AEN983098:AEO983098 AOJ983098:AOK983098 AYF983098:AYG983098 BIB983098:BIC983098 BRX983098:BRY983098 CBT983098:CBU983098 CLP983098:CLQ983098 CVL983098:CVM983098 DFH983098:DFI983098 DPD983098:DPE983098 DYZ983098:DZA983098 EIV983098:EIW983098 ESR983098:ESS983098 FCN983098:FCO983098 FMJ983098:FMK983098 FWF983098:FWG983098 GGB983098:GGC983098 GPX983098:GPY983098 GZT983098:GZU983098 HJP983098:HJQ983098 HTL983098:HTM983098 IDH983098:IDI983098 IND983098:INE983098 IWZ983098:IXA983098 JGV983098:JGW983098 JQR983098:JQS983098 KAN983098:KAO983098 KKJ983098:KKK983098 KUF983098:KUG983098 LEB983098:LEC983098 LNX983098:LNY983098 LXT983098:LXU983098 MHP983098:MHQ983098 MRL983098:MRM983098 NBH983098:NBI983098 NLD983098:NLE983098 NUZ983098:NVA983098 OEV983098:OEW983098 OOR983098:OOS983098 OYN983098:OYO983098 PIJ983098:PIK983098 PSF983098:PSG983098 QCB983098:QCC983098 QLX983098:QLY983098 QVT983098:QVU983098 RFP983098:RFQ983098 RPL983098:RPM983098 RZH983098:RZI983098 SJD983098:SJE983098 SSZ983098:STA983098 TCV983098:TCW983098 TMR983098:TMS983098 TWN983098:TWO983098 UGJ983098:UGK983098 UQF983098:UQG983098 VAB983098:VAC983098 VJX983098:VJY983098 VTT983098:VTU983098 WDP983098:WDQ983098 WNL983098:WNM983098 WXH983098:WXI983098" xr:uid="{00000000-0002-0000-0300-000000000000}">
      <formula1>"A,B"</formula1>
    </dataValidation>
  </dataValidations>
  <printOptions horizontalCentered="1" verticalCentered="1"/>
  <pageMargins left="0.39370078740157483" right="0.39370078740157483" top="0" bottom="0" header="0.51181102362204722" footer="0.51181102362204722"/>
  <pageSetup paperSize="9" orientation="portrait" r:id="rId1"/>
  <headerFooter alignWithMargins="0"/>
  <ignoredErrors>
    <ignoredError sqref="B69:F69 C71:BK71 B70:F70 B72:F72 G70:J70 K70:N70 O70:R70 S70:V70 W70:Y70 AA70:AD70 AE70:AH70 AI70:AL70 AM70:AP70 AQ70:AT70 AU70:AX70 AY70:BB70 BC70:BF70 BG70:BJ70 BK70 G72:J72 K72:N72 O72:R72 S72:V72 W72:Z72 AA72:AD72 AE72:AH72 AI72:AL72 AM72:AP72 AQ72:AT72 AU72:AX72 AY72:BB72 BC72:BF72 BG72:BJ72 BK72 G69:J69 K69:N69 O69:R69 S69:V69 W69:Z69 AA69:AD69 AE69:AH69 AI69:AL69 AM69:AP69 AQ69:AT69 AU69:BK69"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4:AF374"/>
  <sheetViews>
    <sheetView view="pageBreakPreview" topLeftCell="A146" zoomScale="60" zoomScaleNormal="100" workbookViewId="0">
      <selection activeCell="Y174" sqref="Y174"/>
    </sheetView>
  </sheetViews>
  <sheetFormatPr defaultColWidth="9" defaultRowHeight="13.5" x14ac:dyDescent="0.15"/>
  <cols>
    <col min="1" max="1" width="5.625" style="3" customWidth="1"/>
    <col min="2" max="2" width="6" style="3" customWidth="1"/>
    <col min="3" max="3" width="9" style="3"/>
    <col min="4" max="4" width="8.875" style="3" customWidth="1"/>
    <col min="5" max="11" width="4.375" style="3" customWidth="1"/>
    <col min="12" max="12" width="3.125" style="3" customWidth="1"/>
    <col min="13" max="13" width="19.5" style="3" bestFit="1" customWidth="1"/>
    <col min="14" max="14" width="6" style="3" customWidth="1"/>
    <col min="15" max="15" width="5.625" style="3" customWidth="1"/>
    <col min="16" max="16" width="6.625" style="51" hidden="1" customWidth="1"/>
    <col min="17" max="17" width="5.625" style="3" customWidth="1"/>
    <col min="18" max="18" width="6" style="3" customWidth="1"/>
    <col min="19" max="19" width="9" style="3"/>
    <col min="20" max="20" width="8.875" style="3" customWidth="1"/>
    <col min="21" max="27" width="4.375" style="3" customWidth="1"/>
    <col min="28" max="28" width="3.125" style="3" customWidth="1"/>
    <col min="29" max="29" width="19.5" style="3" bestFit="1" customWidth="1"/>
    <col min="30" max="30" width="6" style="3" customWidth="1"/>
    <col min="31" max="31" width="5.625" style="3" customWidth="1"/>
    <col min="32" max="16384" width="9" style="3"/>
  </cols>
  <sheetData>
    <row r="4" spans="2:32" ht="14.25" thickBot="1" x14ac:dyDescent="0.2"/>
    <row r="5" spans="2:32" ht="26.25" customHeight="1" x14ac:dyDescent="0.15">
      <c r="B5" s="4"/>
      <c r="C5" s="5"/>
      <c r="D5" s="5"/>
      <c r="E5" s="5"/>
      <c r="F5" s="5"/>
      <c r="G5" s="5"/>
      <c r="H5" s="5"/>
      <c r="I5" s="5"/>
      <c r="J5" s="5"/>
      <c r="K5" s="5"/>
      <c r="L5" s="5"/>
      <c r="M5" s="5"/>
      <c r="N5" s="6"/>
      <c r="R5" s="4"/>
      <c r="S5" s="5"/>
      <c r="T5" s="5"/>
      <c r="U5" s="5"/>
      <c r="V5" s="5"/>
      <c r="W5" s="5"/>
      <c r="X5" s="5"/>
      <c r="Y5" s="5"/>
      <c r="Z5" s="5"/>
      <c r="AA5" s="5"/>
      <c r="AB5" s="5"/>
      <c r="AC5" s="5"/>
      <c r="AD5" s="6"/>
    </row>
    <row r="6" spans="2:32" ht="26.25" thickBot="1" x14ac:dyDescent="0.2">
      <c r="B6" s="7"/>
      <c r="C6" s="8"/>
      <c r="D6" s="8"/>
      <c r="E6" s="8"/>
      <c r="F6" s="226" t="s">
        <v>28</v>
      </c>
      <c r="G6" s="226"/>
      <c r="H6" s="226"/>
      <c r="I6" s="226"/>
      <c r="J6" s="226"/>
      <c r="K6" s="226"/>
      <c r="L6" s="8"/>
      <c r="M6" s="8"/>
      <c r="N6" s="9"/>
      <c r="R6" s="7"/>
      <c r="S6" s="8"/>
      <c r="T6" s="8"/>
      <c r="U6" s="8"/>
      <c r="V6" s="226" t="s">
        <v>28</v>
      </c>
      <c r="W6" s="226"/>
      <c r="X6" s="226"/>
      <c r="Y6" s="226"/>
      <c r="Z6" s="226"/>
      <c r="AA6" s="226"/>
      <c r="AB6" s="8"/>
      <c r="AC6" s="8"/>
      <c r="AD6" s="9"/>
    </row>
    <row r="7" spans="2:32" ht="14.25" thickTop="1" x14ac:dyDescent="0.15">
      <c r="B7" s="7"/>
      <c r="N7" s="9"/>
      <c r="R7" s="7"/>
      <c r="AD7" s="9"/>
    </row>
    <row r="8" spans="2:32" ht="25.5" x14ac:dyDescent="0.15">
      <c r="B8" s="7"/>
      <c r="C8" s="225" t="str">
        <f>INDEX(抽選!$K$3:$K$18,領収証!P8,1)&amp;"サッカー部 様"</f>
        <v>サッカー部 様</v>
      </c>
      <c r="D8" s="225"/>
      <c r="E8" s="225"/>
      <c r="F8" s="225"/>
      <c r="G8" s="225"/>
      <c r="H8" s="225"/>
      <c r="I8" s="225"/>
      <c r="M8" s="10">
        <f>ﾄｰﾅﾒﾝﾄ!$A$57</f>
        <v>45206</v>
      </c>
      <c r="N8" s="9"/>
      <c r="P8" s="51">
        <v>1</v>
      </c>
      <c r="R8" s="7"/>
      <c r="S8" s="225" t="str">
        <f>INDEX(抽選!$K$3:$K$18,領収証!AF8,1)&amp;"サッカー部 様"</f>
        <v>サッカー部 様</v>
      </c>
      <c r="T8" s="225"/>
      <c r="U8" s="225"/>
      <c r="V8" s="225"/>
      <c r="W8" s="225"/>
      <c r="X8" s="225"/>
      <c r="Y8" s="225"/>
      <c r="AC8" s="10">
        <f>$M$8</f>
        <v>45206</v>
      </c>
      <c r="AD8" s="9"/>
      <c r="AF8" s="3">
        <f>P155+1</f>
        <v>9</v>
      </c>
    </row>
    <row r="9" spans="2:32" ht="14.25" thickBot="1" x14ac:dyDescent="0.2">
      <c r="B9" s="7"/>
      <c r="N9" s="9"/>
      <c r="R9" s="7"/>
      <c r="AD9" s="9"/>
    </row>
    <row r="10" spans="2:32" ht="33.75" customHeight="1" thickBot="1" x14ac:dyDescent="0.2">
      <c r="B10" s="7"/>
      <c r="D10" s="11" t="s">
        <v>29</v>
      </c>
      <c r="E10" s="12"/>
      <c r="F10" s="13"/>
      <c r="G10" s="14"/>
      <c r="H10" s="15">
        <v>3</v>
      </c>
      <c r="I10" s="16">
        <v>6</v>
      </c>
      <c r="J10" s="14">
        <v>0</v>
      </c>
      <c r="K10" s="14">
        <v>0</v>
      </c>
      <c r="L10" s="17" t="s">
        <v>30</v>
      </c>
      <c r="N10" s="9"/>
      <c r="R10" s="7"/>
      <c r="T10" s="11" t="s">
        <v>29</v>
      </c>
      <c r="U10" s="12"/>
      <c r="V10" s="13"/>
      <c r="W10" s="14"/>
      <c r="X10" s="15">
        <v>5</v>
      </c>
      <c r="Y10" s="16">
        <v>2</v>
      </c>
      <c r="Z10" s="14">
        <v>0</v>
      </c>
      <c r="AA10" s="14">
        <v>0</v>
      </c>
      <c r="AB10" s="17" t="s">
        <v>30</v>
      </c>
      <c r="AD10" s="9"/>
    </row>
    <row r="11" spans="2:32" ht="22.5" customHeight="1" x14ac:dyDescent="0.15">
      <c r="B11" s="7"/>
      <c r="D11" s="18" t="s">
        <v>31</v>
      </c>
      <c r="E11" s="18"/>
      <c r="F11" s="18"/>
      <c r="G11" s="18"/>
      <c r="H11" s="18"/>
      <c r="I11" s="18"/>
      <c r="J11" s="19"/>
      <c r="K11" s="19"/>
      <c r="L11" s="19"/>
      <c r="N11" s="9"/>
      <c r="R11" s="7"/>
      <c r="T11" s="18" t="s">
        <v>31</v>
      </c>
      <c r="U11" s="18"/>
      <c r="V11" s="18"/>
      <c r="W11" s="18"/>
      <c r="X11" s="18"/>
      <c r="Y11" s="18"/>
      <c r="Z11" s="19"/>
      <c r="AA11" s="19"/>
      <c r="AB11" s="19"/>
      <c r="AD11" s="9"/>
    </row>
    <row r="12" spans="2:32" ht="30" customHeight="1" x14ac:dyDescent="0.15">
      <c r="B12" s="7"/>
      <c r="N12" s="9"/>
      <c r="R12" s="7"/>
      <c r="AD12" s="9"/>
    </row>
    <row r="13" spans="2:32" x14ac:dyDescent="0.15">
      <c r="B13" s="7"/>
      <c r="D13" s="3" t="s">
        <v>32</v>
      </c>
      <c r="N13" s="9"/>
      <c r="R13" s="7"/>
      <c r="T13" s="3" t="s">
        <v>32</v>
      </c>
      <c r="AD13" s="9"/>
    </row>
    <row r="14" spans="2:32" x14ac:dyDescent="0.15">
      <c r="B14" s="7"/>
      <c r="N14" s="9"/>
      <c r="R14" s="7"/>
      <c r="AD14" s="9"/>
    </row>
    <row r="15" spans="2:32" x14ac:dyDescent="0.15">
      <c r="B15" s="7"/>
      <c r="H15" s="3" t="s">
        <v>33</v>
      </c>
      <c r="N15" s="9"/>
      <c r="R15" s="7"/>
      <c r="X15" s="3" t="s">
        <v>33</v>
      </c>
      <c r="AD15" s="9"/>
    </row>
    <row r="16" spans="2:32" ht="24" x14ac:dyDescent="0.15">
      <c r="B16" s="7"/>
      <c r="H16" s="3" t="s">
        <v>372</v>
      </c>
      <c r="N16" s="9"/>
      <c r="R16" s="7"/>
      <c r="X16" s="3" t="s">
        <v>372</v>
      </c>
      <c r="AD16" s="9"/>
    </row>
    <row r="17" spans="2:32" ht="26.25" customHeight="1" thickBot="1" x14ac:dyDescent="0.2">
      <c r="B17" s="20"/>
      <c r="C17" s="21"/>
      <c r="D17" s="21"/>
      <c r="E17" s="21"/>
      <c r="F17" s="21"/>
      <c r="G17" s="21"/>
      <c r="H17" s="21"/>
      <c r="I17" s="21"/>
      <c r="J17" s="21"/>
      <c r="K17" s="21"/>
      <c r="L17" s="21"/>
      <c r="M17" s="21"/>
      <c r="N17" s="22"/>
      <c r="R17" s="20"/>
      <c r="S17" s="21"/>
      <c r="T17" s="21"/>
      <c r="U17" s="21"/>
      <c r="V17" s="21"/>
      <c r="W17" s="21"/>
      <c r="X17" s="21"/>
      <c r="Y17" s="21"/>
      <c r="Z17" s="21"/>
      <c r="AA17" s="21"/>
      <c r="AB17" s="21"/>
      <c r="AC17" s="21"/>
      <c r="AD17" s="22"/>
    </row>
    <row r="25" spans="2:32" ht="14.25" thickBot="1" x14ac:dyDescent="0.2"/>
    <row r="26" spans="2:32" ht="26.25" customHeight="1" x14ac:dyDescent="0.15">
      <c r="B26" s="4"/>
      <c r="C26" s="5"/>
      <c r="D26" s="5"/>
      <c r="E26" s="5"/>
      <c r="F26" s="5"/>
      <c r="G26" s="5"/>
      <c r="H26" s="5"/>
      <c r="I26" s="5"/>
      <c r="J26" s="5"/>
      <c r="K26" s="5"/>
      <c r="L26" s="5"/>
      <c r="M26" s="5"/>
      <c r="N26" s="6"/>
      <c r="R26" s="4"/>
      <c r="S26" s="5"/>
      <c r="T26" s="5"/>
      <c r="U26" s="5"/>
      <c r="V26" s="5"/>
      <c r="W26" s="5"/>
      <c r="X26" s="5"/>
      <c r="Y26" s="5"/>
      <c r="Z26" s="5"/>
      <c r="AA26" s="5"/>
      <c r="AB26" s="5"/>
      <c r="AC26" s="5"/>
      <c r="AD26" s="6"/>
    </row>
    <row r="27" spans="2:32" ht="26.25" thickBot="1" x14ac:dyDescent="0.2">
      <c r="B27" s="7"/>
      <c r="C27" s="8"/>
      <c r="D27" s="8"/>
      <c r="E27" s="8"/>
      <c r="F27" s="226" t="s">
        <v>28</v>
      </c>
      <c r="G27" s="226"/>
      <c r="H27" s="226"/>
      <c r="I27" s="226"/>
      <c r="J27" s="226"/>
      <c r="K27" s="226"/>
      <c r="L27" s="8"/>
      <c r="M27" s="8"/>
      <c r="N27" s="9"/>
      <c r="R27" s="7"/>
      <c r="S27" s="8"/>
      <c r="T27" s="8"/>
      <c r="U27" s="8"/>
      <c r="V27" s="226" t="s">
        <v>28</v>
      </c>
      <c r="W27" s="226"/>
      <c r="X27" s="226"/>
      <c r="Y27" s="226"/>
      <c r="Z27" s="226"/>
      <c r="AA27" s="226"/>
      <c r="AB27" s="8"/>
      <c r="AC27" s="8"/>
      <c r="AD27" s="9"/>
    </row>
    <row r="28" spans="2:32" ht="14.25" thickTop="1" x14ac:dyDescent="0.15">
      <c r="B28" s="7"/>
      <c r="N28" s="9"/>
      <c r="R28" s="7"/>
      <c r="AD28" s="9"/>
    </row>
    <row r="29" spans="2:32" ht="25.5" x14ac:dyDescent="0.15">
      <c r="B29" s="7"/>
      <c r="C29" s="225" t="str">
        <f>INDEX(抽選!$K$3:$K$18,領収証!P29,1)&amp;"サッカー部 様"</f>
        <v>サッカー部 様</v>
      </c>
      <c r="D29" s="225"/>
      <c r="E29" s="225"/>
      <c r="F29" s="225"/>
      <c r="G29" s="225"/>
      <c r="H29" s="225"/>
      <c r="I29" s="225"/>
      <c r="M29" s="10">
        <f>$M$8</f>
        <v>45206</v>
      </c>
      <c r="N29" s="9"/>
      <c r="P29" s="51">
        <f>P8+1</f>
        <v>2</v>
      </c>
      <c r="R29" s="7"/>
      <c r="S29" s="225" t="str">
        <f>INDEX(抽選!$K$3:$K$18,領収証!AF29,1)&amp;"サッカー部 様"</f>
        <v>サッカー部 様</v>
      </c>
      <c r="T29" s="225"/>
      <c r="U29" s="225"/>
      <c r="V29" s="225"/>
      <c r="W29" s="225"/>
      <c r="X29" s="225"/>
      <c r="Y29" s="225"/>
      <c r="AC29" s="10">
        <f>$M$8</f>
        <v>45206</v>
      </c>
      <c r="AD29" s="9"/>
      <c r="AF29" s="3">
        <f>AF8+1</f>
        <v>10</v>
      </c>
    </row>
    <row r="30" spans="2:32" ht="14.25" thickBot="1" x14ac:dyDescent="0.2">
      <c r="B30" s="7"/>
      <c r="N30" s="9"/>
      <c r="R30" s="7"/>
      <c r="AD30" s="9"/>
    </row>
    <row r="31" spans="2:32" ht="33.75" customHeight="1" thickBot="1" x14ac:dyDescent="0.2">
      <c r="B31" s="7"/>
      <c r="D31" s="11" t="s">
        <v>29</v>
      </c>
      <c r="E31" s="12"/>
      <c r="F31" s="13"/>
      <c r="G31" s="14"/>
      <c r="H31" s="15">
        <v>3</v>
      </c>
      <c r="I31" s="16">
        <v>0</v>
      </c>
      <c r="J31" s="14">
        <v>0</v>
      </c>
      <c r="K31" s="14">
        <v>0</v>
      </c>
      <c r="L31" s="17" t="s">
        <v>30</v>
      </c>
      <c r="N31" s="9"/>
      <c r="R31" s="7"/>
      <c r="T31" s="11" t="s">
        <v>29</v>
      </c>
      <c r="U31" s="12"/>
      <c r="V31" s="13"/>
      <c r="W31" s="14"/>
      <c r="X31" s="15">
        <v>4</v>
      </c>
      <c r="Y31" s="16">
        <v>0</v>
      </c>
      <c r="Z31" s="14">
        <v>0</v>
      </c>
      <c r="AA31" s="14">
        <v>0</v>
      </c>
      <c r="AB31" s="17" t="s">
        <v>30</v>
      </c>
      <c r="AD31" s="9"/>
    </row>
    <row r="32" spans="2:32" ht="22.5" customHeight="1" x14ac:dyDescent="0.15">
      <c r="B32" s="7"/>
      <c r="D32" s="18" t="s">
        <v>31</v>
      </c>
      <c r="E32" s="18"/>
      <c r="F32" s="18"/>
      <c r="G32" s="18"/>
      <c r="H32" s="18"/>
      <c r="I32" s="18"/>
      <c r="J32" s="19"/>
      <c r="K32" s="19"/>
      <c r="L32" s="19"/>
      <c r="N32" s="9"/>
      <c r="R32" s="7"/>
      <c r="T32" s="18" t="s">
        <v>31</v>
      </c>
      <c r="U32" s="18"/>
      <c r="V32" s="18"/>
      <c r="W32" s="18"/>
      <c r="X32" s="18"/>
      <c r="Y32" s="18"/>
      <c r="Z32" s="19"/>
      <c r="AA32" s="19"/>
      <c r="AB32" s="19"/>
      <c r="AD32" s="9"/>
    </row>
    <row r="33" spans="2:30" ht="30" customHeight="1" x14ac:dyDescent="0.15">
      <c r="B33" s="7"/>
      <c r="N33" s="9"/>
      <c r="R33" s="7"/>
      <c r="AD33" s="9"/>
    </row>
    <row r="34" spans="2:30" x14ac:dyDescent="0.15">
      <c r="B34" s="7"/>
      <c r="D34" s="3" t="s">
        <v>32</v>
      </c>
      <c r="N34" s="9"/>
      <c r="R34" s="7"/>
      <c r="T34" s="3" t="s">
        <v>32</v>
      </c>
      <c r="AD34" s="9"/>
    </row>
    <row r="35" spans="2:30" x14ac:dyDescent="0.15">
      <c r="B35" s="7"/>
      <c r="N35" s="9"/>
      <c r="R35" s="7"/>
      <c r="AD35" s="9"/>
    </row>
    <row r="36" spans="2:30" x14ac:dyDescent="0.15">
      <c r="B36" s="7"/>
      <c r="H36" s="3" t="s">
        <v>33</v>
      </c>
      <c r="N36" s="9"/>
      <c r="R36" s="7"/>
      <c r="X36" s="3" t="s">
        <v>33</v>
      </c>
      <c r="AD36" s="9"/>
    </row>
    <row r="37" spans="2:30" ht="24" x14ac:dyDescent="0.15">
      <c r="B37" s="7"/>
      <c r="H37" s="3" t="s">
        <v>372</v>
      </c>
      <c r="N37" s="9"/>
      <c r="R37" s="7"/>
      <c r="X37" s="3" t="s">
        <v>372</v>
      </c>
      <c r="AD37" s="9"/>
    </row>
    <row r="38" spans="2:30" ht="26.25" customHeight="1" thickBot="1" x14ac:dyDescent="0.2">
      <c r="B38" s="20"/>
      <c r="C38" s="21"/>
      <c r="D38" s="21"/>
      <c r="E38" s="21"/>
      <c r="F38" s="21"/>
      <c r="G38" s="21"/>
      <c r="H38" s="21"/>
      <c r="I38" s="21"/>
      <c r="J38" s="21"/>
      <c r="K38" s="21"/>
      <c r="L38" s="21"/>
      <c r="M38" s="21"/>
      <c r="N38" s="22"/>
      <c r="R38" s="20"/>
      <c r="S38" s="21"/>
      <c r="T38" s="21"/>
      <c r="U38" s="21"/>
      <c r="V38" s="21"/>
      <c r="W38" s="21"/>
      <c r="X38" s="21"/>
      <c r="Y38" s="21"/>
      <c r="Z38" s="21"/>
      <c r="AA38" s="21"/>
      <c r="AB38" s="21"/>
      <c r="AC38" s="21"/>
      <c r="AD38" s="22"/>
    </row>
    <row r="46" spans="2:30" ht="14.25" thickBot="1" x14ac:dyDescent="0.2"/>
    <row r="47" spans="2:30" ht="26.25" customHeight="1" x14ac:dyDescent="0.15">
      <c r="B47" s="4"/>
      <c r="C47" s="5"/>
      <c r="D47" s="5"/>
      <c r="E47" s="5"/>
      <c r="F47" s="5"/>
      <c r="G47" s="5"/>
      <c r="H47" s="5"/>
      <c r="I47" s="5"/>
      <c r="J47" s="5"/>
      <c r="K47" s="5"/>
      <c r="L47" s="5"/>
      <c r="M47" s="5"/>
      <c r="N47" s="6"/>
      <c r="R47" s="4"/>
      <c r="S47" s="5"/>
      <c r="T47" s="5"/>
      <c r="U47" s="5"/>
      <c r="V47" s="5"/>
      <c r="W47" s="5"/>
      <c r="X47" s="5"/>
      <c r="Y47" s="5"/>
      <c r="Z47" s="5"/>
      <c r="AA47" s="5"/>
      <c r="AB47" s="5"/>
      <c r="AC47" s="5"/>
      <c r="AD47" s="6"/>
    </row>
    <row r="48" spans="2:30" ht="26.25" thickBot="1" x14ac:dyDescent="0.2">
      <c r="B48" s="7"/>
      <c r="C48" s="8"/>
      <c r="D48" s="8"/>
      <c r="E48" s="8"/>
      <c r="F48" s="226" t="s">
        <v>28</v>
      </c>
      <c r="G48" s="226"/>
      <c r="H48" s="226"/>
      <c r="I48" s="226"/>
      <c r="J48" s="226"/>
      <c r="K48" s="226"/>
      <c r="L48" s="8"/>
      <c r="M48" s="8"/>
      <c r="N48" s="9"/>
      <c r="R48" s="7"/>
      <c r="S48" s="8"/>
      <c r="T48" s="8"/>
      <c r="U48" s="8"/>
      <c r="V48" s="226" t="s">
        <v>28</v>
      </c>
      <c r="W48" s="226"/>
      <c r="X48" s="226"/>
      <c r="Y48" s="226"/>
      <c r="Z48" s="226"/>
      <c r="AA48" s="226"/>
      <c r="AB48" s="8"/>
      <c r="AC48" s="8"/>
      <c r="AD48" s="9"/>
    </row>
    <row r="49" spans="2:32" ht="14.25" thickTop="1" x14ac:dyDescent="0.15">
      <c r="B49" s="7"/>
      <c r="N49" s="9"/>
      <c r="R49" s="7"/>
      <c r="AD49" s="9"/>
    </row>
    <row r="50" spans="2:32" ht="25.5" x14ac:dyDescent="0.15">
      <c r="B50" s="7"/>
      <c r="C50" s="225" t="str">
        <f>INDEX(抽選!$K$3:$K$18,領収証!P50,1)&amp;"サッカー部 様"</f>
        <v>サッカー部 様</v>
      </c>
      <c r="D50" s="225"/>
      <c r="E50" s="225"/>
      <c r="F50" s="225"/>
      <c r="G50" s="225"/>
      <c r="H50" s="225"/>
      <c r="I50" s="225"/>
      <c r="M50" s="10">
        <f>$M$8</f>
        <v>45206</v>
      </c>
      <c r="N50" s="9"/>
      <c r="P50" s="51">
        <f>P29+1</f>
        <v>3</v>
      </c>
      <c r="R50" s="7"/>
      <c r="S50" s="225" t="str">
        <f>INDEX(抽選!$K$3:$K$18,領収証!AF50,1)&amp;"サッカー部 様"</f>
        <v>サッカー部 様</v>
      </c>
      <c r="T50" s="225"/>
      <c r="U50" s="225"/>
      <c r="V50" s="225"/>
      <c r="W50" s="225"/>
      <c r="X50" s="225"/>
      <c r="Y50" s="225"/>
      <c r="AC50" s="10">
        <f>$M$8</f>
        <v>45206</v>
      </c>
      <c r="AD50" s="9"/>
      <c r="AF50" s="3">
        <f>AF29+1</f>
        <v>11</v>
      </c>
    </row>
    <row r="51" spans="2:32" ht="14.25" thickBot="1" x14ac:dyDescent="0.2">
      <c r="B51" s="7"/>
      <c r="N51" s="9"/>
      <c r="R51" s="7"/>
      <c r="AD51" s="9"/>
    </row>
    <row r="52" spans="2:32" ht="33.75" customHeight="1" thickBot="1" x14ac:dyDescent="0.2">
      <c r="B52" s="7"/>
      <c r="D52" s="11" t="s">
        <v>29</v>
      </c>
      <c r="E52" s="12"/>
      <c r="F52" s="13"/>
      <c r="G52" s="14"/>
      <c r="H52" s="15">
        <v>3</v>
      </c>
      <c r="I52" s="16">
        <v>4</v>
      </c>
      <c r="J52" s="14">
        <v>0</v>
      </c>
      <c r="K52" s="14">
        <v>0</v>
      </c>
      <c r="L52" s="17" t="s">
        <v>30</v>
      </c>
      <c r="N52" s="9"/>
      <c r="R52" s="7"/>
      <c r="T52" s="11" t="s">
        <v>29</v>
      </c>
      <c r="U52" s="12"/>
      <c r="V52" s="13"/>
      <c r="W52" s="14"/>
      <c r="X52" s="15">
        <v>4</v>
      </c>
      <c r="Y52" s="16">
        <v>0</v>
      </c>
      <c r="Z52" s="14">
        <v>0</v>
      </c>
      <c r="AA52" s="14">
        <v>0</v>
      </c>
      <c r="AB52" s="17" t="s">
        <v>30</v>
      </c>
      <c r="AD52" s="9"/>
    </row>
    <row r="53" spans="2:32" ht="22.5" customHeight="1" x14ac:dyDescent="0.15">
      <c r="B53" s="7"/>
      <c r="D53" s="18" t="s">
        <v>31</v>
      </c>
      <c r="E53" s="18"/>
      <c r="F53" s="18"/>
      <c r="G53" s="18"/>
      <c r="H53" s="18"/>
      <c r="I53" s="18"/>
      <c r="J53" s="19"/>
      <c r="K53" s="19"/>
      <c r="L53" s="19"/>
      <c r="N53" s="9"/>
      <c r="R53" s="7"/>
      <c r="T53" s="18" t="s">
        <v>31</v>
      </c>
      <c r="U53" s="18"/>
      <c r="V53" s="18"/>
      <c r="W53" s="18"/>
      <c r="X53" s="18"/>
      <c r="Y53" s="18"/>
      <c r="Z53" s="19"/>
      <c r="AA53" s="19"/>
      <c r="AB53" s="19"/>
      <c r="AD53" s="9"/>
    </row>
    <row r="54" spans="2:32" ht="30" customHeight="1" x14ac:dyDescent="0.15">
      <c r="B54" s="7"/>
      <c r="N54" s="9"/>
      <c r="R54" s="7"/>
      <c r="AD54" s="9"/>
    </row>
    <row r="55" spans="2:32" x14ac:dyDescent="0.15">
      <c r="B55" s="7"/>
      <c r="D55" s="3" t="s">
        <v>32</v>
      </c>
      <c r="N55" s="9"/>
      <c r="R55" s="7"/>
      <c r="T55" s="3" t="s">
        <v>32</v>
      </c>
      <c r="AD55" s="9"/>
    </row>
    <row r="56" spans="2:32" x14ac:dyDescent="0.15">
      <c r="B56" s="7"/>
      <c r="N56" s="9"/>
      <c r="R56" s="7"/>
      <c r="AD56" s="9"/>
    </row>
    <row r="57" spans="2:32" x14ac:dyDescent="0.15">
      <c r="B57" s="7"/>
      <c r="H57" s="3" t="s">
        <v>33</v>
      </c>
      <c r="N57" s="9"/>
      <c r="R57" s="7"/>
      <c r="X57" s="3" t="s">
        <v>33</v>
      </c>
      <c r="AD57" s="9"/>
    </row>
    <row r="58" spans="2:32" ht="24" x14ac:dyDescent="0.15">
      <c r="B58" s="7"/>
      <c r="H58" s="3" t="s">
        <v>372</v>
      </c>
      <c r="N58" s="9"/>
      <c r="R58" s="7"/>
      <c r="X58" s="3" t="s">
        <v>372</v>
      </c>
      <c r="AD58" s="9"/>
    </row>
    <row r="59" spans="2:32" ht="26.25" customHeight="1" thickBot="1" x14ac:dyDescent="0.2">
      <c r="B59" s="20"/>
      <c r="C59" s="21"/>
      <c r="D59" s="21"/>
      <c r="E59" s="21"/>
      <c r="F59" s="21"/>
      <c r="G59" s="21"/>
      <c r="H59" s="21"/>
      <c r="I59" s="21"/>
      <c r="J59" s="21"/>
      <c r="K59" s="21"/>
      <c r="L59" s="21"/>
      <c r="M59" s="21"/>
      <c r="N59" s="22"/>
      <c r="R59" s="20"/>
      <c r="S59" s="21"/>
      <c r="T59" s="21"/>
      <c r="U59" s="21"/>
      <c r="V59" s="21"/>
      <c r="W59" s="21"/>
      <c r="X59" s="21"/>
      <c r="Y59" s="21"/>
      <c r="Z59" s="21"/>
      <c r="AA59" s="21"/>
      <c r="AB59" s="21"/>
      <c r="AC59" s="21"/>
      <c r="AD59" s="22"/>
    </row>
    <row r="67" spans="2:32" ht="14.25" thickBot="1" x14ac:dyDescent="0.2"/>
    <row r="68" spans="2:32" ht="26.25" customHeight="1" x14ac:dyDescent="0.15">
      <c r="B68" s="4"/>
      <c r="C68" s="5"/>
      <c r="D68" s="5"/>
      <c r="E68" s="5"/>
      <c r="F68" s="5"/>
      <c r="G68" s="5"/>
      <c r="H68" s="5"/>
      <c r="I68" s="5"/>
      <c r="J68" s="5"/>
      <c r="K68" s="5"/>
      <c r="L68" s="5"/>
      <c r="M68" s="5"/>
      <c r="N68" s="6"/>
      <c r="R68" s="4"/>
      <c r="S68" s="5"/>
      <c r="T68" s="5"/>
      <c r="U68" s="5"/>
      <c r="V68" s="5"/>
      <c r="W68" s="5"/>
      <c r="X68" s="5"/>
      <c r="Y68" s="5"/>
      <c r="Z68" s="5"/>
      <c r="AA68" s="5"/>
      <c r="AB68" s="5"/>
      <c r="AC68" s="5"/>
      <c r="AD68" s="6"/>
    </row>
    <row r="69" spans="2:32" ht="26.25" thickBot="1" x14ac:dyDescent="0.2">
      <c r="B69" s="7"/>
      <c r="C69" s="8"/>
      <c r="D69" s="8"/>
      <c r="E69" s="8"/>
      <c r="F69" s="226" t="s">
        <v>28</v>
      </c>
      <c r="G69" s="226"/>
      <c r="H69" s="226"/>
      <c r="I69" s="226"/>
      <c r="J69" s="226"/>
      <c r="K69" s="226"/>
      <c r="L69" s="8"/>
      <c r="M69" s="8"/>
      <c r="N69" s="9"/>
      <c r="R69" s="7"/>
      <c r="S69" s="8"/>
      <c r="T69" s="8"/>
      <c r="U69" s="8"/>
      <c r="V69" s="226" t="s">
        <v>28</v>
      </c>
      <c r="W69" s="226"/>
      <c r="X69" s="226"/>
      <c r="Y69" s="226"/>
      <c r="Z69" s="226"/>
      <c r="AA69" s="226"/>
      <c r="AB69" s="8"/>
      <c r="AC69" s="8"/>
      <c r="AD69" s="9"/>
    </row>
    <row r="70" spans="2:32" ht="14.25" thickTop="1" x14ac:dyDescent="0.15">
      <c r="B70" s="7"/>
      <c r="N70" s="9"/>
      <c r="R70" s="7"/>
      <c r="AD70" s="9"/>
    </row>
    <row r="71" spans="2:32" ht="25.5" x14ac:dyDescent="0.15">
      <c r="B71" s="7"/>
      <c r="C71" s="225" t="str">
        <f>INDEX(抽選!$K$3:$K$18,領収証!P71,1)&amp;"サッカー部 様"</f>
        <v>サッカー部 様</v>
      </c>
      <c r="D71" s="225"/>
      <c r="E71" s="225"/>
      <c r="F71" s="225"/>
      <c r="G71" s="225"/>
      <c r="H71" s="225"/>
      <c r="I71" s="225"/>
      <c r="M71" s="10">
        <f>$M$8</f>
        <v>45206</v>
      </c>
      <c r="N71" s="9"/>
      <c r="P71" s="51">
        <f>P50+1</f>
        <v>4</v>
      </c>
      <c r="R71" s="7"/>
      <c r="S71" s="225" t="str">
        <f>INDEX(抽選!$K$3:$K$18,領収証!AF71,1)&amp;"サッカー部 様"</f>
        <v>サッカー部 様</v>
      </c>
      <c r="T71" s="225"/>
      <c r="U71" s="225"/>
      <c r="V71" s="225"/>
      <c r="W71" s="225"/>
      <c r="X71" s="225"/>
      <c r="Y71" s="225"/>
      <c r="AC71" s="10">
        <f>$M$8</f>
        <v>45206</v>
      </c>
      <c r="AD71" s="9"/>
      <c r="AF71" s="3">
        <f>AF50+1</f>
        <v>12</v>
      </c>
    </row>
    <row r="72" spans="2:32" ht="14.25" thickBot="1" x14ac:dyDescent="0.2">
      <c r="B72" s="7"/>
      <c r="N72" s="9"/>
      <c r="R72" s="7"/>
      <c r="AD72" s="9"/>
    </row>
    <row r="73" spans="2:32" ht="33.75" customHeight="1" thickBot="1" x14ac:dyDescent="0.2">
      <c r="B73" s="7"/>
      <c r="D73" s="11" t="s">
        <v>29</v>
      </c>
      <c r="E73" s="12"/>
      <c r="F73" s="13"/>
      <c r="G73" s="14"/>
      <c r="H73" s="15">
        <v>4</v>
      </c>
      <c r="I73" s="16">
        <v>2</v>
      </c>
      <c r="J73" s="14">
        <v>0</v>
      </c>
      <c r="K73" s="14">
        <v>0</v>
      </c>
      <c r="L73" s="17" t="s">
        <v>30</v>
      </c>
      <c r="N73" s="9"/>
      <c r="R73" s="7"/>
      <c r="T73" s="11" t="s">
        <v>29</v>
      </c>
      <c r="U73" s="12"/>
      <c r="V73" s="13"/>
      <c r="W73" s="14"/>
      <c r="X73" s="15">
        <v>4</v>
      </c>
      <c r="Y73" s="16">
        <v>0</v>
      </c>
      <c r="Z73" s="14">
        <v>0</v>
      </c>
      <c r="AA73" s="14">
        <v>0</v>
      </c>
      <c r="AB73" s="17" t="s">
        <v>30</v>
      </c>
      <c r="AD73" s="9"/>
    </row>
    <row r="74" spans="2:32" ht="22.5" customHeight="1" x14ac:dyDescent="0.15">
      <c r="B74" s="7"/>
      <c r="D74" s="18" t="s">
        <v>31</v>
      </c>
      <c r="E74" s="18"/>
      <c r="F74" s="18"/>
      <c r="G74" s="18"/>
      <c r="H74" s="18"/>
      <c r="I74" s="18"/>
      <c r="J74" s="19"/>
      <c r="K74" s="19"/>
      <c r="L74" s="19"/>
      <c r="N74" s="9"/>
      <c r="R74" s="7"/>
      <c r="T74" s="18" t="s">
        <v>31</v>
      </c>
      <c r="U74" s="18"/>
      <c r="V74" s="18"/>
      <c r="W74" s="18"/>
      <c r="X74" s="18"/>
      <c r="Y74" s="18"/>
      <c r="Z74" s="19"/>
      <c r="AA74" s="19"/>
      <c r="AB74" s="19"/>
      <c r="AD74" s="9"/>
    </row>
    <row r="75" spans="2:32" ht="30" customHeight="1" x14ac:dyDescent="0.15">
      <c r="B75" s="7"/>
      <c r="N75" s="9"/>
      <c r="R75" s="7"/>
      <c r="AD75" s="9"/>
    </row>
    <row r="76" spans="2:32" x14ac:dyDescent="0.15">
      <c r="B76" s="7"/>
      <c r="D76" s="3" t="s">
        <v>32</v>
      </c>
      <c r="N76" s="9"/>
      <c r="R76" s="7"/>
      <c r="T76" s="3" t="s">
        <v>32</v>
      </c>
      <c r="AD76" s="9"/>
    </row>
    <row r="77" spans="2:32" x14ac:dyDescent="0.15">
      <c r="B77" s="7"/>
      <c r="N77" s="9"/>
      <c r="R77" s="7"/>
      <c r="AD77" s="9"/>
    </row>
    <row r="78" spans="2:32" x14ac:dyDescent="0.15">
      <c r="B78" s="7"/>
      <c r="H78" s="3" t="s">
        <v>33</v>
      </c>
      <c r="N78" s="9"/>
      <c r="R78" s="7"/>
      <c r="X78" s="3" t="s">
        <v>33</v>
      </c>
      <c r="AD78" s="9"/>
    </row>
    <row r="79" spans="2:32" ht="24" x14ac:dyDescent="0.15">
      <c r="B79" s="7"/>
      <c r="H79" s="3" t="s">
        <v>372</v>
      </c>
      <c r="N79" s="9"/>
      <c r="R79" s="7"/>
      <c r="X79" s="3" t="s">
        <v>372</v>
      </c>
      <c r="AD79" s="9"/>
    </row>
    <row r="80" spans="2:32" ht="26.25" customHeight="1" thickBot="1" x14ac:dyDescent="0.2">
      <c r="B80" s="20"/>
      <c r="C80" s="21"/>
      <c r="D80" s="21"/>
      <c r="E80" s="21"/>
      <c r="F80" s="21"/>
      <c r="G80" s="21"/>
      <c r="H80" s="21"/>
      <c r="I80" s="21"/>
      <c r="J80" s="21"/>
      <c r="K80" s="21"/>
      <c r="L80" s="21"/>
      <c r="M80" s="21"/>
      <c r="N80" s="22"/>
      <c r="R80" s="20"/>
      <c r="S80" s="21"/>
      <c r="T80" s="21"/>
      <c r="U80" s="21"/>
      <c r="V80" s="21"/>
      <c r="W80" s="21"/>
      <c r="X80" s="21"/>
      <c r="Y80" s="21"/>
      <c r="Z80" s="21"/>
      <c r="AA80" s="21"/>
      <c r="AB80" s="21"/>
      <c r="AC80" s="21"/>
      <c r="AD80" s="22"/>
    </row>
    <row r="88" spans="2:32" ht="14.25" thickBot="1" x14ac:dyDescent="0.2"/>
    <row r="89" spans="2:32" ht="26.25" customHeight="1" x14ac:dyDescent="0.15">
      <c r="B89" s="4"/>
      <c r="C89" s="5"/>
      <c r="D89" s="5"/>
      <c r="E89" s="5"/>
      <c r="F89" s="5"/>
      <c r="G89" s="5"/>
      <c r="H89" s="5"/>
      <c r="I89" s="5"/>
      <c r="J89" s="5"/>
      <c r="K89" s="5"/>
      <c r="L89" s="5"/>
      <c r="M89" s="5"/>
      <c r="N89" s="6"/>
      <c r="R89" s="4"/>
      <c r="S89" s="5"/>
      <c r="T89" s="5"/>
      <c r="U89" s="5"/>
      <c r="V89" s="5"/>
      <c r="W89" s="5"/>
      <c r="X89" s="5"/>
      <c r="Y89" s="5"/>
      <c r="Z89" s="5"/>
      <c r="AA89" s="5"/>
      <c r="AB89" s="5"/>
      <c r="AC89" s="5"/>
      <c r="AD89" s="6"/>
    </row>
    <row r="90" spans="2:32" ht="26.25" thickBot="1" x14ac:dyDescent="0.2">
      <c r="B90" s="7"/>
      <c r="C90" s="8"/>
      <c r="D90" s="8"/>
      <c r="E90" s="8"/>
      <c r="F90" s="226" t="s">
        <v>28</v>
      </c>
      <c r="G90" s="226"/>
      <c r="H90" s="226"/>
      <c r="I90" s="226"/>
      <c r="J90" s="226"/>
      <c r="K90" s="226"/>
      <c r="L90" s="8"/>
      <c r="M90" s="8"/>
      <c r="N90" s="9"/>
      <c r="R90" s="7"/>
      <c r="S90" s="8"/>
      <c r="T90" s="8"/>
      <c r="U90" s="8"/>
      <c r="V90" s="226" t="s">
        <v>28</v>
      </c>
      <c r="W90" s="226"/>
      <c r="X90" s="226"/>
      <c r="Y90" s="226"/>
      <c r="Z90" s="226"/>
      <c r="AA90" s="226"/>
      <c r="AB90" s="8"/>
      <c r="AC90" s="8"/>
      <c r="AD90" s="9"/>
    </row>
    <row r="91" spans="2:32" ht="14.25" thickTop="1" x14ac:dyDescent="0.15">
      <c r="B91" s="7"/>
      <c r="N91" s="9"/>
      <c r="R91" s="7"/>
      <c r="AD91" s="9"/>
    </row>
    <row r="92" spans="2:32" ht="25.5" x14ac:dyDescent="0.15">
      <c r="B92" s="7"/>
      <c r="C92" s="225" t="str">
        <f>INDEX(抽選!$K$3:$K$18,領収証!P92,1)&amp;"サッカー部 様"</f>
        <v>サッカー部 様</v>
      </c>
      <c r="D92" s="225"/>
      <c r="E92" s="225"/>
      <c r="F92" s="225"/>
      <c r="G92" s="225"/>
      <c r="H92" s="225"/>
      <c r="I92" s="225"/>
      <c r="M92" s="10">
        <f>$M$8</f>
        <v>45206</v>
      </c>
      <c r="N92" s="9"/>
      <c r="P92" s="51">
        <f>P71+1</f>
        <v>5</v>
      </c>
      <c r="R92" s="7"/>
      <c r="S92" s="225" t="str">
        <f>INDEX(抽選!$K$3:$K$18,領収証!AF92,1)&amp;"サッカー部 様"</f>
        <v>サッカー部 様</v>
      </c>
      <c r="T92" s="225"/>
      <c r="U92" s="225"/>
      <c r="V92" s="225"/>
      <c r="W92" s="225"/>
      <c r="X92" s="225"/>
      <c r="Y92" s="225"/>
      <c r="AC92" s="10">
        <f>$M$8</f>
        <v>45206</v>
      </c>
      <c r="AD92" s="9"/>
      <c r="AF92" s="3">
        <f>AF71+1</f>
        <v>13</v>
      </c>
    </row>
    <row r="93" spans="2:32" ht="14.25" thickBot="1" x14ac:dyDescent="0.2">
      <c r="B93" s="7"/>
      <c r="N93" s="9"/>
      <c r="R93" s="7"/>
      <c r="AD93" s="9"/>
    </row>
    <row r="94" spans="2:32" ht="33.75" customHeight="1" thickBot="1" x14ac:dyDescent="0.2">
      <c r="B94" s="7"/>
      <c r="D94" s="11" t="s">
        <v>29</v>
      </c>
      <c r="E94" s="12"/>
      <c r="F94" s="13"/>
      <c r="G94" s="14"/>
      <c r="H94" s="15">
        <v>5</v>
      </c>
      <c r="I94" s="16">
        <v>4</v>
      </c>
      <c r="J94" s="14">
        <v>0</v>
      </c>
      <c r="K94" s="14">
        <v>0</v>
      </c>
      <c r="L94" s="17" t="s">
        <v>30</v>
      </c>
      <c r="N94" s="9"/>
      <c r="R94" s="7"/>
      <c r="T94" s="11" t="s">
        <v>29</v>
      </c>
      <c r="U94" s="12"/>
      <c r="V94" s="13"/>
      <c r="W94" s="14"/>
      <c r="X94" s="15">
        <v>3</v>
      </c>
      <c r="Y94" s="16">
        <v>0</v>
      </c>
      <c r="Z94" s="14">
        <v>0</v>
      </c>
      <c r="AA94" s="14">
        <v>0</v>
      </c>
      <c r="AB94" s="17" t="s">
        <v>30</v>
      </c>
      <c r="AD94" s="9"/>
    </row>
    <row r="95" spans="2:32" ht="22.5" customHeight="1" x14ac:dyDescent="0.15">
      <c r="B95" s="7"/>
      <c r="D95" s="18" t="s">
        <v>31</v>
      </c>
      <c r="E95" s="18"/>
      <c r="F95" s="18"/>
      <c r="G95" s="18"/>
      <c r="H95" s="18"/>
      <c r="I95" s="18"/>
      <c r="J95" s="19"/>
      <c r="K95" s="19"/>
      <c r="L95" s="19"/>
      <c r="N95" s="9"/>
      <c r="R95" s="7"/>
      <c r="T95" s="18" t="s">
        <v>31</v>
      </c>
      <c r="U95" s="18"/>
      <c r="V95" s="18"/>
      <c r="W95" s="18"/>
      <c r="X95" s="18"/>
      <c r="Y95" s="18"/>
      <c r="Z95" s="19"/>
      <c r="AA95" s="19"/>
      <c r="AB95" s="19"/>
      <c r="AD95" s="9"/>
    </row>
    <row r="96" spans="2:32" ht="30" customHeight="1" x14ac:dyDescent="0.15">
      <c r="B96" s="7"/>
      <c r="N96" s="9"/>
      <c r="R96" s="7"/>
      <c r="AD96" s="9"/>
    </row>
    <row r="97" spans="2:30" x14ac:dyDescent="0.15">
      <c r="B97" s="7"/>
      <c r="D97" s="3" t="s">
        <v>32</v>
      </c>
      <c r="N97" s="9"/>
      <c r="R97" s="7"/>
      <c r="T97" s="3" t="s">
        <v>32</v>
      </c>
      <c r="AD97" s="9"/>
    </row>
    <row r="98" spans="2:30" x14ac:dyDescent="0.15">
      <c r="B98" s="7"/>
      <c r="N98" s="9"/>
      <c r="R98" s="7"/>
      <c r="AD98" s="9"/>
    </row>
    <row r="99" spans="2:30" x14ac:dyDescent="0.15">
      <c r="B99" s="7"/>
      <c r="H99" s="3" t="s">
        <v>33</v>
      </c>
      <c r="N99" s="9"/>
      <c r="R99" s="7"/>
      <c r="X99" s="3" t="s">
        <v>33</v>
      </c>
      <c r="AD99" s="9"/>
    </row>
    <row r="100" spans="2:30" ht="24" x14ac:dyDescent="0.15">
      <c r="B100" s="7"/>
      <c r="H100" s="3" t="s">
        <v>372</v>
      </c>
      <c r="N100" s="9"/>
      <c r="R100" s="7"/>
      <c r="X100" s="3" t="s">
        <v>372</v>
      </c>
      <c r="AD100" s="9"/>
    </row>
    <row r="101" spans="2:30" ht="26.25" customHeight="1" thickBot="1" x14ac:dyDescent="0.2">
      <c r="B101" s="20"/>
      <c r="C101" s="21"/>
      <c r="D101" s="21"/>
      <c r="E101" s="21"/>
      <c r="F101" s="21"/>
      <c r="G101" s="21"/>
      <c r="H101" s="21"/>
      <c r="I101" s="21"/>
      <c r="J101" s="21"/>
      <c r="K101" s="21"/>
      <c r="L101" s="21"/>
      <c r="M101" s="21"/>
      <c r="N101" s="22"/>
      <c r="R101" s="20"/>
      <c r="S101" s="21"/>
      <c r="T101" s="21"/>
      <c r="U101" s="21"/>
      <c r="V101" s="21"/>
      <c r="W101" s="21"/>
      <c r="X101" s="21"/>
      <c r="Y101" s="21"/>
      <c r="Z101" s="21"/>
      <c r="AA101" s="21"/>
      <c r="AB101" s="21"/>
      <c r="AC101" s="21"/>
      <c r="AD101" s="22"/>
    </row>
    <row r="109" spans="2:30" ht="14.25" thickBot="1" x14ac:dyDescent="0.2"/>
    <row r="110" spans="2:30" ht="26.25" customHeight="1" x14ac:dyDescent="0.15">
      <c r="B110" s="4"/>
      <c r="C110" s="5"/>
      <c r="D110" s="5"/>
      <c r="E110" s="5"/>
      <c r="F110" s="5"/>
      <c r="G110" s="5"/>
      <c r="H110" s="5"/>
      <c r="I110" s="5"/>
      <c r="J110" s="5"/>
      <c r="K110" s="5"/>
      <c r="L110" s="5"/>
      <c r="M110" s="5"/>
      <c r="N110" s="6"/>
      <c r="R110" s="4"/>
      <c r="S110" s="5"/>
      <c r="T110" s="5"/>
      <c r="U110" s="5"/>
      <c r="V110" s="5"/>
      <c r="W110" s="5"/>
      <c r="X110" s="5"/>
      <c r="Y110" s="5"/>
      <c r="Z110" s="5"/>
      <c r="AA110" s="5"/>
      <c r="AB110" s="5"/>
      <c r="AC110" s="5"/>
      <c r="AD110" s="6"/>
    </row>
    <row r="111" spans="2:30" ht="26.25" thickBot="1" x14ac:dyDescent="0.2">
      <c r="B111" s="7"/>
      <c r="C111" s="8"/>
      <c r="D111" s="8"/>
      <c r="E111" s="8"/>
      <c r="F111" s="226" t="s">
        <v>28</v>
      </c>
      <c r="G111" s="226"/>
      <c r="H111" s="226"/>
      <c r="I111" s="226"/>
      <c r="J111" s="226"/>
      <c r="K111" s="226"/>
      <c r="L111" s="8"/>
      <c r="M111" s="8"/>
      <c r="N111" s="9"/>
      <c r="R111" s="7"/>
      <c r="S111" s="8"/>
      <c r="T111" s="8"/>
      <c r="U111" s="8"/>
      <c r="V111" s="226" t="s">
        <v>28</v>
      </c>
      <c r="W111" s="226"/>
      <c r="X111" s="226"/>
      <c r="Y111" s="226"/>
      <c r="Z111" s="226"/>
      <c r="AA111" s="226"/>
      <c r="AB111" s="8"/>
      <c r="AC111" s="8"/>
      <c r="AD111" s="9"/>
    </row>
    <row r="112" spans="2:30" ht="14.25" thickTop="1" x14ac:dyDescent="0.15">
      <c r="B112" s="7"/>
      <c r="N112" s="9"/>
      <c r="R112" s="7"/>
      <c r="AD112" s="9"/>
    </row>
    <row r="113" spans="2:32" ht="25.5" x14ac:dyDescent="0.15">
      <c r="B113" s="7"/>
      <c r="C113" s="225" t="str">
        <f>INDEX(抽選!$K$3:$K$18,領収証!P113,1)&amp;"サッカー部 様"</f>
        <v>サッカー部 様</v>
      </c>
      <c r="D113" s="225"/>
      <c r="E113" s="225"/>
      <c r="F113" s="225"/>
      <c r="G113" s="225"/>
      <c r="H113" s="225"/>
      <c r="I113" s="225"/>
      <c r="M113" s="10">
        <f>$M$8</f>
        <v>45206</v>
      </c>
      <c r="N113" s="9"/>
      <c r="P113" s="51">
        <f>P92+1</f>
        <v>6</v>
      </c>
      <c r="R113" s="7"/>
      <c r="S113" s="225" t="str">
        <f>INDEX(抽選!$K$3:$K$18,領収証!AF113,1)&amp;"サッカー部 様"</f>
        <v>サッカー部 様</v>
      </c>
      <c r="T113" s="225"/>
      <c r="U113" s="225"/>
      <c r="V113" s="225"/>
      <c r="W113" s="225"/>
      <c r="X113" s="225"/>
      <c r="Y113" s="225"/>
      <c r="AC113" s="10">
        <f>$M$8</f>
        <v>45206</v>
      </c>
      <c r="AD113" s="9"/>
      <c r="AF113" s="3">
        <f>AF92+1</f>
        <v>14</v>
      </c>
    </row>
    <row r="114" spans="2:32" ht="14.25" thickBot="1" x14ac:dyDescent="0.2">
      <c r="B114" s="7"/>
      <c r="N114" s="9"/>
      <c r="R114" s="7"/>
      <c r="AD114" s="9"/>
    </row>
    <row r="115" spans="2:32" ht="33.75" customHeight="1" thickBot="1" x14ac:dyDescent="0.2">
      <c r="B115" s="7"/>
      <c r="D115" s="11" t="s">
        <v>29</v>
      </c>
      <c r="E115" s="12"/>
      <c r="F115" s="13"/>
      <c r="G115" s="14"/>
      <c r="H115" s="15">
        <v>4</v>
      </c>
      <c r="I115" s="16">
        <v>0</v>
      </c>
      <c r="J115" s="14">
        <v>0</v>
      </c>
      <c r="K115" s="14">
        <v>0</v>
      </c>
      <c r="L115" s="17" t="s">
        <v>30</v>
      </c>
      <c r="N115" s="9"/>
      <c r="R115" s="7"/>
      <c r="T115" s="11" t="s">
        <v>29</v>
      </c>
      <c r="U115" s="12"/>
      <c r="V115" s="13"/>
      <c r="W115" s="14"/>
      <c r="X115" s="15">
        <v>4</v>
      </c>
      <c r="Y115" s="16">
        <v>0</v>
      </c>
      <c r="Z115" s="14">
        <v>0</v>
      </c>
      <c r="AA115" s="14">
        <v>0</v>
      </c>
      <c r="AB115" s="17" t="s">
        <v>30</v>
      </c>
      <c r="AD115" s="9"/>
    </row>
    <row r="116" spans="2:32" ht="22.5" customHeight="1" x14ac:dyDescent="0.15">
      <c r="B116" s="7"/>
      <c r="D116" s="18" t="s">
        <v>31</v>
      </c>
      <c r="E116" s="18"/>
      <c r="F116" s="18"/>
      <c r="G116" s="18"/>
      <c r="H116" s="18"/>
      <c r="I116" s="18"/>
      <c r="J116" s="19"/>
      <c r="K116" s="19"/>
      <c r="L116" s="19"/>
      <c r="N116" s="9"/>
      <c r="R116" s="7"/>
      <c r="T116" s="18" t="s">
        <v>31</v>
      </c>
      <c r="U116" s="18"/>
      <c r="V116" s="18"/>
      <c r="W116" s="18"/>
      <c r="X116" s="18"/>
      <c r="Y116" s="18"/>
      <c r="Z116" s="19"/>
      <c r="AA116" s="19"/>
      <c r="AB116" s="19"/>
      <c r="AD116" s="9"/>
    </row>
    <row r="117" spans="2:32" ht="30" customHeight="1" x14ac:dyDescent="0.15">
      <c r="B117" s="7"/>
      <c r="N117" s="9"/>
      <c r="R117" s="7"/>
      <c r="AD117" s="9"/>
    </row>
    <row r="118" spans="2:32" x14ac:dyDescent="0.15">
      <c r="B118" s="7"/>
      <c r="D118" s="3" t="s">
        <v>32</v>
      </c>
      <c r="N118" s="9"/>
      <c r="R118" s="7"/>
      <c r="T118" s="3" t="s">
        <v>32</v>
      </c>
      <c r="AD118" s="9"/>
    </row>
    <row r="119" spans="2:32" x14ac:dyDescent="0.15">
      <c r="B119" s="7"/>
      <c r="N119" s="9"/>
      <c r="R119" s="7"/>
      <c r="AD119" s="9"/>
    </row>
    <row r="120" spans="2:32" x14ac:dyDescent="0.15">
      <c r="B120" s="7"/>
      <c r="H120" s="3" t="s">
        <v>33</v>
      </c>
      <c r="N120" s="9"/>
      <c r="R120" s="7"/>
      <c r="X120" s="3" t="s">
        <v>33</v>
      </c>
      <c r="AD120" s="9"/>
    </row>
    <row r="121" spans="2:32" ht="24" x14ac:dyDescent="0.15">
      <c r="B121" s="7"/>
      <c r="H121" s="3" t="s">
        <v>372</v>
      </c>
      <c r="N121" s="9"/>
      <c r="R121" s="7"/>
      <c r="X121" s="3" t="s">
        <v>372</v>
      </c>
      <c r="AD121" s="9"/>
    </row>
    <row r="122" spans="2:32" ht="26.25" customHeight="1" thickBot="1" x14ac:dyDescent="0.2">
      <c r="B122" s="20"/>
      <c r="C122" s="21"/>
      <c r="D122" s="21"/>
      <c r="E122" s="21"/>
      <c r="F122" s="21"/>
      <c r="G122" s="21"/>
      <c r="H122" s="21"/>
      <c r="I122" s="21"/>
      <c r="J122" s="21"/>
      <c r="K122" s="21"/>
      <c r="L122" s="21"/>
      <c r="M122" s="21"/>
      <c r="N122" s="22"/>
      <c r="R122" s="20"/>
      <c r="S122" s="21"/>
      <c r="T122" s="21"/>
      <c r="U122" s="21"/>
      <c r="V122" s="21"/>
      <c r="W122" s="21"/>
      <c r="X122" s="21"/>
      <c r="Y122" s="21"/>
      <c r="Z122" s="21"/>
      <c r="AA122" s="21"/>
      <c r="AB122" s="21"/>
      <c r="AC122" s="21"/>
      <c r="AD122" s="22"/>
    </row>
    <row r="130" spans="2:32" ht="14.25" thickBot="1" x14ac:dyDescent="0.2"/>
    <row r="131" spans="2:32" ht="26.25" customHeight="1" x14ac:dyDescent="0.15">
      <c r="B131" s="4"/>
      <c r="C131" s="5"/>
      <c r="D131" s="5"/>
      <c r="E131" s="5"/>
      <c r="F131" s="5"/>
      <c r="G131" s="5"/>
      <c r="H131" s="5"/>
      <c r="I131" s="5"/>
      <c r="J131" s="5"/>
      <c r="K131" s="5"/>
      <c r="L131" s="5"/>
      <c r="M131" s="5"/>
      <c r="N131" s="6"/>
      <c r="R131" s="4"/>
      <c r="S131" s="5"/>
      <c r="T131" s="5"/>
      <c r="U131" s="5"/>
      <c r="V131" s="5"/>
      <c r="W131" s="5"/>
      <c r="X131" s="5"/>
      <c r="Y131" s="5"/>
      <c r="Z131" s="5"/>
      <c r="AA131" s="5"/>
      <c r="AB131" s="5"/>
      <c r="AC131" s="5"/>
      <c r="AD131" s="6"/>
    </row>
    <row r="132" spans="2:32" ht="26.25" thickBot="1" x14ac:dyDescent="0.2">
      <c r="B132" s="7"/>
      <c r="C132" s="8"/>
      <c r="D132" s="8"/>
      <c r="E132" s="8"/>
      <c r="F132" s="226" t="s">
        <v>28</v>
      </c>
      <c r="G132" s="226"/>
      <c r="H132" s="226"/>
      <c r="I132" s="226"/>
      <c r="J132" s="226"/>
      <c r="K132" s="226"/>
      <c r="L132" s="8"/>
      <c r="M132" s="8"/>
      <c r="N132" s="9"/>
      <c r="R132" s="7"/>
      <c r="S132" s="8"/>
      <c r="T132" s="8"/>
      <c r="U132" s="8"/>
      <c r="V132" s="226" t="s">
        <v>28</v>
      </c>
      <c r="W132" s="226"/>
      <c r="X132" s="226"/>
      <c r="Y132" s="226"/>
      <c r="Z132" s="226"/>
      <c r="AA132" s="226"/>
      <c r="AB132" s="8"/>
      <c r="AC132" s="8"/>
      <c r="AD132" s="9"/>
    </row>
    <row r="133" spans="2:32" ht="14.25" thickTop="1" x14ac:dyDescent="0.15">
      <c r="B133" s="7"/>
      <c r="N133" s="9"/>
      <c r="R133" s="7"/>
      <c r="AD133" s="9"/>
    </row>
    <row r="134" spans="2:32" ht="25.5" x14ac:dyDescent="0.15">
      <c r="B134" s="7"/>
      <c r="C134" s="225" t="str">
        <f>INDEX(抽選!$K$3:$K$18,領収証!P134,1)&amp;"サッカー部 様"</f>
        <v>サッカー部 様</v>
      </c>
      <c r="D134" s="225"/>
      <c r="E134" s="225"/>
      <c r="F134" s="225"/>
      <c r="G134" s="225"/>
      <c r="H134" s="225"/>
      <c r="I134" s="225"/>
      <c r="M134" s="10">
        <f>$M$8</f>
        <v>45206</v>
      </c>
      <c r="N134" s="9"/>
      <c r="P134" s="51">
        <f>P113+1</f>
        <v>7</v>
      </c>
      <c r="R134" s="7"/>
      <c r="S134" s="225" t="str">
        <f>INDEX(抽選!$K$3:$K$18,領収証!AF134,1)&amp;"サッカー部 様"</f>
        <v>サッカー部 様</v>
      </c>
      <c r="T134" s="225"/>
      <c r="U134" s="225"/>
      <c r="V134" s="225"/>
      <c r="W134" s="225"/>
      <c r="X134" s="225"/>
      <c r="Y134" s="225"/>
      <c r="AC134" s="10">
        <f>$M$8</f>
        <v>45206</v>
      </c>
      <c r="AD134" s="9"/>
      <c r="AF134" s="3">
        <f>AF113+1</f>
        <v>15</v>
      </c>
    </row>
    <row r="135" spans="2:32" ht="14.25" thickBot="1" x14ac:dyDescent="0.2">
      <c r="B135" s="7"/>
      <c r="N135" s="9"/>
      <c r="R135" s="7"/>
      <c r="AD135" s="9"/>
    </row>
    <row r="136" spans="2:32" ht="33.75" customHeight="1" thickBot="1" x14ac:dyDescent="0.2">
      <c r="B136" s="7"/>
      <c r="D136" s="11" t="s">
        <v>29</v>
      </c>
      <c r="E136" s="12"/>
      <c r="F136" s="13"/>
      <c r="G136" s="14"/>
      <c r="H136" s="15">
        <v>1</v>
      </c>
      <c r="I136" s="16">
        <v>6</v>
      </c>
      <c r="J136" s="14">
        <v>0</v>
      </c>
      <c r="K136" s="14">
        <v>0</v>
      </c>
      <c r="L136" s="17" t="s">
        <v>30</v>
      </c>
      <c r="N136" s="9"/>
      <c r="R136" s="7"/>
      <c r="T136" s="11" t="s">
        <v>29</v>
      </c>
      <c r="U136" s="12"/>
      <c r="V136" s="13"/>
      <c r="W136" s="14"/>
      <c r="X136" s="15">
        <v>4</v>
      </c>
      <c r="Y136" s="16">
        <v>0</v>
      </c>
      <c r="Z136" s="14">
        <v>0</v>
      </c>
      <c r="AA136" s="14">
        <v>0</v>
      </c>
      <c r="AB136" s="17" t="s">
        <v>30</v>
      </c>
      <c r="AD136" s="9"/>
    </row>
    <row r="137" spans="2:32" ht="22.5" customHeight="1" x14ac:dyDescent="0.15">
      <c r="B137" s="7"/>
      <c r="D137" s="18" t="s">
        <v>31</v>
      </c>
      <c r="E137" s="18"/>
      <c r="F137" s="18"/>
      <c r="G137" s="18"/>
      <c r="H137" s="18"/>
      <c r="I137" s="18"/>
      <c r="J137" s="19"/>
      <c r="K137" s="19"/>
      <c r="L137" s="19"/>
      <c r="N137" s="9"/>
      <c r="R137" s="7"/>
      <c r="T137" s="18" t="s">
        <v>31</v>
      </c>
      <c r="U137" s="18"/>
      <c r="V137" s="18"/>
      <c r="W137" s="18"/>
      <c r="X137" s="18"/>
      <c r="Y137" s="18"/>
      <c r="Z137" s="19"/>
      <c r="AA137" s="19"/>
      <c r="AB137" s="19"/>
      <c r="AD137" s="9"/>
    </row>
    <row r="138" spans="2:32" ht="30" customHeight="1" x14ac:dyDescent="0.15">
      <c r="B138" s="7"/>
      <c r="N138" s="9"/>
      <c r="R138" s="7"/>
      <c r="AD138" s="9"/>
    </row>
    <row r="139" spans="2:32" x14ac:dyDescent="0.15">
      <c r="B139" s="7"/>
      <c r="D139" s="3" t="s">
        <v>32</v>
      </c>
      <c r="N139" s="9"/>
      <c r="R139" s="7"/>
      <c r="T139" s="3" t="s">
        <v>32</v>
      </c>
      <c r="AD139" s="9"/>
    </row>
    <row r="140" spans="2:32" x14ac:dyDescent="0.15">
      <c r="B140" s="7"/>
      <c r="N140" s="9"/>
      <c r="R140" s="7"/>
      <c r="AD140" s="9"/>
    </row>
    <row r="141" spans="2:32" x14ac:dyDescent="0.15">
      <c r="B141" s="7"/>
      <c r="H141" s="3" t="s">
        <v>33</v>
      </c>
      <c r="N141" s="9"/>
      <c r="R141" s="7"/>
      <c r="X141" s="3" t="s">
        <v>33</v>
      </c>
      <c r="AD141" s="9"/>
    </row>
    <row r="142" spans="2:32" ht="24" x14ac:dyDescent="0.15">
      <c r="B142" s="7"/>
      <c r="H142" s="3" t="s">
        <v>372</v>
      </c>
      <c r="N142" s="9"/>
      <c r="R142" s="7"/>
      <c r="X142" s="3" t="s">
        <v>372</v>
      </c>
      <c r="AD142" s="9"/>
    </row>
    <row r="143" spans="2:32" ht="26.25" customHeight="1" thickBot="1" x14ac:dyDescent="0.2">
      <c r="B143" s="20"/>
      <c r="C143" s="21"/>
      <c r="D143" s="21"/>
      <c r="E143" s="21"/>
      <c r="F143" s="21"/>
      <c r="G143" s="21"/>
      <c r="H143" s="21"/>
      <c r="I143" s="21"/>
      <c r="J143" s="21"/>
      <c r="K143" s="21"/>
      <c r="L143" s="21"/>
      <c r="M143" s="21"/>
      <c r="N143" s="22"/>
      <c r="R143" s="20"/>
      <c r="S143" s="21"/>
      <c r="T143" s="21"/>
      <c r="U143" s="21"/>
      <c r="V143" s="21"/>
      <c r="W143" s="21"/>
      <c r="X143" s="21"/>
      <c r="Y143" s="21"/>
      <c r="Z143" s="21"/>
      <c r="AA143" s="21"/>
      <c r="AB143" s="21"/>
      <c r="AC143" s="21"/>
      <c r="AD143" s="22"/>
    </row>
    <row r="151" spans="2:32" ht="14.25" thickBot="1" x14ac:dyDescent="0.2"/>
    <row r="152" spans="2:32" ht="26.25" customHeight="1" x14ac:dyDescent="0.15">
      <c r="B152" s="4"/>
      <c r="C152" s="5"/>
      <c r="D152" s="5"/>
      <c r="E152" s="5"/>
      <c r="F152" s="5"/>
      <c r="G152" s="5"/>
      <c r="H152" s="5"/>
      <c r="I152" s="5"/>
      <c r="J152" s="5"/>
      <c r="K152" s="5"/>
      <c r="L152" s="5"/>
      <c r="M152" s="5"/>
      <c r="N152" s="6"/>
      <c r="R152" s="4"/>
      <c r="S152" s="5"/>
      <c r="T152" s="5"/>
      <c r="U152" s="5"/>
      <c r="V152" s="5"/>
      <c r="W152" s="5"/>
      <c r="X152" s="5"/>
      <c r="Y152" s="5"/>
      <c r="Z152" s="5"/>
      <c r="AA152" s="5"/>
      <c r="AB152" s="5"/>
      <c r="AC152" s="5"/>
      <c r="AD152" s="6"/>
    </row>
    <row r="153" spans="2:32" ht="26.25" thickBot="1" x14ac:dyDescent="0.2">
      <c r="B153" s="7"/>
      <c r="C153" s="8"/>
      <c r="D153" s="8"/>
      <c r="E153" s="8"/>
      <c r="F153" s="226" t="s">
        <v>28</v>
      </c>
      <c r="G153" s="226"/>
      <c r="H153" s="226"/>
      <c r="I153" s="226"/>
      <c r="J153" s="226"/>
      <c r="K153" s="226"/>
      <c r="L153" s="8"/>
      <c r="M153" s="8"/>
      <c r="N153" s="9"/>
      <c r="R153" s="7"/>
      <c r="S153" s="8"/>
      <c r="T153" s="8"/>
      <c r="U153" s="8"/>
      <c r="V153" s="226" t="s">
        <v>28</v>
      </c>
      <c r="W153" s="226"/>
      <c r="X153" s="226"/>
      <c r="Y153" s="226"/>
      <c r="Z153" s="226"/>
      <c r="AA153" s="226"/>
      <c r="AB153" s="8"/>
      <c r="AC153" s="8"/>
      <c r="AD153" s="9"/>
    </row>
    <row r="154" spans="2:32" ht="14.25" thickTop="1" x14ac:dyDescent="0.15">
      <c r="B154" s="7"/>
      <c r="N154" s="9"/>
      <c r="R154" s="7"/>
      <c r="AD154" s="9"/>
    </row>
    <row r="155" spans="2:32" ht="25.5" x14ac:dyDescent="0.15">
      <c r="B155" s="7"/>
      <c r="C155" s="225" t="str">
        <f>INDEX(抽選!$K$3:$K$18,領収証!P155,1)&amp;"サッカー部 様"</f>
        <v>サッカー部 様</v>
      </c>
      <c r="D155" s="225"/>
      <c r="E155" s="225"/>
      <c r="F155" s="225"/>
      <c r="G155" s="225"/>
      <c r="H155" s="225"/>
      <c r="I155" s="225"/>
      <c r="M155" s="10">
        <f>$M$8</f>
        <v>45206</v>
      </c>
      <c r="N155" s="9"/>
      <c r="P155" s="51">
        <f>P134+1</f>
        <v>8</v>
      </c>
      <c r="R155" s="7"/>
      <c r="S155" s="225" t="str">
        <f>INDEX(抽選!$K$3:$K$18,領収証!AF155,1)&amp;"サッカー部 様"</f>
        <v>サッカー部 様</v>
      </c>
      <c r="T155" s="225"/>
      <c r="U155" s="225"/>
      <c r="V155" s="225"/>
      <c r="W155" s="225"/>
      <c r="X155" s="225"/>
      <c r="Y155" s="225"/>
      <c r="AC155" s="10">
        <f>$M$8</f>
        <v>45206</v>
      </c>
      <c r="AD155" s="9"/>
      <c r="AF155" s="3">
        <f>AF134+1</f>
        <v>16</v>
      </c>
    </row>
    <row r="156" spans="2:32" ht="14.25" thickBot="1" x14ac:dyDescent="0.2">
      <c r="B156" s="7"/>
      <c r="N156" s="9"/>
      <c r="R156" s="7"/>
      <c r="AD156" s="9"/>
    </row>
    <row r="157" spans="2:32" ht="33.75" customHeight="1" thickBot="1" x14ac:dyDescent="0.2">
      <c r="B157" s="7"/>
      <c r="D157" s="11" t="s">
        <v>29</v>
      </c>
      <c r="E157" s="12"/>
      <c r="F157" s="13"/>
      <c r="G157" s="14"/>
      <c r="H157" s="15">
        <v>3</v>
      </c>
      <c r="I157" s="16">
        <v>6</v>
      </c>
      <c r="J157" s="14">
        <v>0</v>
      </c>
      <c r="K157" s="14">
        <v>0</v>
      </c>
      <c r="L157" s="17" t="s">
        <v>30</v>
      </c>
      <c r="N157" s="9"/>
      <c r="R157" s="7"/>
      <c r="T157" s="11" t="s">
        <v>29</v>
      </c>
      <c r="U157" s="12"/>
      <c r="V157" s="13"/>
      <c r="W157" s="14"/>
      <c r="X157" s="15">
        <v>3</v>
      </c>
      <c r="Y157" s="16">
        <v>6</v>
      </c>
      <c r="Z157" s="14">
        <v>0</v>
      </c>
      <c r="AA157" s="14">
        <v>0</v>
      </c>
      <c r="AB157" s="17" t="s">
        <v>30</v>
      </c>
      <c r="AD157" s="9"/>
    </row>
    <row r="158" spans="2:32" ht="22.5" customHeight="1" x14ac:dyDescent="0.15">
      <c r="B158" s="7"/>
      <c r="D158" s="18" t="s">
        <v>31</v>
      </c>
      <c r="E158" s="18"/>
      <c r="F158" s="18"/>
      <c r="G158" s="18"/>
      <c r="H158" s="18"/>
      <c r="I158" s="18"/>
      <c r="J158" s="19"/>
      <c r="K158" s="19"/>
      <c r="L158" s="19"/>
      <c r="N158" s="9"/>
      <c r="R158" s="7"/>
      <c r="T158" s="18" t="s">
        <v>31</v>
      </c>
      <c r="U158" s="18"/>
      <c r="V158" s="18"/>
      <c r="W158" s="18"/>
      <c r="X158" s="18"/>
      <c r="Y158" s="18"/>
      <c r="Z158" s="19"/>
      <c r="AA158" s="19"/>
      <c r="AB158" s="19"/>
      <c r="AD158" s="9"/>
    </row>
    <row r="159" spans="2:32" ht="30" customHeight="1" x14ac:dyDescent="0.15">
      <c r="B159" s="7"/>
      <c r="N159" s="9"/>
      <c r="R159" s="7"/>
      <c r="AD159" s="9"/>
    </row>
    <row r="160" spans="2:32" x14ac:dyDescent="0.15">
      <c r="B160" s="7"/>
      <c r="D160" s="3" t="s">
        <v>32</v>
      </c>
      <c r="N160" s="9"/>
      <c r="R160" s="7"/>
      <c r="T160" s="3" t="s">
        <v>32</v>
      </c>
      <c r="AD160" s="9"/>
    </row>
    <row r="161" spans="2:30" x14ac:dyDescent="0.15">
      <c r="B161" s="7"/>
      <c r="N161" s="9"/>
      <c r="R161" s="7"/>
      <c r="AD161" s="9"/>
    </row>
    <row r="162" spans="2:30" x14ac:dyDescent="0.15">
      <c r="B162" s="7"/>
      <c r="H162" s="3" t="s">
        <v>33</v>
      </c>
      <c r="N162" s="9"/>
      <c r="R162" s="7"/>
      <c r="X162" s="3" t="s">
        <v>33</v>
      </c>
      <c r="AD162" s="9"/>
    </row>
    <row r="163" spans="2:30" ht="24" x14ac:dyDescent="0.15">
      <c r="B163" s="7"/>
      <c r="H163" s="3" t="s">
        <v>372</v>
      </c>
      <c r="N163" s="9"/>
      <c r="R163" s="7"/>
      <c r="X163" s="3" t="s">
        <v>372</v>
      </c>
      <c r="AD163" s="9"/>
    </row>
    <row r="164" spans="2:30" ht="26.25" customHeight="1" thickBot="1" x14ac:dyDescent="0.2">
      <c r="B164" s="20"/>
      <c r="C164" s="21"/>
      <c r="D164" s="21"/>
      <c r="E164" s="21"/>
      <c r="F164" s="21"/>
      <c r="G164" s="21"/>
      <c r="H164" s="21"/>
      <c r="I164" s="21"/>
      <c r="J164" s="21"/>
      <c r="K164" s="21"/>
      <c r="L164" s="21"/>
      <c r="M164" s="21"/>
      <c r="N164" s="22"/>
      <c r="R164" s="20"/>
      <c r="S164" s="21"/>
      <c r="T164" s="21"/>
      <c r="U164" s="21"/>
      <c r="V164" s="21"/>
      <c r="W164" s="21"/>
      <c r="X164" s="21"/>
      <c r="Y164" s="21"/>
      <c r="Z164" s="21"/>
      <c r="AA164" s="21"/>
      <c r="AB164" s="21"/>
      <c r="AC164" s="21"/>
      <c r="AD164" s="22"/>
    </row>
    <row r="173" spans="2:30" ht="26.25" customHeight="1" x14ac:dyDescent="0.15"/>
    <row r="178" ht="33.75" customHeight="1" x14ac:dyDescent="0.15"/>
    <row r="179" ht="22.5" customHeight="1" x14ac:dyDescent="0.15"/>
    <row r="185" ht="26.25" customHeight="1" x14ac:dyDescent="0.15"/>
    <row r="194" ht="26.25" customHeight="1" x14ac:dyDescent="0.15"/>
    <row r="199" ht="33.75" customHeight="1" x14ac:dyDescent="0.15"/>
    <row r="200" ht="22.5" customHeight="1" x14ac:dyDescent="0.15"/>
    <row r="206" ht="26.25" customHeight="1" x14ac:dyDescent="0.15"/>
    <row r="215" ht="26.25" customHeight="1" x14ac:dyDescent="0.15"/>
    <row r="220" ht="33.75" customHeight="1" x14ac:dyDescent="0.15"/>
    <row r="221" ht="22.5" customHeight="1" x14ac:dyDescent="0.15"/>
    <row r="227" ht="26.25" customHeight="1" x14ac:dyDescent="0.15"/>
    <row r="236" ht="26.25" customHeight="1" x14ac:dyDescent="0.15"/>
    <row r="241" ht="33.75" customHeight="1" x14ac:dyDescent="0.15"/>
    <row r="242" ht="22.5" customHeight="1" x14ac:dyDescent="0.15"/>
    <row r="248" ht="26.25" customHeight="1" x14ac:dyDescent="0.15"/>
    <row r="257" ht="26.25" customHeight="1" x14ac:dyDescent="0.15"/>
    <row r="262" ht="33.75" customHeight="1" x14ac:dyDescent="0.15"/>
    <row r="263" ht="22.5" customHeight="1" x14ac:dyDescent="0.15"/>
    <row r="269" ht="26.25" customHeight="1" x14ac:dyDescent="0.15"/>
    <row r="278" ht="26.25" customHeight="1" x14ac:dyDescent="0.15"/>
    <row r="283" ht="33.75" customHeight="1" x14ac:dyDescent="0.15"/>
    <row r="284" ht="22.5" customHeight="1" x14ac:dyDescent="0.15"/>
    <row r="290" ht="26.25" customHeight="1" x14ac:dyDescent="0.15"/>
    <row r="299" ht="26.25" customHeight="1" x14ac:dyDescent="0.15"/>
    <row r="304" ht="33.75" customHeight="1" x14ac:dyDescent="0.15"/>
    <row r="305" ht="22.5" customHeight="1" x14ac:dyDescent="0.15"/>
    <row r="311" ht="26.25" customHeight="1" x14ac:dyDescent="0.15"/>
    <row r="320" ht="26.25" customHeight="1" x14ac:dyDescent="0.15"/>
    <row r="325" ht="33.75" customHeight="1" x14ac:dyDescent="0.15"/>
    <row r="326" ht="22.5" customHeight="1" x14ac:dyDescent="0.15"/>
    <row r="332" ht="26.25" customHeight="1" x14ac:dyDescent="0.15"/>
    <row r="340" spans="2:30" ht="14.25" thickBot="1" x14ac:dyDescent="0.2"/>
    <row r="341" spans="2:30" ht="26.25" customHeight="1" x14ac:dyDescent="0.15">
      <c r="B341" s="4"/>
      <c r="C341" s="5"/>
      <c r="D341" s="5"/>
      <c r="E341" s="5"/>
      <c r="F341" s="5"/>
      <c r="G341" s="5"/>
      <c r="H341" s="5"/>
      <c r="I341" s="5"/>
      <c r="J341" s="5"/>
      <c r="K341" s="5"/>
      <c r="L341" s="5"/>
      <c r="M341" s="5"/>
      <c r="N341" s="6"/>
      <c r="R341" s="4"/>
      <c r="S341" s="5"/>
      <c r="T341" s="5"/>
      <c r="U341" s="5"/>
      <c r="V341" s="5"/>
      <c r="W341" s="5"/>
      <c r="X341" s="5"/>
      <c r="Y341" s="5"/>
      <c r="Z341" s="5"/>
      <c r="AA341" s="5"/>
      <c r="AB341" s="5"/>
      <c r="AC341" s="5"/>
      <c r="AD341" s="6"/>
    </row>
    <row r="342" spans="2:30" ht="26.25" thickBot="1" x14ac:dyDescent="0.2">
      <c r="B342" s="7"/>
      <c r="C342" s="8"/>
      <c r="D342" s="8"/>
      <c r="E342" s="8"/>
      <c r="F342" s="226" t="s">
        <v>28</v>
      </c>
      <c r="G342" s="226"/>
      <c r="H342" s="226"/>
      <c r="I342" s="226"/>
      <c r="J342" s="226"/>
      <c r="K342" s="226"/>
      <c r="L342" s="8"/>
      <c r="M342" s="8"/>
      <c r="N342" s="9"/>
      <c r="R342" s="7"/>
      <c r="S342" s="8"/>
      <c r="T342" s="8"/>
      <c r="U342" s="8"/>
      <c r="V342" s="226" t="s">
        <v>28</v>
      </c>
      <c r="W342" s="226"/>
      <c r="X342" s="226"/>
      <c r="Y342" s="226"/>
      <c r="Z342" s="226"/>
      <c r="AA342" s="226"/>
      <c r="AB342" s="8"/>
      <c r="AC342" s="8"/>
      <c r="AD342" s="9"/>
    </row>
    <row r="343" spans="2:30" ht="14.25" thickTop="1" x14ac:dyDescent="0.15">
      <c r="B343" s="7"/>
      <c r="N343" s="9"/>
      <c r="R343" s="7"/>
      <c r="AD343" s="9"/>
    </row>
    <row r="344" spans="2:30" ht="25.5" x14ac:dyDescent="0.15">
      <c r="B344" s="7"/>
      <c r="C344" s="225" t="e">
        <f>INDEX(抽選!$K$3:$K$18,領収証!P344,1)&amp;"サッカー部 様"</f>
        <v>#REF!</v>
      </c>
      <c r="D344" s="225"/>
      <c r="E344" s="225"/>
      <c r="F344" s="225"/>
      <c r="G344" s="225"/>
      <c r="H344" s="225"/>
      <c r="I344" s="225"/>
      <c r="M344" s="23">
        <f>$M$8</f>
        <v>45206</v>
      </c>
      <c r="N344" s="9"/>
      <c r="P344" s="51">
        <f>AF155+1</f>
        <v>17</v>
      </c>
      <c r="R344" s="7"/>
      <c r="S344" s="225" t="e">
        <f>INDEX(抽選!$K$3:$K$18,領収証!AF344,1)&amp;"サッカー部 様"</f>
        <v>#VALUE!</v>
      </c>
      <c r="T344" s="225"/>
      <c r="U344" s="225"/>
      <c r="V344" s="225"/>
      <c r="W344" s="225"/>
      <c r="X344" s="225"/>
      <c r="Y344" s="225"/>
      <c r="AC344" s="23">
        <f>$M$8</f>
        <v>45206</v>
      </c>
      <c r="AD344" s="9"/>
    </row>
    <row r="345" spans="2:30" ht="14.25" thickBot="1" x14ac:dyDescent="0.2">
      <c r="B345" s="7"/>
      <c r="N345" s="9"/>
      <c r="R345" s="7"/>
      <c r="AD345" s="9"/>
    </row>
    <row r="346" spans="2:30" ht="33.75" customHeight="1" thickBot="1" x14ac:dyDescent="0.2">
      <c r="B346" s="7"/>
      <c r="D346" s="11" t="s">
        <v>29</v>
      </c>
      <c r="E346" s="12"/>
      <c r="F346" s="13"/>
      <c r="G346" s="14"/>
      <c r="H346" s="15">
        <v>3</v>
      </c>
      <c r="I346" s="16">
        <v>4</v>
      </c>
      <c r="J346" s="14">
        <v>0</v>
      </c>
      <c r="K346" s="14">
        <v>0</v>
      </c>
      <c r="L346" s="17" t="s">
        <v>30</v>
      </c>
      <c r="N346" s="9"/>
      <c r="R346" s="7"/>
      <c r="T346" s="11" t="s">
        <v>29</v>
      </c>
      <c r="U346" s="12"/>
      <c r="V346" s="13"/>
      <c r="W346" s="14"/>
      <c r="X346" s="15">
        <v>3</v>
      </c>
      <c r="Y346" s="16">
        <v>4</v>
      </c>
      <c r="Z346" s="14">
        <v>0</v>
      </c>
      <c r="AA346" s="14">
        <v>0</v>
      </c>
      <c r="AB346" s="17" t="s">
        <v>30</v>
      </c>
      <c r="AD346" s="9"/>
    </row>
    <row r="347" spans="2:30" ht="22.5" customHeight="1" x14ac:dyDescent="0.15">
      <c r="B347" s="7"/>
      <c r="D347" s="18" t="s">
        <v>31</v>
      </c>
      <c r="E347" s="18"/>
      <c r="F347" s="18"/>
      <c r="G347" s="18"/>
      <c r="H347" s="18"/>
      <c r="I347" s="18"/>
      <c r="J347" s="19"/>
      <c r="K347" s="19"/>
      <c r="L347" s="19"/>
      <c r="N347" s="9"/>
      <c r="R347" s="7"/>
      <c r="T347" s="18" t="s">
        <v>31</v>
      </c>
      <c r="U347" s="18"/>
      <c r="V347" s="18"/>
      <c r="W347" s="18"/>
      <c r="X347" s="18"/>
      <c r="Y347" s="18"/>
      <c r="Z347" s="19"/>
      <c r="AA347" s="19"/>
      <c r="AB347" s="19"/>
      <c r="AD347" s="9"/>
    </row>
    <row r="348" spans="2:30" x14ac:dyDescent="0.15">
      <c r="B348" s="7"/>
      <c r="N348" s="9"/>
      <c r="R348" s="7"/>
      <c r="AD348" s="9"/>
    </row>
    <row r="349" spans="2:30" x14ac:dyDescent="0.15">
      <c r="B349" s="7"/>
      <c r="D349" s="3" t="s">
        <v>32</v>
      </c>
      <c r="N349" s="9"/>
      <c r="R349" s="7"/>
      <c r="T349" s="3" t="s">
        <v>32</v>
      </c>
      <c r="AD349" s="9"/>
    </row>
    <row r="350" spans="2:30" x14ac:dyDescent="0.15">
      <c r="B350" s="7"/>
      <c r="N350" s="9"/>
      <c r="R350" s="7"/>
      <c r="AD350" s="9"/>
    </row>
    <row r="351" spans="2:30" x14ac:dyDescent="0.15">
      <c r="B351" s="7"/>
      <c r="H351" s="3" t="s">
        <v>33</v>
      </c>
      <c r="N351" s="9"/>
      <c r="R351" s="7"/>
      <c r="X351" s="3" t="s">
        <v>33</v>
      </c>
      <c r="AD351" s="9"/>
    </row>
    <row r="352" spans="2:30" ht="24" x14ac:dyDescent="0.15">
      <c r="B352" s="7"/>
      <c r="H352" s="3" t="s">
        <v>34</v>
      </c>
      <c r="N352" s="9"/>
      <c r="R352" s="7"/>
      <c r="X352" s="3" t="s">
        <v>34</v>
      </c>
      <c r="AD352" s="9"/>
    </row>
    <row r="353" spans="2:30" ht="26.25" customHeight="1" thickBot="1" x14ac:dyDescent="0.2">
      <c r="B353" s="20"/>
      <c r="C353" s="21"/>
      <c r="D353" s="21"/>
      <c r="E353" s="21"/>
      <c r="F353" s="21"/>
      <c r="G353" s="21"/>
      <c r="H353" s="21"/>
      <c r="I353" s="21"/>
      <c r="J353" s="21"/>
      <c r="K353" s="21"/>
      <c r="L353" s="21"/>
      <c r="M353" s="21"/>
      <c r="N353" s="22"/>
      <c r="R353" s="20"/>
      <c r="S353" s="21"/>
      <c r="T353" s="21"/>
      <c r="U353" s="21"/>
      <c r="V353" s="21"/>
      <c r="W353" s="21"/>
      <c r="X353" s="21"/>
      <c r="Y353" s="21"/>
      <c r="Z353" s="21"/>
      <c r="AA353" s="21"/>
      <c r="AB353" s="21"/>
      <c r="AC353" s="21"/>
      <c r="AD353" s="22"/>
    </row>
    <row r="361" spans="2:30" ht="14.25" thickBot="1" x14ac:dyDescent="0.2"/>
    <row r="362" spans="2:30" ht="26.25" customHeight="1" x14ac:dyDescent="0.15">
      <c r="B362" s="4"/>
      <c r="C362" s="5"/>
      <c r="D362" s="5"/>
      <c r="E362" s="5"/>
      <c r="F362" s="5"/>
      <c r="G362" s="5"/>
      <c r="H362" s="5"/>
      <c r="I362" s="5"/>
      <c r="J362" s="5"/>
      <c r="K362" s="5"/>
      <c r="L362" s="5"/>
      <c r="M362" s="5"/>
      <c r="N362" s="6"/>
      <c r="R362" s="4"/>
      <c r="S362" s="5"/>
      <c r="T362" s="5"/>
      <c r="U362" s="5"/>
      <c r="V362" s="5"/>
      <c r="W362" s="5"/>
      <c r="X362" s="5"/>
      <c r="Y362" s="5"/>
      <c r="Z362" s="5"/>
      <c r="AA362" s="5"/>
      <c r="AB362" s="5"/>
      <c r="AC362" s="5"/>
      <c r="AD362" s="6"/>
    </row>
    <row r="363" spans="2:30" ht="26.25" thickBot="1" x14ac:dyDescent="0.2">
      <c r="B363" s="7"/>
      <c r="C363" s="8"/>
      <c r="D363" s="8"/>
      <c r="E363" s="8"/>
      <c r="F363" s="226" t="s">
        <v>28</v>
      </c>
      <c r="G363" s="226"/>
      <c r="H363" s="226"/>
      <c r="I363" s="226"/>
      <c r="J363" s="226"/>
      <c r="K363" s="226"/>
      <c r="L363" s="8"/>
      <c r="M363" s="8"/>
      <c r="N363" s="9"/>
      <c r="R363" s="7"/>
      <c r="S363" s="8"/>
      <c r="T363" s="8"/>
      <c r="U363" s="8"/>
      <c r="V363" s="226" t="s">
        <v>28</v>
      </c>
      <c r="W363" s="226"/>
      <c r="X363" s="226"/>
      <c r="Y363" s="226"/>
      <c r="Z363" s="226"/>
      <c r="AA363" s="226"/>
      <c r="AB363" s="8"/>
      <c r="AC363" s="8"/>
      <c r="AD363" s="9"/>
    </row>
    <row r="364" spans="2:30" ht="14.25" thickTop="1" x14ac:dyDescent="0.15">
      <c r="B364" s="7"/>
      <c r="N364" s="9"/>
      <c r="R364" s="7"/>
      <c r="AD364" s="9"/>
    </row>
    <row r="365" spans="2:30" ht="25.5" x14ac:dyDescent="0.15">
      <c r="B365" s="7"/>
      <c r="C365" s="225" t="e">
        <f>INDEX(抽選!$K$3:$K$18,領収証!P365,1)&amp;"サッカー部 様"</f>
        <v>#REF!</v>
      </c>
      <c r="D365" s="225"/>
      <c r="E365" s="225"/>
      <c r="F365" s="225"/>
      <c r="G365" s="225"/>
      <c r="H365" s="225"/>
      <c r="I365" s="225"/>
      <c r="M365" s="23">
        <f>$M$8</f>
        <v>45206</v>
      </c>
      <c r="N365" s="9"/>
      <c r="P365" s="51">
        <f>P344+1</f>
        <v>18</v>
      </c>
      <c r="R365" s="7"/>
      <c r="S365" s="225" t="e">
        <f>INDEX(抽選!$K$3:$K$18,領収証!AF365,1)&amp;"サッカー部 様"</f>
        <v>#VALUE!</v>
      </c>
      <c r="T365" s="225"/>
      <c r="U365" s="225"/>
      <c r="V365" s="225"/>
      <c r="W365" s="225"/>
      <c r="X365" s="225"/>
      <c r="Y365" s="225"/>
      <c r="AC365" s="23">
        <f>$M$8</f>
        <v>45206</v>
      </c>
      <c r="AD365" s="9"/>
    </row>
    <row r="366" spans="2:30" ht="14.25" thickBot="1" x14ac:dyDescent="0.2">
      <c r="B366" s="7"/>
      <c r="N366" s="9"/>
      <c r="R366" s="7"/>
      <c r="AD366" s="9"/>
    </row>
    <row r="367" spans="2:30" ht="33.75" customHeight="1" thickBot="1" x14ac:dyDescent="0.2">
      <c r="B367" s="7"/>
      <c r="D367" s="11" t="s">
        <v>29</v>
      </c>
      <c r="E367" s="12"/>
      <c r="F367" s="13"/>
      <c r="G367" s="14"/>
      <c r="H367" s="15">
        <v>4</v>
      </c>
      <c r="I367" s="16">
        <v>0</v>
      </c>
      <c r="J367" s="14">
        <v>0</v>
      </c>
      <c r="K367" s="14">
        <v>0</v>
      </c>
      <c r="L367" s="17" t="s">
        <v>30</v>
      </c>
      <c r="N367" s="9"/>
      <c r="R367" s="7"/>
      <c r="T367" s="11" t="s">
        <v>29</v>
      </c>
      <c r="U367" s="12"/>
      <c r="V367" s="13"/>
      <c r="W367" s="14"/>
      <c r="X367" s="15">
        <v>4</v>
      </c>
      <c r="Y367" s="16">
        <v>0</v>
      </c>
      <c r="Z367" s="14">
        <v>0</v>
      </c>
      <c r="AA367" s="14">
        <v>0</v>
      </c>
      <c r="AB367" s="17" t="s">
        <v>30</v>
      </c>
      <c r="AD367" s="9"/>
    </row>
    <row r="368" spans="2:30" ht="22.5" customHeight="1" x14ac:dyDescent="0.15">
      <c r="B368" s="7"/>
      <c r="D368" s="18" t="s">
        <v>31</v>
      </c>
      <c r="E368" s="18"/>
      <c r="F368" s="18"/>
      <c r="G368" s="18"/>
      <c r="H368" s="18"/>
      <c r="I368" s="18"/>
      <c r="J368" s="19"/>
      <c r="K368" s="19"/>
      <c r="L368" s="19"/>
      <c r="N368" s="9"/>
      <c r="R368" s="7"/>
      <c r="T368" s="18" t="s">
        <v>31</v>
      </c>
      <c r="U368" s="18"/>
      <c r="V368" s="18"/>
      <c r="W368" s="18"/>
      <c r="X368" s="18"/>
      <c r="Y368" s="18"/>
      <c r="Z368" s="19"/>
      <c r="AA368" s="19"/>
      <c r="AB368" s="19"/>
      <c r="AD368" s="9"/>
    </row>
    <row r="369" spans="2:30" x14ac:dyDescent="0.15">
      <c r="B369" s="7"/>
      <c r="N369" s="9"/>
      <c r="R369" s="7"/>
      <c r="AD369" s="9"/>
    </row>
    <row r="370" spans="2:30" x14ac:dyDescent="0.15">
      <c r="B370" s="7"/>
      <c r="D370" s="3" t="s">
        <v>32</v>
      </c>
      <c r="N370" s="9"/>
      <c r="R370" s="7"/>
      <c r="T370" s="3" t="s">
        <v>32</v>
      </c>
      <c r="AD370" s="9"/>
    </row>
    <row r="371" spans="2:30" x14ac:dyDescent="0.15">
      <c r="B371" s="7"/>
      <c r="N371" s="9"/>
      <c r="R371" s="7"/>
      <c r="AD371" s="9"/>
    </row>
    <row r="372" spans="2:30" x14ac:dyDescent="0.15">
      <c r="B372" s="7"/>
      <c r="H372" s="3" t="s">
        <v>33</v>
      </c>
      <c r="N372" s="9"/>
      <c r="R372" s="7"/>
      <c r="X372" s="3" t="s">
        <v>33</v>
      </c>
      <c r="AD372" s="9"/>
    </row>
    <row r="373" spans="2:30" ht="24" x14ac:dyDescent="0.15">
      <c r="B373" s="7"/>
      <c r="H373" s="3" t="s">
        <v>34</v>
      </c>
      <c r="N373" s="9"/>
      <c r="R373" s="7"/>
      <c r="X373" s="3" t="s">
        <v>34</v>
      </c>
      <c r="AD373" s="9"/>
    </row>
    <row r="374" spans="2:30" ht="26.25" customHeight="1" thickBot="1" x14ac:dyDescent="0.2">
      <c r="B374" s="20"/>
      <c r="C374" s="21"/>
      <c r="D374" s="21"/>
      <c r="E374" s="21"/>
      <c r="F374" s="21"/>
      <c r="G374" s="21"/>
      <c r="H374" s="21"/>
      <c r="I374" s="21"/>
      <c r="J374" s="21"/>
      <c r="K374" s="21"/>
      <c r="L374" s="21"/>
      <c r="M374" s="21"/>
      <c r="N374" s="22"/>
      <c r="R374" s="20"/>
      <c r="S374" s="21"/>
      <c r="T374" s="21"/>
      <c r="U374" s="21"/>
      <c r="V374" s="21"/>
      <c r="W374" s="21"/>
      <c r="X374" s="21"/>
      <c r="Y374" s="21"/>
      <c r="Z374" s="21"/>
      <c r="AA374" s="21"/>
      <c r="AB374" s="21"/>
      <c r="AC374" s="21"/>
      <c r="AD374" s="22"/>
    </row>
  </sheetData>
  <mergeCells count="40">
    <mergeCell ref="S50:Y50"/>
    <mergeCell ref="V48:AA48"/>
    <mergeCell ref="S71:Y71"/>
    <mergeCell ref="S92:Y92"/>
    <mergeCell ref="F132:K132"/>
    <mergeCell ref="V27:AA27"/>
    <mergeCell ref="F90:K90"/>
    <mergeCell ref="F111:K111"/>
    <mergeCell ref="F153:K153"/>
    <mergeCell ref="V6:AA6"/>
    <mergeCell ref="C113:I113"/>
    <mergeCell ref="C134:I134"/>
    <mergeCell ref="V132:AA132"/>
    <mergeCell ref="S113:Y113"/>
    <mergeCell ref="C92:I92"/>
    <mergeCell ref="S8:Y8"/>
    <mergeCell ref="S29:Y29"/>
    <mergeCell ref="S134:Y134"/>
    <mergeCell ref="V111:AA111"/>
    <mergeCell ref="F6:K6"/>
    <mergeCell ref="F27:K27"/>
    <mergeCell ref="C365:I365"/>
    <mergeCell ref="S155:Y155"/>
    <mergeCell ref="V69:AA69"/>
    <mergeCell ref="V90:AA90"/>
    <mergeCell ref="V153:AA153"/>
    <mergeCell ref="F363:K363"/>
    <mergeCell ref="C344:I344"/>
    <mergeCell ref="V342:AA342"/>
    <mergeCell ref="S344:Y344"/>
    <mergeCell ref="V363:AA363"/>
    <mergeCell ref="S365:Y365"/>
    <mergeCell ref="C71:I71"/>
    <mergeCell ref="F342:K342"/>
    <mergeCell ref="C155:I155"/>
    <mergeCell ref="C8:I8"/>
    <mergeCell ref="F69:K69"/>
    <mergeCell ref="C29:I29"/>
    <mergeCell ref="C50:I50"/>
    <mergeCell ref="F48:K48"/>
  </mergeCells>
  <phoneticPr fontId="3"/>
  <printOptions horizontalCentered="1" verticalCentered="1"/>
  <pageMargins left="0.39370078740157483" right="0.39370078740157483" top="0" bottom="0" header="0.51181102362204722" footer="0.51181102362204722"/>
  <pageSetup paperSize="9" scale="145" fitToWidth="2" fitToHeight="8" orientation="landscape" r:id="rId1"/>
  <headerFooter alignWithMargins="0"/>
  <rowBreaks count="7" manualBreakCount="7">
    <brk id="21" max="30" man="1"/>
    <brk id="42" max="30" man="1"/>
    <brk id="63" max="30" man="1"/>
    <brk id="84" max="30" man="1"/>
    <brk id="105" max="30" man="1"/>
    <brk id="126" max="30" man="1"/>
    <brk id="147" max="30" man="1"/>
  </rowBreaks>
  <colBreaks count="1" manualBreakCount="1">
    <brk id="15" max="16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1"/>
  <sheetViews>
    <sheetView topLeftCell="A31" workbookViewId="0">
      <selection activeCell="C40" sqref="C40"/>
    </sheetView>
  </sheetViews>
  <sheetFormatPr defaultColWidth="9" defaultRowHeight="14.25" x14ac:dyDescent="0.15"/>
  <cols>
    <col min="1" max="1" width="11" style="52" customWidth="1"/>
    <col min="2" max="2" width="9" style="52"/>
    <col min="3" max="3" width="9.5" style="52" bestFit="1" customWidth="1"/>
    <col min="4" max="5" width="9" style="52"/>
    <col min="6" max="6" width="9.5" style="52" bestFit="1" customWidth="1"/>
    <col min="7" max="7" width="9" style="52"/>
    <col min="8" max="8" width="9.5" style="52" bestFit="1" customWidth="1"/>
    <col min="9" max="16384" width="9" style="52"/>
  </cols>
  <sheetData>
    <row r="1" spans="1:9" ht="24.75" x14ac:dyDescent="0.15">
      <c r="A1" s="228" t="str">
        <f ca="1">"令和"&amp;IF(YEAR(NOW())=2019,"元",YEAR(NOW())-2018)&amp;"年度"</f>
        <v>令和5年度</v>
      </c>
      <c r="B1" s="228"/>
      <c r="C1" s="228"/>
      <c r="D1" s="228"/>
      <c r="E1" s="228"/>
      <c r="F1" s="228"/>
      <c r="G1" s="228"/>
      <c r="H1" s="228"/>
      <c r="I1" s="228"/>
    </row>
    <row r="2" spans="1:9" ht="32.25" x14ac:dyDescent="0.15">
      <c r="A2" s="227" t="str">
        <f ca="1">"第"&amp;YEAR(NOW())-2000&amp;"回 石川県中学校新人サッカー大会 "</f>
        <v xml:space="preserve">第23回 石川県中学校新人サッカー大会 </v>
      </c>
      <c r="B2" s="227"/>
      <c r="C2" s="227"/>
      <c r="D2" s="227"/>
      <c r="E2" s="227"/>
      <c r="F2" s="227"/>
      <c r="G2" s="227"/>
      <c r="H2" s="227"/>
      <c r="I2" s="227"/>
    </row>
    <row r="37" spans="1:9" ht="15" customHeight="1" x14ac:dyDescent="0.15">
      <c r="A37" s="54" t="s">
        <v>214</v>
      </c>
      <c r="B37" s="229" t="str">
        <f>要項!E12</f>
        <v>スカイパークこまつ翼</v>
      </c>
      <c r="C37" s="229"/>
      <c r="D37" s="229"/>
      <c r="E37" s="52" t="s">
        <v>454</v>
      </c>
    </row>
    <row r="38" spans="1:9" ht="15" customHeight="1" x14ac:dyDescent="0.15">
      <c r="A38" s="54"/>
      <c r="B38" s="229" t="str">
        <f>要項!B12</f>
        <v>松任総合運動公園陸上競技場</v>
      </c>
      <c r="C38" s="229"/>
      <c r="D38" s="229"/>
      <c r="E38" s="52" t="s">
        <v>54</v>
      </c>
    </row>
    <row r="39" spans="1:9" ht="7.5" customHeight="1" x14ac:dyDescent="0.15">
      <c r="A39" s="54"/>
    </row>
    <row r="40" spans="1:9" ht="15" customHeight="1" x14ac:dyDescent="0.15">
      <c r="A40" s="54" t="s">
        <v>215</v>
      </c>
      <c r="B40" s="55" t="str">
        <f ca="1">"令和"&amp;IF(YEAR(NOW())=2019,"元",YEAR(NOW())-2018)&amp;"年"</f>
        <v>令和5年</v>
      </c>
      <c r="C40" s="56">
        <f>ﾄｰﾅﾒﾝﾄ!A57</f>
        <v>45206</v>
      </c>
      <c r="D40" s="52" t="s">
        <v>51</v>
      </c>
      <c r="E40" s="57" t="s">
        <v>216</v>
      </c>
      <c r="F40" s="58">
        <f>要項!F14</f>
        <v>0.375</v>
      </c>
    </row>
    <row r="41" spans="1:9" ht="15" customHeight="1" x14ac:dyDescent="0.15">
      <c r="A41" s="54"/>
      <c r="B41" s="55" t="str">
        <f ca="1">"令和"&amp;IF(YEAR(NOW())=2019,"元",YEAR(NOW())-2018)&amp;"年"</f>
        <v>令和5年</v>
      </c>
      <c r="C41" s="56">
        <f>C40+1</f>
        <v>45207</v>
      </c>
      <c r="D41" s="52" t="s">
        <v>52</v>
      </c>
      <c r="E41" s="57" t="s">
        <v>216</v>
      </c>
      <c r="F41" s="58">
        <f>要項!F16</f>
        <v>0.375</v>
      </c>
      <c r="G41" s="53"/>
    </row>
    <row r="42" spans="1:9" ht="15" customHeight="1" x14ac:dyDescent="0.15">
      <c r="A42" s="54"/>
      <c r="B42" s="55" t="str">
        <f ca="1">"令和"&amp;IF(YEAR(NOW())=2019,"元",YEAR(NOW())-2018)&amp;"年"</f>
        <v>令和5年</v>
      </c>
      <c r="C42" s="56">
        <f>ﾄｰﾅﾒﾝﾄ!A23</f>
        <v>45208</v>
      </c>
      <c r="D42" s="52" t="s">
        <v>442</v>
      </c>
      <c r="E42" s="57" t="s">
        <v>216</v>
      </c>
      <c r="F42" s="58">
        <f>要項!F18</f>
        <v>0.375</v>
      </c>
      <c r="G42" s="174" t="s">
        <v>46</v>
      </c>
      <c r="H42" s="175">
        <f>要項!F19</f>
        <v>0.64583333333333337</v>
      </c>
      <c r="I42" s="176" t="s">
        <v>53</v>
      </c>
    </row>
    <row r="43" spans="1:9" ht="7.5" customHeight="1" x14ac:dyDescent="0.15">
      <c r="A43" s="54"/>
      <c r="F43" s="59"/>
      <c r="G43" s="57"/>
    </row>
    <row r="44" spans="1:9" ht="15" customHeight="1" x14ac:dyDescent="0.15">
      <c r="A44" s="54" t="s">
        <v>42</v>
      </c>
      <c r="B44" s="52" t="str">
        <f>要項!B3</f>
        <v>(一社)石川県サッカー協会</v>
      </c>
      <c r="E44" s="52" t="str">
        <f>要項!E3</f>
        <v>白山市教育委員会</v>
      </c>
    </row>
    <row r="45" spans="1:9" ht="7.5" customHeight="1" x14ac:dyDescent="0.15">
      <c r="A45" s="54"/>
    </row>
    <row r="46" spans="1:9" ht="15" customHeight="1" x14ac:dyDescent="0.15">
      <c r="A46" s="54" t="s">
        <v>43</v>
      </c>
      <c r="B46" s="52" t="str">
        <f>要項!B5</f>
        <v>石川県中学校体育連盟</v>
      </c>
    </row>
    <row r="47" spans="1:9" ht="7.5" customHeight="1" x14ac:dyDescent="0.15">
      <c r="A47" s="54"/>
    </row>
    <row r="48" spans="1:9" ht="15" customHeight="1" x14ac:dyDescent="0.15">
      <c r="A48" s="54" t="s">
        <v>44</v>
      </c>
      <c r="B48" s="52" t="str">
        <f>要項!B7</f>
        <v>白山市体育協会</v>
      </c>
      <c r="E48" s="52" t="str">
        <f>要項!E7</f>
        <v>北國新聞社</v>
      </c>
    </row>
    <row r="49" spans="1:5" ht="7.5" customHeight="1" x14ac:dyDescent="0.15">
      <c r="A49" s="54"/>
    </row>
    <row r="50" spans="1:5" ht="15" customHeight="1" x14ac:dyDescent="0.15">
      <c r="A50" s="54" t="s">
        <v>45</v>
      </c>
      <c r="B50" s="52" t="str">
        <f>要項!B9</f>
        <v>石川県中体連サッカー部</v>
      </c>
      <c r="E50" s="52" t="str">
        <f>要項!E9</f>
        <v>白山市・野々市市中体連サッカー部</v>
      </c>
    </row>
    <row r="51" spans="1:5" ht="15" customHeight="1" x14ac:dyDescent="0.15">
      <c r="B51" s="52" t="str">
        <f>要項!B10</f>
        <v>加賀地区中学校体育連盟</v>
      </c>
      <c r="E51" s="52" t="str">
        <f>要項!E10</f>
        <v>白山市サッカー協会</v>
      </c>
    </row>
  </sheetData>
  <mergeCells count="4">
    <mergeCell ref="A2:I2"/>
    <mergeCell ref="A1:I1"/>
    <mergeCell ref="B38:D38"/>
    <mergeCell ref="B37:D37"/>
  </mergeCells>
  <phoneticPr fontId="3"/>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54"/>
  <sheetViews>
    <sheetView zoomScaleNormal="100" zoomScaleSheetLayoutView="100" workbookViewId="0">
      <selection activeCell="L11" sqref="L11"/>
    </sheetView>
  </sheetViews>
  <sheetFormatPr defaultColWidth="9" defaultRowHeight="14.25" x14ac:dyDescent="0.15"/>
  <cols>
    <col min="1" max="1" width="3.75" style="82" customWidth="1"/>
    <col min="2" max="2" width="16.875" style="82" customWidth="1"/>
    <col min="3" max="5" width="15" style="82" customWidth="1"/>
    <col min="6" max="6" width="5" style="82" customWidth="1"/>
    <col min="7" max="7" width="10" style="82" customWidth="1"/>
    <col min="8" max="8" width="15" style="82" customWidth="1"/>
    <col min="9" max="9" width="9" style="82"/>
    <col min="10" max="10" width="4" style="82" bestFit="1" customWidth="1"/>
    <col min="11" max="11" width="11.625" style="82" customWidth="1"/>
    <col min="12" max="12" width="4" style="82" bestFit="1" customWidth="1"/>
    <col min="13" max="13" width="11.625" style="82" bestFit="1" customWidth="1"/>
    <col min="14" max="14" width="4" style="83" bestFit="1" customWidth="1"/>
    <col min="15" max="15" width="11.625" style="82" customWidth="1"/>
    <col min="16" max="16" width="4" style="82" bestFit="1" customWidth="1"/>
    <col min="17" max="17" width="11.625" style="82" customWidth="1"/>
    <col min="18" max="18" width="4" style="82" bestFit="1" customWidth="1"/>
    <col min="19" max="19" width="11.625" style="82" customWidth="1"/>
    <col min="20" max="20" width="4" style="82" bestFit="1" customWidth="1"/>
    <col min="21" max="21" width="11.625" style="82" customWidth="1"/>
    <col min="22" max="22" width="4" style="82" bestFit="1" customWidth="1"/>
    <col min="23" max="23" width="11.625" style="82" customWidth="1"/>
    <col min="24" max="24" width="9" style="82" customWidth="1"/>
    <col min="25" max="16384" width="9" style="82"/>
  </cols>
  <sheetData>
    <row r="1" spans="1:15" ht="22.5" x14ac:dyDescent="0.15">
      <c r="A1" s="81" t="str">
        <f ca="1">"令和"&amp;IF(YEAR(NOW())=2019,"元",YEAR(NOW())-2018)&amp;"年度 第"&amp;YEAR(NOW())-2000&amp;"回 石川県中学校新人サッカー大会 "</f>
        <v xml:space="preserve">令和5年度 第23回 石川県中学校新人サッカー大会 </v>
      </c>
    </row>
    <row r="2" spans="1:15" ht="14.25" customHeight="1" x14ac:dyDescent="0.15">
      <c r="N2" s="83" t="s">
        <v>121</v>
      </c>
      <c r="O2" s="84" t="s">
        <v>213</v>
      </c>
    </row>
    <row r="3" spans="1:15" ht="14.25" customHeight="1" x14ac:dyDescent="0.15">
      <c r="A3" s="82" t="s">
        <v>92</v>
      </c>
      <c r="N3" s="83" t="s">
        <v>122</v>
      </c>
      <c r="O3" s="84" t="s">
        <v>537</v>
      </c>
    </row>
    <row r="4" spans="1:15" ht="14.25" customHeight="1" x14ac:dyDescent="0.15">
      <c r="B4" s="82" t="s">
        <v>93</v>
      </c>
      <c r="C4" s="82" t="str">
        <f>O9</f>
        <v>小石　一寛</v>
      </c>
      <c r="N4" s="83" t="s">
        <v>123</v>
      </c>
      <c r="O4" s="84" t="s">
        <v>420</v>
      </c>
    </row>
    <row r="5" spans="1:15" ht="14.25" customHeight="1" x14ac:dyDescent="0.15">
      <c r="B5" s="82" t="s">
        <v>94</v>
      </c>
      <c r="C5" s="82" t="str">
        <f>O2</f>
        <v>寺越　和洋</v>
      </c>
      <c r="D5" s="82" t="str">
        <f>O10</f>
        <v>可長　俊太</v>
      </c>
      <c r="N5" s="83" t="s">
        <v>124</v>
      </c>
      <c r="O5" s="84" t="s">
        <v>446</v>
      </c>
    </row>
    <row r="6" spans="1:15" ht="14.25" customHeight="1" x14ac:dyDescent="0.15">
      <c r="B6" s="82" t="s">
        <v>95</v>
      </c>
      <c r="C6" s="82" t="str">
        <f>O11</f>
        <v>岩脇　司　</v>
      </c>
      <c r="N6" s="83" t="s">
        <v>125</v>
      </c>
      <c r="O6" s="84" t="s">
        <v>538</v>
      </c>
    </row>
    <row r="7" spans="1:15" ht="14.25" customHeight="1" x14ac:dyDescent="0.15">
      <c r="B7" s="82" t="s">
        <v>96</v>
      </c>
      <c r="C7" s="82" t="str">
        <f>O3</f>
        <v>日向　正志</v>
      </c>
      <c r="D7" s="82" t="str">
        <f>O4</f>
        <v>若狭　朋幸</v>
      </c>
      <c r="E7" s="82" t="str">
        <f>O5</f>
        <v>木下　貴博</v>
      </c>
      <c r="F7" s="82" t="str">
        <f>O6</f>
        <v>佐竹　康弘</v>
      </c>
      <c r="H7" s="82" t="str">
        <f>O7</f>
        <v>田向　剛　</v>
      </c>
      <c r="N7" s="83" t="s">
        <v>198</v>
      </c>
      <c r="O7" s="172" t="s">
        <v>540</v>
      </c>
    </row>
    <row r="8" spans="1:15" ht="14.25" customHeight="1" x14ac:dyDescent="0.15">
      <c r="C8" s="82" t="str">
        <f>O8</f>
        <v>才鴈　浩子</v>
      </c>
      <c r="N8" s="83" t="s">
        <v>197</v>
      </c>
      <c r="O8" s="84" t="s">
        <v>447</v>
      </c>
    </row>
    <row r="9" spans="1:15" ht="14.25" customHeight="1" x14ac:dyDescent="0.15">
      <c r="B9" s="82" t="s">
        <v>97</v>
      </c>
      <c r="C9" s="82" t="str">
        <f>O12</f>
        <v>山本　悠祐</v>
      </c>
      <c r="N9" s="83" t="s">
        <v>204</v>
      </c>
      <c r="O9" s="84" t="s">
        <v>367</v>
      </c>
    </row>
    <row r="10" spans="1:15" ht="14.25" customHeight="1" x14ac:dyDescent="0.15">
      <c r="B10" s="82" t="s">
        <v>98</v>
      </c>
      <c r="C10" s="82" t="str">
        <f>O13</f>
        <v>小畠　悠大</v>
      </c>
      <c r="D10" s="82" t="str">
        <f>O14</f>
        <v>酒巻　浩司</v>
      </c>
      <c r="E10" s="82" t="str">
        <f>O15</f>
        <v>南　　智也</v>
      </c>
      <c r="N10" s="83" t="s">
        <v>203</v>
      </c>
      <c r="O10" s="84" t="s">
        <v>531</v>
      </c>
    </row>
    <row r="11" spans="1:15" ht="14.25" customHeight="1" x14ac:dyDescent="0.15">
      <c r="B11" s="82" t="s">
        <v>99</v>
      </c>
      <c r="C11" s="82" t="str">
        <f>O16</f>
        <v>黒田　拓麻</v>
      </c>
      <c r="D11" s="82" t="str">
        <f>O17</f>
        <v>廣瀨　章</v>
      </c>
      <c r="E11" s="82" t="str">
        <f>O18</f>
        <v>島　　敦志</v>
      </c>
      <c r="F11" s="82" t="str">
        <f>O19</f>
        <v>石田　和也</v>
      </c>
      <c r="H11" s="82" t="str">
        <f>O20</f>
        <v>髭本　侑樹</v>
      </c>
      <c r="N11" s="83" t="s">
        <v>126</v>
      </c>
      <c r="O11" s="84" t="s">
        <v>541</v>
      </c>
    </row>
    <row r="12" spans="1:15" ht="14.25" customHeight="1" x14ac:dyDescent="0.15">
      <c r="C12" s="82" t="str">
        <f>O21</f>
        <v>池田　和貴</v>
      </c>
      <c r="D12" s="82" t="str">
        <f>O24</f>
        <v>南　　昇吾</v>
      </c>
      <c r="E12" s="82" t="str">
        <f>O27</f>
        <v>安田　光成</v>
      </c>
      <c r="N12" s="83" t="s">
        <v>199</v>
      </c>
      <c r="O12" s="84" t="s">
        <v>353</v>
      </c>
    </row>
    <row r="13" spans="1:15" ht="14.25" customHeight="1" x14ac:dyDescent="0.15">
      <c r="B13" s="82" t="s">
        <v>100</v>
      </c>
      <c r="C13" s="82" t="s">
        <v>539</v>
      </c>
      <c r="N13" s="83" t="s">
        <v>200</v>
      </c>
      <c r="O13" s="84" t="s">
        <v>352</v>
      </c>
    </row>
    <row r="14" spans="1:15" ht="14.25" customHeight="1" x14ac:dyDescent="0.15">
      <c r="B14" s="82" t="s">
        <v>101</v>
      </c>
      <c r="C14" s="82" t="s">
        <v>119</v>
      </c>
      <c r="N14" s="83" t="s">
        <v>201</v>
      </c>
      <c r="O14" s="84" t="s">
        <v>349</v>
      </c>
    </row>
    <row r="15" spans="1:15" ht="9.6" customHeight="1" x14ac:dyDescent="0.15">
      <c r="N15" s="83" t="s">
        <v>202</v>
      </c>
      <c r="O15" s="84" t="s">
        <v>453</v>
      </c>
    </row>
    <row r="16" spans="1:15" ht="9.6" customHeight="1" x14ac:dyDescent="0.15">
      <c r="N16" s="83" t="s">
        <v>265</v>
      </c>
      <c r="O16" s="84" t="s">
        <v>374</v>
      </c>
    </row>
    <row r="17" spans="1:15" ht="14.25" customHeight="1" x14ac:dyDescent="0.15">
      <c r="B17" s="82" t="s">
        <v>102</v>
      </c>
      <c r="C17" s="82" t="str">
        <f>O13</f>
        <v>小畠　悠大</v>
      </c>
      <c r="D17" s="82" t="str">
        <f>O14</f>
        <v>酒巻　浩司</v>
      </c>
      <c r="E17" s="82" t="str">
        <f>O15</f>
        <v>南　　智也</v>
      </c>
      <c r="N17" s="83" t="s">
        <v>266</v>
      </c>
      <c r="O17" s="84" t="s">
        <v>375</v>
      </c>
    </row>
    <row r="18" spans="1:15" ht="14.25" customHeight="1" x14ac:dyDescent="0.15">
      <c r="B18" s="82" t="s">
        <v>103</v>
      </c>
      <c r="C18" s="82" t="str">
        <f>O12</f>
        <v>山本　悠祐</v>
      </c>
      <c r="D18" s="82" t="str">
        <f>O13</f>
        <v>小畠　悠大</v>
      </c>
      <c r="E18" s="82" t="str">
        <f>O14</f>
        <v>酒巻　浩司</v>
      </c>
      <c r="F18" s="82" t="str">
        <f>O15</f>
        <v>南　　智也</v>
      </c>
      <c r="N18" s="83" t="s">
        <v>267</v>
      </c>
      <c r="O18" s="84" t="s">
        <v>452</v>
      </c>
    </row>
    <row r="19" spans="1:15" ht="14.25" customHeight="1" x14ac:dyDescent="0.15">
      <c r="B19" s="82" t="s">
        <v>104</v>
      </c>
      <c r="C19" s="173" t="s">
        <v>422</v>
      </c>
      <c r="D19" s="173" t="s">
        <v>464</v>
      </c>
      <c r="E19" s="173" t="s">
        <v>423</v>
      </c>
      <c r="F19" s="82" t="s">
        <v>465</v>
      </c>
      <c r="H19" s="82" t="s">
        <v>467</v>
      </c>
      <c r="N19" s="83" t="s">
        <v>268</v>
      </c>
      <c r="O19" s="84" t="s">
        <v>351</v>
      </c>
    </row>
    <row r="20" spans="1:15" ht="14.25" customHeight="1" x14ac:dyDescent="0.15">
      <c r="B20" s="82" t="s">
        <v>105</v>
      </c>
      <c r="C20" s="173" t="s">
        <v>355</v>
      </c>
      <c r="D20" s="82" t="s">
        <v>449</v>
      </c>
      <c r="E20" s="173" t="s">
        <v>351</v>
      </c>
      <c r="F20" s="173" t="s">
        <v>412</v>
      </c>
      <c r="G20" s="173"/>
      <c r="H20" s="173" t="s">
        <v>413</v>
      </c>
      <c r="N20" s="83" t="s">
        <v>269</v>
      </c>
      <c r="O20" s="84" t="s">
        <v>532</v>
      </c>
    </row>
    <row r="21" spans="1:15" ht="14.25" customHeight="1" x14ac:dyDescent="0.15">
      <c r="C21" s="173" t="s">
        <v>431</v>
      </c>
      <c r="D21" s="82" t="s">
        <v>424</v>
      </c>
      <c r="E21" s="82" t="s">
        <v>466</v>
      </c>
      <c r="F21" s="82" t="s">
        <v>437</v>
      </c>
      <c r="G21" s="173"/>
      <c r="H21" s="173" t="s">
        <v>468</v>
      </c>
      <c r="N21" s="83" t="s">
        <v>270</v>
      </c>
      <c r="O21" s="84" t="s">
        <v>448</v>
      </c>
    </row>
    <row r="22" spans="1:15" ht="14.25" customHeight="1" x14ac:dyDescent="0.15">
      <c r="C22" s="173" t="s">
        <v>469</v>
      </c>
      <c r="D22" s="82" t="s">
        <v>470</v>
      </c>
      <c r="E22" s="82" t="s">
        <v>434</v>
      </c>
      <c r="F22" s="82" t="s">
        <v>435</v>
      </c>
      <c r="H22" s="173" t="s">
        <v>471</v>
      </c>
      <c r="O22" s="84"/>
    </row>
    <row r="23" spans="1:15" ht="14.25" customHeight="1" x14ac:dyDescent="0.15">
      <c r="B23" s="82" t="s">
        <v>106</v>
      </c>
      <c r="C23" s="173" t="s">
        <v>414</v>
      </c>
      <c r="D23" s="82" t="s">
        <v>472</v>
      </c>
      <c r="E23" s="173" t="s">
        <v>432</v>
      </c>
      <c r="F23" s="82" t="s">
        <v>473</v>
      </c>
      <c r="H23" s="173" t="s">
        <v>474</v>
      </c>
      <c r="N23" s="83" t="s">
        <v>271</v>
      </c>
      <c r="O23" s="84"/>
    </row>
    <row r="24" spans="1:15" ht="14.25" customHeight="1" x14ac:dyDescent="0.15">
      <c r="C24" s="173" t="s">
        <v>433</v>
      </c>
      <c r="D24" s="173" t="s">
        <v>475</v>
      </c>
      <c r="E24" s="173" t="s">
        <v>498</v>
      </c>
      <c r="F24" s="173" t="s">
        <v>479</v>
      </c>
      <c r="G24" s="173"/>
      <c r="H24" s="173" t="s">
        <v>496</v>
      </c>
      <c r="N24" s="83" t="s">
        <v>272</v>
      </c>
      <c r="O24" s="84" t="s">
        <v>451</v>
      </c>
    </row>
    <row r="25" spans="1:15" ht="14.25" customHeight="1" x14ac:dyDescent="0.15">
      <c r="C25" s="173" t="s">
        <v>480</v>
      </c>
      <c r="D25" s="173" t="s">
        <v>481</v>
      </c>
      <c r="E25" s="173" t="s">
        <v>482</v>
      </c>
      <c r="F25" s="173" t="s">
        <v>483</v>
      </c>
      <c r="H25" s="173" t="s">
        <v>484</v>
      </c>
      <c r="O25" s="84"/>
    </row>
    <row r="26" spans="1:15" ht="14.25" customHeight="1" x14ac:dyDescent="0.15">
      <c r="C26" s="173" t="s">
        <v>485</v>
      </c>
      <c r="D26" s="173" t="s">
        <v>488</v>
      </c>
      <c r="E26" s="173" t="s">
        <v>495</v>
      </c>
      <c r="F26" s="173" t="s">
        <v>497</v>
      </c>
      <c r="O26" s="84"/>
    </row>
    <row r="27" spans="1:15" ht="14.25" customHeight="1" x14ac:dyDescent="0.15">
      <c r="B27" s="82" t="s">
        <v>436</v>
      </c>
      <c r="C27" s="82" t="s">
        <v>354</v>
      </c>
      <c r="D27" s="173" t="s">
        <v>264</v>
      </c>
      <c r="E27" s="173" t="s">
        <v>363</v>
      </c>
      <c r="F27" s="82" t="s">
        <v>438</v>
      </c>
      <c r="H27" s="82" t="s">
        <v>476</v>
      </c>
      <c r="N27" s="83" t="s">
        <v>273</v>
      </c>
      <c r="O27" s="84" t="s">
        <v>533</v>
      </c>
    </row>
    <row r="28" spans="1:15" ht="14.25" customHeight="1" x14ac:dyDescent="0.15">
      <c r="C28" s="82" t="s">
        <v>477</v>
      </c>
      <c r="D28" s="82" t="s">
        <v>478</v>
      </c>
      <c r="E28" s="82" t="s">
        <v>486</v>
      </c>
      <c r="F28" s="173" t="s">
        <v>487</v>
      </c>
      <c r="G28" s="173"/>
      <c r="H28" s="82" t="s">
        <v>493</v>
      </c>
      <c r="N28" s="83" t="s">
        <v>24</v>
      </c>
      <c r="O28" s="84" t="s">
        <v>452</v>
      </c>
    </row>
    <row r="29" spans="1:15" ht="14.25" customHeight="1" x14ac:dyDescent="0.15">
      <c r="B29" s="82" t="s">
        <v>107</v>
      </c>
      <c r="C29" s="82" t="s">
        <v>491</v>
      </c>
      <c r="D29" s="82" t="s">
        <v>492</v>
      </c>
      <c r="E29" s="82" t="s">
        <v>489</v>
      </c>
      <c r="F29" s="82" t="s">
        <v>490</v>
      </c>
      <c r="H29" s="82" t="s">
        <v>494</v>
      </c>
      <c r="N29" s="83" t="s">
        <v>274</v>
      </c>
      <c r="O29" s="84" t="s">
        <v>368</v>
      </c>
    </row>
    <row r="30" spans="1:15" ht="14.25" customHeight="1" x14ac:dyDescent="0.15">
      <c r="I30" s="85"/>
      <c r="N30" s="83" t="s">
        <v>275</v>
      </c>
      <c r="O30" s="84" t="s">
        <v>369</v>
      </c>
    </row>
    <row r="31" spans="1:15" ht="14.25" customHeight="1" x14ac:dyDescent="0.15">
      <c r="A31" s="82" t="s">
        <v>421</v>
      </c>
      <c r="I31" s="85"/>
      <c r="N31" s="83" t="s">
        <v>130</v>
      </c>
      <c r="O31" s="84" t="s">
        <v>534</v>
      </c>
    </row>
    <row r="32" spans="1:15" ht="14.25" customHeight="1" x14ac:dyDescent="0.15">
      <c r="B32" s="82" t="s">
        <v>108</v>
      </c>
      <c r="E32" s="85">
        <f>プロ表紙!C42</f>
        <v>45208</v>
      </c>
      <c r="F32" s="85" t="str">
        <f>プロ表紙!D42</f>
        <v>(月)</v>
      </c>
      <c r="G32" s="86">
        <f>プロ表紙!H42</f>
        <v>0.64583333333333337</v>
      </c>
      <c r="I32" s="85"/>
      <c r="N32" s="83" t="s">
        <v>276</v>
      </c>
      <c r="O32" s="84" t="s">
        <v>535</v>
      </c>
    </row>
    <row r="33" spans="1:23" ht="14.25" customHeight="1" x14ac:dyDescent="0.15">
      <c r="B33" s="82" t="s">
        <v>109</v>
      </c>
      <c r="H33" s="86"/>
      <c r="I33" s="85"/>
      <c r="N33" s="83" t="s">
        <v>277</v>
      </c>
      <c r="O33" s="84" t="s">
        <v>120</v>
      </c>
    </row>
    <row r="34" spans="1:23" ht="14.25" customHeight="1" x14ac:dyDescent="0.15">
      <c r="B34" s="82" t="s">
        <v>110</v>
      </c>
      <c r="E34" s="230" t="s">
        <v>450</v>
      </c>
      <c r="F34" s="230"/>
      <c r="H34" s="86"/>
      <c r="I34" s="85"/>
      <c r="N34" s="83" t="s">
        <v>37</v>
      </c>
      <c r="O34" s="84" t="s">
        <v>352</v>
      </c>
    </row>
    <row r="35" spans="1:23" ht="14.25" customHeight="1" x14ac:dyDescent="0.15">
      <c r="B35" s="82" t="s">
        <v>112</v>
      </c>
      <c r="C35" s="82" t="s">
        <v>97</v>
      </c>
      <c r="E35" s="231" t="str">
        <f>$O$12</f>
        <v>山本　悠祐</v>
      </c>
      <c r="F35" s="231"/>
      <c r="H35" s="86"/>
      <c r="I35" s="85"/>
      <c r="N35" s="83" t="s">
        <v>282</v>
      </c>
      <c r="O35" s="84" t="s">
        <v>363</v>
      </c>
    </row>
    <row r="36" spans="1:23" ht="14.25" customHeight="1" x14ac:dyDescent="0.15">
      <c r="B36" s="82" t="s">
        <v>113</v>
      </c>
      <c r="C36" s="82" t="s">
        <v>95</v>
      </c>
      <c r="E36" s="231" t="str">
        <f>$O$11</f>
        <v>岩脇　司　</v>
      </c>
      <c r="F36" s="231"/>
      <c r="H36" s="86"/>
      <c r="I36" s="85"/>
      <c r="N36" s="83" t="s">
        <v>36</v>
      </c>
      <c r="O36" s="84" t="s">
        <v>374</v>
      </c>
    </row>
    <row r="37" spans="1:23" ht="14.25" customHeight="1" x14ac:dyDescent="0.15">
      <c r="B37" s="82" t="s">
        <v>114</v>
      </c>
      <c r="C37" s="82" t="s">
        <v>95</v>
      </c>
      <c r="E37" s="231" t="str">
        <f>$O$11</f>
        <v>岩脇　司　</v>
      </c>
      <c r="F37" s="231"/>
      <c r="H37" s="86"/>
      <c r="I37" s="85"/>
      <c r="N37" s="83" t="s">
        <v>278</v>
      </c>
      <c r="O37" s="84" t="s">
        <v>536</v>
      </c>
    </row>
    <row r="38" spans="1:23" ht="14.25" customHeight="1" x14ac:dyDescent="0.15">
      <c r="B38" s="82" t="s">
        <v>115</v>
      </c>
      <c r="C38" s="82" t="s">
        <v>97</v>
      </c>
      <c r="E38" s="231" t="str">
        <f>$O$12</f>
        <v>山本　悠祐</v>
      </c>
      <c r="F38" s="231"/>
      <c r="H38" s="86"/>
      <c r="N38" s="83" t="s">
        <v>279</v>
      </c>
      <c r="O38" s="84" t="s">
        <v>415</v>
      </c>
    </row>
    <row r="39" spans="1:23" ht="14.25" customHeight="1" x14ac:dyDescent="0.15">
      <c r="B39" s="82" t="s">
        <v>111</v>
      </c>
      <c r="E39" s="230" t="s">
        <v>450</v>
      </c>
      <c r="F39" s="230"/>
      <c r="H39" s="86"/>
      <c r="N39" s="83" t="s">
        <v>280</v>
      </c>
      <c r="O39" s="84" t="s">
        <v>466</v>
      </c>
    </row>
    <row r="40" spans="1:23" ht="14.25" customHeight="1" x14ac:dyDescent="0.15">
      <c r="H40" s="86"/>
      <c r="N40" s="83" t="s">
        <v>281</v>
      </c>
      <c r="O40" s="84"/>
    </row>
    <row r="41" spans="1:23" ht="14.25" customHeight="1" x14ac:dyDescent="0.15">
      <c r="B41" s="82" t="s">
        <v>116</v>
      </c>
      <c r="D41" s="82" t="s">
        <v>117</v>
      </c>
    </row>
    <row r="42" spans="1:23" ht="14.25" customHeight="1" x14ac:dyDescent="0.15">
      <c r="J42" s="82" t="s">
        <v>284</v>
      </c>
      <c r="P42" s="82" t="s">
        <v>283</v>
      </c>
    </row>
    <row r="43" spans="1:23" ht="14.25" customHeight="1" x14ac:dyDescent="0.15">
      <c r="A43" s="82" t="s">
        <v>118</v>
      </c>
      <c r="J43" s="87" t="s">
        <v>23</v>
      </c>
      <c r="K43" s="87" t="s">
        <v>127</v>
      </c>
      <c r="L43" s="87" t="s">
        <v>23</v>
      </c>
      <c r="M43" s="87" t="s">
        <v>127</v>
      </c>
      <c r="N43" s="88" t="s">
        <v>23</v>
      </c>
      <c r="O43" s="87" t="s">
        <v>127</v>
      </c>
      <c r="P43" s="87" t="s">
        <v>23</v>
      </c>
      <c r="Q43" s="87" t="s">
        <v>127</v>
      </c>
      <c r="R43" s="87" t="s">
        <v>23</v>
      </c>
      <c r="S43" s="87" t="s">
        <v>127</v>
      </c>
      <c r="T43" s="87" t="s">
        <v>23</v>
      </c>
      <c r="U43" s="87" t="s">
        <v>127</v>
      </c>
      <c r="V43" s="87" t="s">
        <v>23</v>
      </c>
      <c r="W43" s="87" t="s">
        <v>127</v>
      </c>
    </row>
    <row r="44" spans="1:23" ht="14.25" customHeight="1" x14ac:dyDescent="0.15">
      <c r="J44" s="87">
        <v>1</v>
      </c>
      <c r="K44" s="89" t="s">
        <v>128</v>
      </c>
      <c r="L44" s="87">
        <f>J53+1</f>
        <v>11</v>
      </c>
      <c r="M44" s="89" t="s">
        <v>133</v>
      </c>
      <c r="N44" s="88">
        <f>L53+1</f>
        <v>21</v>
      </c>
      <c r="O44" s="89" t="s">
        <v>135</v>
      </c>
      <c r="P44" s="87">
        <f>N53+1</f>
        <v>1</v>
      </c>
      <c r="Q44" s="89" t="s">
        <v>35</v>
      </c>
      <c r="R44" s="87">
        <f>P53+1</f>
        <v>11</v>
      </c>
      <c r="S44" s="89" t="s">
        <v>24</v>
      </c>
      <c r="T44" s="87">
        <f>R53+1</f>
        <v>21</v>
      </c>
      <c r="U44" s="89" t="str">
        <f>IF(歴代優勝校!B22="","",歴代優勝校!B22)</f>
        <v>星稜</v>
      </c>
      <c r="V44" s="87">
        <f>T53+1</f>
        <v>31</v>
      </c>
      <c r="W44" s="89" t="str">
        <f ca="1">IF(歴代優勝校!B32="","",歴代優勝校!B32)</f>
        <v/>
      </c>
    </row>
    <row r="45" spans="1:23" ht="14.25" customHeight="1" x14ac:dyDescent="0.15">
      <c r="J45" s="87">
        <f t="shared" ref="J45:J53" si="0">J44+1</f>
        <v>2</v>
      </c>
      <c r="K45" s="89" t="s">
        <v>129</v>
      </c>
      <c r="L45" s="87">
        <f t="shared" ref="L45:L53" si="1">L44+1</f>
        <v>12</v>
      </c>
      <c r="M45" s="89" t="s">
        <v>24</v>
      </c>
      <c r="N45" s="88">
        <f t="shared" ref="N45:N52" si="2">N44+1</f>
        <v>22</v>
      </c>
      <c r="O45" s="89" t="s">
        <v>137</v>
      </c>
      <c r="P45" s="87">
        <f t="shared" ref="P45:P53" si="3">P44+1</f>
        <v>2</v>
      </c>
      <c r="Q45" s="89" t="s">
        <v>24</v>
      </c>
      <c r="R45" s="87">
        <f t="shared" ref="R45:V53" si="4">R44+1</f>
        <v>12</v>
      </c>
      <c r="S45" s="89" t="s">
        <v>2</v>
      </c>
      <c r="T45" s="87">
        <f t="shared" si="4"/>
        <v>22</v>
      </c>
      <c r="U45" s="89" t="str">
        <f>IF(歴代優勝校!B23="","",歴代優勝校!B23)</f>
        <v>星稜</v>
      </c>
      <c r="V45" s="87">
        <f t="shared" si="4"/>
        <v>32</v>
      </c>
      <c r="W45" s="89" t="str">
        <f ca="1">IF(歴代優勝校!B33="","",歴代優勝校!B33)</f>
        <v/>
      </c>
    </row>
    <row r="46" spans="1:23" ht="14.25" customHeight="1" x14ac:dyDescent="0.15">
      <c r="J46" s="87">
        <f t="shared" si="0"/>
        <v>3</v>
      </c>
      <c r="K46" s="89" t="s">
        <v>130</v>
      </c>
      <c r="L46" s="87">
        <f t="shared" si="1"/>
        <v>13</v>
      </c>
      <c r="M46" s="89" t="s">
        <v>134</v>
      </c>
      <c r="N46" s="88">
        <f t="shared" si="2"/>
        <v>23</v>
      </c>
      <c r="O46" s="89" t="s">
        <v>134</v>
      </c>
      <c r="P46" s="87">
        <f t="shared" si="3"/>
        <v>3</v>
      </c>
      <c r="Q46" s="89" t="s">
        <v>36</v>
      </c>
      <c r="R46" s="87">
        <f t="shared" si="4"/>
        <v>13</v>
      </c>
      <c r="S46" s="89" t="s">
        <v>2</v>
      </c>
      <c r="T46" s="87">
        <f t="shared" si="4"/>
        <v>23</v>
      </c>
      <c r="U46" s="89" t="str">
        <f ca="1">IF(歴代優勝校!B24="","",歴代優勝校!B24)</f>
        <v/>
      </c>
      <c r="V46" s="87">
        <f t="shared" si="4"/>
        <v>33</v>
      </c>
      <c r="W46" s="89" t="str">
        <f ca="1">IF(歴代優勝校!B34="","",歴代優勝校!B34)</f>
        <v/>
      </c>
    </row>
    <row r="47" spans="1:23" ht="14.25" customHeight="1" x14ac:dyDescent="0.15">
      <c r="J47" s="87">
        <f t="shared" si="0"/>
        <v>4</v>
      </c>
      <c r="K47" s="89" t="s">
        <v>131</v>
      </c>
      <c r="L47" s="87">
        <f t="shared" si="1"/>
        <v>14</v>
      </c>
      <c r="M47" s="89" t="s">
        <v>133</v>
      </c>
      <c r="N47" s="88">
        <f t="shared" si="2"/>
        <v>24</v>
      </c>
      <c r="O47" s="89" t="s">
        <v>138</v>
      </c>
      <c r="P47" s="87">
        <f t="shared" si="3"/>
        <v>4</v>
      </c>
      <c r="Q47" s="89" t="s">
        <v>37</v>
      </c>
      <c r="R47" s="87">
        <f t="shared" si="4"/>
        <v>14</v>
      </c>
      <c r="S47" s="89" t="str">
        <f>IF(歴代優勝校!B15="","",歴代優勝校!B15)</f>
        <v>星稜</v>
      </c>
      <c r="T47" s="87">
        <f t="shared" si="4"/>
        <v>24</v>
      </c>
      <c r="U47" s="89" t="str">
        <f ca="1">IF(歴代優勝校!B25="","",歴代優勝校!B25)</f>
        <v/>
      </c>
      <c r="V47" s="87">
        <f t="shared" si="4"/>
        <v>34</v>
      </c>
      <c r="W47" s="89" t="str">
        <f ca="1">IF(歴代優勝校!B35="","",歴代優勝校!B35)</f>
        <v/>
      </c>
    </row>
    <row r="48" spans="1:23" ht="14.25" customHeight="1" x14ac:dyDescent="0.15">
      <c r="J48" s="87">
        <f t="shared" si="0"/>
        <v>5</v>
      </c>
      <c r="K48" s="89" t="s">
        <v>24</v>
      </c>
      <c r="L48" s="87">
        <f t="shared" si="1"/>
        <v>15</v>
      </c>
      <c r="M48" s="89" t="s">
        <v>134</v>
      </c>
      <c r="N48" s="88">
        <f t="shared" si="2"/>
        <v>25</v>
      </c>
      <c r="O48" s="89" t="s">
        <v>138</v>
      </c>
      <c r="P48" s="87">
        <f t="shared" si="3"/>
        <v>5</v>
      </c>
      <c r="Q48" s="89" t="s">
        <v>2</v>
      </c>
      <c r="R48" s="87">
        <f t="shared" si="4"/>
        <v>15</v>
      </c>
      <c r="S48" s="89" t="str">
        <f>IF(歴代優勝校!B16="","",歴代優勝校!B16)</f>
        <v>星稜</v>
      </c>
      <c r="T48" s="87">
        <f t="shared" si="4"/>
        <v>25</v>
      </c>
      <c r="U48" s="89" t="str">
        <f ca="1">IF(歴代優勝校!B26="","",歴代優勝校!B26)</f>
        <v/>
      </c>
      <c r="V48" s="87">
        <f t="shared" si="4"/>
        <v>35</v>
      </c>
      <c r="W48" s="89" t="str">
        <f ca="1">IF(歴代優勝校!B36="","",歴代優勝校!B36)</f>
        <v/>
      </c>
    </row>
    <row r="49" spans="10:23" ht="14.25" customHeight="1" x14ac:dyDescent="0.15">
      <c r="J49" s="87">
        <f t="shared" si="0"/>
        <v>6</v>
      </c>
      <c r="K49" s="89" t="s">
        <v>24</v>
      </c>
      <c r="L49" s="87">
        <f t="shared" si="1"/>
        <v>16</v>
      </c>
      <c r="M49" s="89" t="s">
        <v>131</v>
      </c>
      <c r="N49" s="88">
        <f t="shared" si="2"/>
        <v>26</v>
      </c>
      <c r="O49" s="89" t="s">
        <v>24</v>
      </c>
      <c r="P49" s="87">
        <f t="shared" si="3"/>
        <v>6</v>
      </c>
      <c r="Q49" s="89" t="s">
        <v>26</v>
      </c>
      <c r="R49" s="87">
        <f t="shared" si="4"/>
        <v>16</v>
      </c>
      <c r="S49" s="89" t="str">
        <f>IF(歴代優勝校!B17="","",歴代優勝校!B17)</f>
        <v>星稜</v>
      </c>
      <c r="T49" s="87">
        <f t="shared" si="4"/>
        <v>26</v>
      </c>
      <c r="U49" s="89" t="str">
        <f ca="1">IF(歴代優勝校!B27="","",歴代優勝校!B27)</f>
        <v/>
      </c>
      <c r="V49" s="87">
        <f t="shared" si="4"/>
        <v>36</v>
      </c>
      <c r="W49" s="89" t="str">
        <f ca="1">IF(歴代優勝校!B37="","",歴代優勝校!B37)</f>
        <v/>
      </c>
    </row>
    <row r="50" spans="10:23" ht="14.25" customHeight="1" x14ac:dyDescent="0.15">
      <c r="J50" s="87">
        <f t="shared" si="0"/>
        <v>7</v>
      </c>
      <c r="K50" s="89" t="s">
        <v>36</v>
      </c>
      <c r="L50" s="87">
        <f t="shared" si="1"/>
        <v>17</v>
      </c>
      <c r="M50" s="89" t="s">
        <v>135</v>
      </c>
      <c r="N50" s="88">
        <f t="shared" si="2"/>
        <v>27</v>
      </c>
      <c r="O50" s="89" t="s">
        <v>128</v>
      </c>
      <c r="P50" s="87">
        <f t="shared" si="3"/>
        <v>7</v>
      </c>
      <c r="Q50" s="89" t="s">
        <v>25</v>
      </c>
      <c r="R50" s="87">
        <f t="shared" si="4"/>
        <v>17</v>
      </c>
      <c r="S50" s="89" t="str">
        <f>IF(歴代優勝校!B18="","",歴代優勝校!B18)</f>
        <v>星稜</v>
      </c>
      <c r="T50" s="87">
        <f t="shared" si="4"/>
        <v>27</v>
      </c>
      <c r="U50" s="89" t="str">
        <f ca="1">IF(歴代優勝校!B28="","",歴代優勝校!B28)</f>
        <v/>
      </c>
      <c r="V50" s="87">
        <f t="shared" si="4"/>
        <v>37</v>
      </c>
      <c r="W50" s="89" t="str">
        <f ca="1">IF(歴代優勝校!B38="","",歴代優勝校!B38)</f>
        <v/>
      </c>
    </row>
    <row r="51" spans="10:23" ht="14.25" customHeight="1" x14ac:dyDescent="0.15">
      <c r="J51" s="87">
        <f t="shared" si="0"/>
        <v>8</v>
      </c>
      <c r="K51" s="89" t="s">
        <v>132</v>
      </c>
      <c r="L51" s="87">
        <f t="shared" si="1"/>
        <v>18</v>
      </c>
      <c r="M51" s="89" t="s">
        <v>24</v>
      </c>
      <c r="N51" s="88">
        <f t="shared" si="2"/>
        <v>28</v>
      </c>
      <c r="O51" s="89" t="s">
        <v>2</v>
      </c>
      <c r="P51" s="87">
        <f t="shared" si="3"/>
        <v>8</v>
      </c>
      <c r="Q51" s="89" t="s">
        <v>2</v>
      </c>
      <c r="R51" s="87">
        <f t="shared" si="4"/>
        <v>18</v>
      </c>
      <c r="S51" s="89" t="str">
        <f>IF(歴代優勝校!B19="","",歴代優勝校!B19)</f>
        <v>星稜</v>
      </c>
      <c r="T51" s="87">
        <f t="shared" si="4"/>
        <v>28</v>
      </c>
      <c r="U51" s="89" t="str">
        <f ca="1">IF(歴代優勝校!B29="","",歴代優勝校!B29)</f>
        <v/>
      </c>
      <c r="V51" s="87">
        <f t="shared" si="4"/>
        <v>38</v>
      </c>
      <c r="W51" s="89" t="str">
        <f ca="1">IF(歴代優勝校!B39="","",歴代優勝校!B39)</f>
        <v/>
      </c>
    </row>
    <row r="52" spans="10:23" ht="14.25" customHeight="1" x14ac:dyDescent="0.15">
      <c r="J52" s="87">
        <f t="shared" si="0"/>
        <v>9</v>
      </c>
      <c r="K52" s="89" t="s">
        <v>132</v>
      </c>
      <c r="L52" s="87">
        <f t="shared" si="1"/>
        <v>19</v>
      </c>
      <c r="M52" s="89" t="s">
        <v>24</v>
      </c>
      <c r="N52" s="88">
        <f t="shared" si="2"/>
        <v>29</v>
      </c>
      <c r="O52" s="89" t="s">
        <v>130</v>
      </c>
      <c r="P52" s="87">
        <f t="shared" si="3"/>
        <v>9</v>
      </c>
      <c r="Q52" s="89" t="s">
        <v>2</v>
      </c>
      <c r="R52" s="87">
        <f t="shared" si="4"/>
        <v>19</v>
      </c>
      <c r="S52" s="89" t="str">
        <f>IF(歴代優勝校!B20="","",歴代優勝校!B20)</f>
        <v>星稜</v>
      </c>
      <c r="T52" s="87">
        <f t="shared" si="4"/>
        <v>29</v>
      </c>
      <c r="U52" s="89" t="str">
        <f ca="1">IF(歴代優勝校!B30="","",歴代優勝校!B30)</f>
        <v/>
      </c>
      <c r="V52" s="87">
        <f t="shared" si="4"/>
        <v>39</v>
      </c>
      <c r="W52" s="89" t="str">
        <f ca="1">IF(歴代優勝校!B40="","",歴代優勝校!B40)</f>
        <v/>
      </c>
    </row>
    <row r="53" spans="10:23" ht="14.25" customHeight="1" x14ac:dyDescent="0.15">
      <c r="J53" s="87">
        <f t="shared" si="0"/>
        <v>10</v>
      </c>
      <c r="K53" s="89" t="s">
        <v>36</v>
      </c>
      <c r="L53" s="87">
        <f t="shared" si="1"/>
        <v>20</v>
      </c>
      <c r="M53" s="87" t="s">
        <v>136</v>
      </c>
      <c r="N53" s="88"/>
      <c r="O53" s="89"/>
      <c r="P53" s="87">
        <f t="shared" si="3"/>
        <v>10</v>
      </c>
      <c r="Q53" s="89" t="s">
        <v>2</v>
      </c>
      <c r="R53" s="87">
        <f t="shared" si="4"/>
        <v>20</v>
      </c>
      <c r="S53" s="89" t="str">
        <f>IF(歴代優勝校!B21="","",歴代優勝校!B21)</f>
        <v>星稜</v>
      </c>
      <c r="T53" s="87">
        <f t="shared" si="4"/>
        <v>30</v>
      </c>
      <c r="U53" s="89" t="str">
        <f ca="1">IF(歴代優勝校!B31="","",歴代優勝校!B31)</f>
        <v/>
      </c>
      <c r="V53" s="87">
        <f t="shared" si="4"/>
        <v>40</v>
      </c>
      <c r="W53" s="89" t="str">
        <f ca="1">IF(歴代優勝校!B41="","",歴代優勝校!B41)</f>
        <v/>
      </c>
    </row>
    <row r="54" spans="10:23" ht="14.25" customHeight="1" x14ac:dyDescent="0.15">
      <c r="U54" s="82" t="str">
        <f ca="1">IF(歴代優勝校!B32="","",歴代優勝校!B32)</f>
        <v/>
      </c>
    </row>
  </sheetData>
  <mergeCells count="6">
    <mergeCell ref="E34:F34"/>
    <mergeCell ref="E39:F39"/>
    <mergeCell ref="E38:F38"/>
    <mergeCell ref="E37:F37"/>
    <mergeCell ref="E36:F36"/>
    <mergeCell ref="E35:F35"/>
  </mergeCells>
  <phoneticPr fontId="3"/>
  <printOptions horizontalCentered="1"/>
  <pageMargins left="0.39370078740157483" right="0.39370078740157483" top="0.59055118110236227" bottom="0.59055118110236227" header="0.51181102362204722" footer="0.51181102362204722"/>
  <pageSetup paperSize="9" scale="96" orientation="portrait" horizontalDpi="1200" verticalDpi="1200" r:id="rId1"/>
  <headerFooter alignWithMargins="0"/>
  <ignoredErrors>
    <ignoredError sqref="S47:S48 S49:S53 U44:U53 C5"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71"/>
  <sheetViews>
    <sheetView topLeftCell="A34" zoomScaleNormal="100" workbookViewId="0">
      <selection activeCell="C21" sqref="C21"/>
    </sheetView>
  </sheetViews>
  <sheetFormatPr defaultColWidth="9" defaultRowHeight="14.25" x14ac:dyDescent="0.15"/>
  <cols>
    <col min="1" max="1" width="11.25" style="61" customWidth="1"/>
    <col min="2" max="10" width="9" style="61" customWidth="1"/>
    <col min="11" max="11" width="6.625" style="60" bestFit="1" customWidth="1"/>
    <col min="12" max="12" width="4.125" style="61" bestFit="1" customWidth="1"/>
    <col min="13" max="13" width="4.5" style="61" bestFit="1" customWidth="1"/>
    <col min="14" max="14" width="3.625" style="61" bestFit="1" customWidth="1"/>
    <col min="15" max="15" width="33.875" style="61" bestFit="1" customWidth="1"/>
    <col min="16" max="16384" width="9" style="61"/>
  </cols>
  <sheetData>
    <row r="1" spans="1:10" ht="19.5" x14ac:dyDescent="0.15">
      <c r="A1" s="235" t="str">
        <f ca="1">"令和"&amp;IF(YEAR(NOW())=2019,"元",YEAR(NOW())-2018)&amp;"年度 第"&amp;YEAR(NOW())-2000&amp;"回 石川県中学校新人サッカー大会 実施要項（案）"</f>
        <v>令和5年度 第23回 石川県中学校新人サッカー大会 実施要項（案）</v>
      </c>
      <c r="B1" s="235"/>
      <c r="C1" s="235"/>
      <c r="D1" s="235"/>
      <c r="E1" s="235"/>
      <c r="F1" s="235"/>
      <c r="G1" s="235"/>
      <c r="H1" s="235"/>
      <c r="I1" s="235"/>
      <c r="J1" s="235"/>
    </row>
    <row r="2" spans="1:10" ht="15.75" customHeight="1" x14ac:dyDescent="0.15">
      <c r="A2" s="62"/>
    </row>
    <row r="3" spans="1:10" ht="15.75" customHeight="1" x14ac:dyDescent="0.15">
      <c r="A3" s="63" t="s">
        <v>219</v>
      </c>
      <c r="B3" s="61" t="s">
        <v>241</v>
      </c>
      <c r="E3" s="64" t="s">
        <v>217</v>
      </c>
    </row>
    <row r="4" spans="1:10" ht="15.75" customHeight="1" x14ac:dyDescent="0.15">
      <c r="A4" s="63"/>
      <c r="E4" s="64"/>
    </row>
    <row r="5" spans="1:10" ht="15.75" customHeight="1" x14ac:dyDescent="0.15">
      <c r="A5" s="63" t="s">
        <v>220</v>
      </c>
      <c r="B5" s="61" t="s">
        <v>47</v>
      </c>
      <c r="E5" s="64" t="s">
        <v>239</v>
      </c>
    </row>
    <row r="6" spans="1:10" ht="15.75" customHeight="1" x14ac:dyDescent="0.15">
      <c r="A6" s="63"/>
      <c r="E6" s="64"/>
    </row>
    <row r="7" spans="1:10" ht="15.75" customHeight="1" x14ac:dyDescent="0.15">
      <c r="A7" s="63" t="s">
        <v>221</v>
      </c>
      <c r="B7" s="61" t="s">
        <v>48</v>
      </c>
      <c r="E7" s="64" t="s">
        <v>50</v>
      </c>
    </row>
    <row r="8" spans="1:10" ht="15.75" customHeight="1" x14ac:dyDescent="0.15">
      <c r="A8" s="63"/>
      <c r="E8" s="64"/>
    </row>
    <row r="9" spans="1:10" ht="15.75" customHeight="1" x14ac:dyDescent="0.15">
      <c r="A9" s="63" t="s">
        <v>222</v>
      </c>
      <c r="B9" s="61" t="s">
        <v>218</v>
      </c>
      <c r="E9" s="64" t="s">
        <v>235</v>
      </c>
    </row>
    <row r="10" spans="1:10" ht="15.75" customHeight="1" x14ac:dyDescent="0.15">
      <c r="A10" s="63" t="s">
        <v>223</v>
      </c>
      <c r="B10" s="61" t="s">
        <v>49</v>
      </c>
      <c r="E10" s="64" t="s">
        <v>224</v>
      </c>
    </row>
    <row r="11" spans="1:10" ht="15.75" customHeight="1" x14ac:dyDescent="0.15">
      <c r="A11" s="63"/>
    </row>
    <row r="12" spans="1:10" ht="15.75" customHeight="1" x14ac:dyDescent="0.15">
      <c r="A12" s="63" t="s">
        <v>225</v>
      </c>
      <c r="B12" s="61" t="s">
        <v>518</v>
      </c>
      <c r="E12" s="64" t="s">
        <v>519</v>
      </c>
      <c r="H12" s="61" t="s">
        <v>545</v>
      </c>
    </row>
    <row r="13" spans="1:10" ht="15.75" customHeight="1" x14ac:dyDescent="0.15">
      <c r="A13" s="63"/>
    </row>
    <row r="14" spans="1:10" ht="15.75" customHeight="1" x14ac:dyDescent="0.15">
      <c r="A14" s="63" t="s">
        <v>226</v>
      </c>
      <c r="B14" s="61" t="str">
        <f ca="1">プロ表紙!B40&amp;"10月"&amp;DAY(プロ表紙!C40)&amp;"日"&amp;プロ表紙!D40</f>
        <v>令和5年10月7日(土)</v>
      </c>
      <c r="E14" s="61" t="s">
        <v>216</v>
      </c>
      <c r="F14" s="71">
        <v>0.375</v>
      </c>
      <c r="G14" s="61" t="s">
        <v>520</v>
      </c>
      <c r="I14" s="177"/>
      <c r="J14" s="177"/>
    </row>
    <row r="15" spans="1:10" ht="15.75" customHeight="1" x14ac:dyDescent="0.15">
      <c r="A15" s="62"/>
      <c r="F15" s="72"/>
      <c r="G15" s="63" t="s">
        <v>521</v>
      </c>
    </row>
    <row r="16" spans="1:10" ht="15.75" customHeight="1" x14ac:dyDescent="0.15">
      <c r="A16" s="62"/>
      <c r="B16" s="63" t="str">
        <f ca="1">プロ表紙!B41&amp;"10月"&amp;DAY(プロ表紙!C41)&amp;"日"&amp;プロ表紙!D41</f>
        <v>令和5年10月8日(日)</v>
      </c>
      <c r="C16" s="63"/>
      <c r="E16" s="61" t="s">
        <v>216</v>
      </c>
      <c r="F16" s="71">
        <v>0.375</v>
      </c>
      <c r="G16" s="61" t="s">
        <v>544</v>
      </c>
    </row>
    <row r="17" spans="1:10" ht="15.75" hidden="1" customHeight="1" x14ac:dyDescent="0.15">
      <c r="A17" s="62"/>
      <c r="B17" s="63"/>
      <c r="C17" s="63"/>
      <c r="F17" s="71"/>
      <c r="G17" s="63"/>
    </row>
    <row r="18" spans="1:10" ht="15.75" customHeight="1" x14ac:dyDescent="0.15">
      <c r="A18" s="62"/>
      <c r="B18" s="63" t="str">
        <f ca="1">プロ表紙!B42&amp;"10月"&amp;DAY(プロ表紙!C42)&amp;"日"&amp;プロ表紙!D42</f>
        <v>令和5年10月9日(月)</v>
      </c>
      <c r="C18" s="63"/>
      <c r="E18" s="61" t="s">
        <v>216</v>
      </c>
      <c r="F18" s="71">
        <v>0.375</v>
      </c>
      <c r="G18" s="61" t="s">
        <v>522</v>
      </c>
    </row>
    <row r="19" spans="1:10" ht="15.75" customHeight="1" x14ac:dyDescent="0.15">
      <c r="A19" s="62" t="s">
        <v>207</v>
      </c>
      <c r="E19" s="61" t="s">
        <v>430</v>
      </c>
      <c r="F19" s="71">
        <v>0.64583333333333337</v>
      </c>
      <c r="G19" s="61" t="s">
        <v>523</v>
      </c>
      <c r="H19" s="177"/>
      <c r="I19" s="177"/>
    </row>
    <row r="20" spans="1:10" ht="15.75" customHeight="1" x14ac:dyDescent="0.15">
      <c r="A20" s="62"/>
      <c r="F20" s="178" t="s">
        <v>53</v>
      </c>
      <c r="G20" s="177"/>
      <c r="H20" s="177"/>
      <c r="I20" s="177"/>
    </row>
    <row r="21" spans="1:10" ht="15.75" customHeight="1" x14ac:dyDescent="0.15"/>
    <row r="22" spans="1:10" ht="15.75" customHeight="1" x14ac:dyDescent="0.15">
      <c r="A22" s="63" t="s">
        <v>208</v>
      </c>
      <c r="B22" s="63"/>
    </row>
    <row r="23" spans="1:10" ht="15.75" customHeight="1" x14ac:dyDescent="0.15">
      <c r="A23" s="64" t="s">
        <v>243</v>
      </c>
      <c r="B23" s="63"/>
    </row>
    <row r="24" spans="1:10" ht="15.75" customHeight="1" x14ac:dyDescent="0.15">
      <c r="A24" s="232" t="str">
        <f ca="1">"　(公財)日本サッカー協会制定の「サッカー競技規則"&amp;YEAR(NOW())-1&amp;"/"&amp;YEAR(NOW())&amp;"」及び本大会要項による。"</f>
        <v>　(公財)日本サッカー協会制定の「サッカー競技規則2022/2023」及び本大会要項による。</v>
      </c>
      <c r="B24" s="232"/>
      <c r="C24" s="232"/>
      <c r="D24" s="232"/>
      <c r="E24" s="232"/>
      <c r="F24" s="232"/>
      <c r="G24" s="232"/>
      <c r="H24" s="232"/>
      <c r="I24" s="232"/>
      <c r="J24" s="232"/>
    </row>
    <row r="25" spans="1:10" ht="15.75" customHeight="1" x14ac:dyDescent="0.15">
      <c r="A25" s="64" t="s">
        <v>244</v>
      </c>
      <c r="B25" s="63"/>
      <c r="C25" s="63"/>
      <c r="D25" s="63"/>
      <c r="E25" s="63"/>
      <c r="F25" s="63"/>
      <c r="G25" s="63"/>
      <c r="H25" s="63"/>
      <c r="I25" s="63"/>
      <c r="J25" s="63"/>
    </row>
    <row r="26" spans="1:10" ht="31.5" customHeight="1" x14ac:dyDescent="0.15">
      <c r="A26" s="232" t="s">
        <v>242</v>
      </c>
      <c r="B26" s="232"/>
      <c r="C26" s="232"/>
      <c r="D26" s="232"/>
      <c r="E26" s="232"/>
      <c r="F26" s="232"/>
      <c r="G26" s="232"/>
      <c r="H26" s="232"/>
      <c r="I26" s="232"/>
      <c r="J26" s="232"/>
    </row>
    <row r="27" spans="1:10" ht="15.75" customHeight="1" x14ac:dyDescent="0.15">
      <c r="A27" s="64" t="s">
        <v>245</v>
      </c>
      <c r="B27" s="63"/>
      <c r="C27" s="63"/>
      <c r="D27" s="63"/>
      <c r="E27" s="63"/>
      <c r="F27" s="63"/>
      <c r="G27" s="63"/>
      <c r="H27" s="63"/>
      <c r="I27" s="63"/>
      <c r="J27" s="63"/>
    </row>
    <row r="28" spans="1:10" ht="31.5" customHeight="1" x14ac:dyDescent="0.15">
      <c r="A28" s="232" t="s">
        <v>262</v>
      </c>
      <c r="B28" s="232"/>
      <c r="C28" s="232"/>
      <c r="D28" s="232"/>
      <c r="E28" s="232"/>
      <c r="F28" s="232"/>
      <c r="G28" s="232"/>
      <c r="H28" s="232"/>
      <c r="I28" s="232"/>
      <c r="J28" s="232"/>
    </row>
    <row r="29" spans="1:10" ht="15.75" customHeight="1" x14ac:dyDescent="0.15">
      <c r="A29" s="64" t="s">
        <v>246</v>
      </c>
      <c r="B29" s="63"/>
      <c r="C29" s="63"/>
      <c r="D29" s="63"/>
      <c r="E29" s="63"/>
      <c r="F29" s="63"/>
      <c r="G29" s="63"/>
      <c r="H29" s="63"/>
      <c r="I29" s="63"/>
      <c r="J29" s="63"/>
    </row>
    <row r="30" spans="1:10" ht="78.75" customHeight="1" x14ac:dyDescent="0.15">
      <c r="A30" s="232" t="s">
        <v>227</v>
      </c>
      <c r="B30" s="232"/>
      <c r="C30" s="232"/>
      <c r="D30" s="232"/>
      <c r="E30" s="232"/>
      <c r="F30" s="232"/>
      <c r="G30" s="232"/>
      <c r="H30" s="232"/>
      <c r="I30" s="232"/>
      <c r="J30" s="232"/>
    </row>
    <row r="31" spans="1:10" ht="15.75" customHeight="1" x14ac:dyDescent="0.15">
      <c r="A31" s="64" t="s">
        <v>247</v>
      </c>
      <c r="B31" s="63"/>
      <c r="C31" s="63"/>
      <c r="D31" s="63"/>
      <c r="E31" s="63"/>
      <c r="F31" s="63"/>
      <c r="G31" s="63"/>
      <c r="H31" s="63"/>
      <c r="I31" s="63"/>
      <c r="J31" s="63"/>
    </row>
    <row r="32" spans="1:10" ht="15.75" customHeight="1" x14ac:dyDescent="0.15">
      <c r="A32" s="232" t="s">
        <v>261</v>
      </c>
      <c r="B32" s="232"/>
      <c r="C32" s="232"/>
      <c r="D32" s="232"/>
      <c r="E32" s="232"/>
      <c r="F32" s="232"/>
      <c r="G32" s="232"/>
      <c r="H32" s="232"/>
      <c r="I32" s="232"/>
      <c r="J32" s="232"/>
    </row>
    <row r="33" spans="1:10" ht="15.75" customHeight="1" x14ac:dyDescent="0.15">
      <c r="A33" s="64" t="s">
        <v>248</v>
      </c>
      <c r="B33" s="63"/>
      <c r="C33" s="63"/>
      <c r="D33" s="63"/>
      <c r="E33" s="63"/>
      <c r="F33" s="63"/>
      <c r="G33" s="63"/>
      <c r="H33" s="63"/>
      <c r="I33" s="63"/>
      <c r="J33" s="63"/>
    </row>
    <row r="34" spans="1:10" ht="190.5" customHeight="1" x14ac:dyDescent="0.15">
      <c r="A34" s="232" t="s">
        <v>444</v>
      </c>
      <c r="B34" s="232"/>
      <c r="C34" s="232"/>
      <c r="D34" s="232"/>
      <c r="E34" s="232"/>
      <c r="F34" s="232"/>
      <c r="G34" s="232"/>
      <c r="H34" s="232"/>
      <c r="I34" s="232"/>
      <c r="J34" s="232"/>
    </row>
    <row r="35" spans="1:10" ht="15" customHeight="1" x14ac:dyDescent="0.15">
      <c r="A35" s="73"/>
      <c r="B35" s="73"/>
      <c r="C35" s="73"/>
      <c r="D35" s="73"/>
      <c r="E35" s="73"/>
      <c r="F35" s="73"/>
      <c r="G35" s="73"/>
      <c r="H35" s="73"/>
      <c r="I35" s="73"/>
      <c r="J35" s="73"/>
    </row>
    <row r="36" spans="1:10" ht="15.75" customHeight="1" x14ac:dyDescent="0.15">
      <c r="A36" s="64" t="s">
        <v>249</v>
      </c>
      <c r="B36" s="63"/>
      <c r="C36" s="63"/>
      <c r="D36" s="63"/>
      <c r="E36" s="63"/>
      <c r="F36" s="63"/>
      <c r="G36" s="63"/>
      <c r="H36" s="63"/>
      <c r="I36" s="63"/>
      <c r="J36" s="63"/>
    </row>
    <row r="37" spans="1:10" ht="44.25" customHeight="1" x14ac:dyDescent="0.15">
      <c r="A37" s="232" t="str">
        <f>"　出場選手(エントリー)の変更は、申し込み時に使用したExcelファイルを用い、大会前日の10/"&amp;DAY(プロ表紙!C40)-1&amp;"(金)17:00までに山本(北星中)宛にE-mailで送ること。なお、変更箇所が分かるように表示しておくこと。"</f>
        <v>　出場選手(エントリー)の変更は、申し込み時に使用したExcelファイルを用い、大会前日の10/6(金)17:00までに山本(北星中)宛にE-mailで送ること。なお、変更箇所が分かるように表示しておくこと。</v>
      </c>
      <c r="B37" s="232"/>
      <c r="C37" s="232"/>
      <c r="D37" s="232"/>
      <c r="E37" s="232"/>
      <c r="F37" s="232"/>
      <c r="G37" s="232"/>
      <c r="H37" s="232"/>
      <c r="I37" s="232"/>
      <c r="J37" s="232"/>
    </row>
    <row r="38" spans="1:10" ht="15.75" customHeight="1" x14ac:dyDescent="0.15">
      <c r="A38" s="65"/>
      <c r="B38" s="65" t="s">
        <v>370</v>
      </c>
      <c r="C38" s="63"/>
      <c r="D38" s="63"/>
      <c r="E38" s="63"/>
      <c r="F38" s="63"/>
      <c r="G38" s="63"/>
      <c r="H38" s="63"/>
      <c r="I38" s="63"/>
      <c r="J38" s="63"/>
    </row>
    <row r="39" spans="1:10" ht="15.75" customHeight="1" x14ac:dyDescent="0.15">
      <c r="A39" s="65"/>
      <c r="B39" s="65"/>
      <c r="C39" s="63"/>
      <c r="D39" s="63"/>
      <c r="E39" s="63"/>
      <c r="F39" s="63"/>
      <c r="G39" s="63"/>
      <c r="H39" s="63"/>
      <c r="I39" s="63"/>
      <c r="J39" s="63"/>
    </row>
    <row r="40" spans="1:10" ht="15.75" customHeight="1" x14ac:dyDescent="0.15">
      <c r="A40" s="63" t="s">
        <v>209</v>
      </c>
      <c r="B40" s="63"/>
      <c r="C40" s="63"/>
      <c r="D40" s="63"/>
      <c r="E40" s="63"/>
      <c r="F40" s="63"/>
      <c r="G40" s="63"/>
      <c r="H40" s="63"/>
      <c r="I40" s="63"/>
      <c r="J40" s="63"/>
    </row>
    <row r="41" spans="1:10" ht="15.75" customHeight="1" x14ac:dyDescent="0.15">
      <c r="A41" s="64" t="s">
        <v>250</v>
      </c>
      <c r="B41" s="63"/>
      <c r="C41" s="63"/>
      <c r="D41" s="63"/>
      <c r="E41" s="63"/>
      <c r="F41" s="63"/>
      <c r="G41" s="63"/>
      <c r="H41" s="63"/>
      <c r="I41" s="63"/>
      <c r="J41" s="63"/>
    </row>
    <row r="42" spans="1:10" ht="15.75" customHeight="1" x14ac:dyDescent="0.15">
      <c r="A42" s="232" t="s">
        <v>228</v>
      </c>
      <c r="B42" s="232"/>
      <c r="C42" s="232"/>
      <c r="D42" s="232"/>
      <c r="E42" s="232"/>
      <c r="F42" s="232"/>
      <c r="G42" s="232"/>
      <c r="H42" s="232"/>
      <c r="I42" s="232"/>
      <c r="J42" s="232"/>
    </row>
    <row r="43" spans="1:10" ht="15.75" customHeight="1" x14ac:dyDescent="0.15">
      <c r="A43" s="64" t="s">
        <v>251</v>
      </c>
      <c r="B43" s="63"/>
      <c r="C43" s="63"/>
      <c r="D43" s="63"/>
      <c r="E43" s="63"/>
      <c r="F43" s="63"/>
      <c r="G43" s="63"/>
      <c r="H43" s="63"/>
      <c r="I43" s="63"/>
      <c r="J43" s="63"/>
    </row>
    <row r="44" spans="1:10" ht="47.25" customHeight="1" x14ac:dyDescent="0.15">
      <c r="A44" s="232" t="s">
        <v>252</v>
      </c>
      <c r="B44" s="232"/>
      <c r="C44" s="232"/>
      <c r="D44" s="232"/>
      <c r="E44" s="232"/>
      <c r="F44" s="232"/>
      <c r="G44" s="232"/>
      <c r="H44" s="232"/>
      <c r="I44" s="232"/>
      <c r="J44" s="232"/>
    </row>
    <row r="45" spans="1:10" ht="15.75" customHeight="1" x14ac:dyDescent="0.15">
      <c r="A45" s="63"/>
      <c r="B45" s="63"/>
      <c r="C45" s="63"/>
      <c r="D45" s="63"/>
      <c r="E45" s="63"/>
      <c r="F45" s="63"/>
      <c r="G45" s="63"/>
      <c r="H45" s="63"/>
      <c r="I45" s="63"/>
      <c r="J45" s="63"/>
    </row>
    <row r="46" spans="1:10" ht="15.75" customHeight="1" x14ac:dyDescent="0.15">
      <c r="A46" s="63" t="s">
        <v>210</v>
      </c>
      <c r="B46" s="63"/>
      <c r="C46" s="63"/>
      <c r="D46" s="63"/>
      <c r="E46" s="63"/>
      <c r="F46" s="63"/>
      <c r="G46" s="63"/>
      <c r="H46" s="63"/>
      <c r="I46" s="63"/>
      <c r="J46" s="63"/>
    </row>
    <row r="47" spans="1:10" ht="15.75" customHeight="1" x14ac:dyDescent="0.15">
      <c r="A47" s="64" t="s">
        <v>253</v>
      </c>
      <c r="B47" s="63"/>
      <c r="C47" s="63"/>
      <c r="D47" s="63"/>
      <c r="E47" s="63"/>
      <c r="F47" s="63"/>
      <c r="G47" s="63"/>
      <c r="H47" s="63"/>
      <c r="I47" s="63"/>
      <c r="J47" s="63"/>
    </row>
    <row r="48" spans="1:10" ht="31.5" customHeight="1" x14ac:dyDescent="0.15">
      <c r="A48" s="232" t="s">
        <v>263</v>
      </c>
      <c r="B48" s="232"/>
      <c r="C48" s="232"/>
      <c r="D48" s="232"/>
      <c r="E48" s="232"/>
      <c r="F48" s="232"/>
      <c r="G48" s="232"/>
      <c r="H48" s="232"/>
      <c r="I48" s="232"/>
      <c r="J48" s="232"/>
    </row>
    <row r="49" spans="1:15" ht="15.75" customHeight="1" x14ac:dyDescent="0.15">
      <c r="A49" s="64"/>
      <c r="B49" s="179" t="s">
        <v>528</v>
      </c>
      <c r="C49" s="64"/>
      <c r="D49" s="179" t="s">
        <v>524</v>
      </c>
      <c r="E49" s="64"/>
      <c r="F49" s="179" t="s">
        <v>529</v>
      </c>
      <c r="G49" s="64"/>
      <c r="H49" s="64" t="s">
        <v>254</v>
      </c>
      <c r="I49" s="63"/>
      <c r="J49" s="63"/>
    </row>
    <row r="50" spans="1:15" ht="15.75" customHeight="1" x14ac:dyDescent="0.15">
      <c r="A50" s="64"/>
      <c r="B50" s="64" t="s">
        <v>255</v>
      </c>
      <c r="C50" s="64"/>
      <c r="D50" s="64" t="s">
        <v>256</v>
      </c>
      <c r="E50" s="64"/>
      <c r="F50" s="64"/>
      <c r="G50" s="64"/>
      <c r="H50" s="64"/>
      <c r="I50" s="63"/>
      <c r="J50" s="63"/>
    </row>
    <row r="51" spans="1:15" ht="15.75" customHeight="1" x14ac:dyDescent="0.15">
      <c r="A51" s="64" t="s">
        <v>257</v>
      </c>
      <c r="B51" s="63"/>
      <c r="C51" s="63"/>
      <c r="D51" s="63"/>
      <c r="E51" s="63"/>
      <c r="F51" s="63"/>
      <c r="G51" s="63"/>
      <c r="H51" s="63"/>
      <c r="I51" s="63"/>
      <c r="J51" s="63"/>
    </row>
    <row r="52" spans="1:15" ht="15.75" customHeight="1" x14ac:dyDescent="0.15">
      <c r="A52" s="232" t="s">
        <v>229</v>
      </c>
      <c r="B52" s="232"/>
      <c r="C52" s="232"/>
      <c r="D52" s="232"/>
      <c r="E52" s="232"/>
      <c r="F52" s="232"/>
      <c r="G52" s="232"/>
      <c r="H52" s="232"/>
      <c r="I52" s="232"/>
      <c r="J52" s="232"/>
    </row>
    <row r="53" spans="1:15" ht="15.75" customHeight="1" x14ac:dyDescent="0.15">
      <c r="A53" s="64" t="s">
        <v>258</v>
      </c>
      <c r="B53" s="63"/>
      <c r="C53" s="63"/>
      <c r="D53" s="63"/>
      <c r="E53" s="63"/>
      <c r="F53" s="63"/>
      <c r="G53" s="63"/>
      <c r="H53" s="63"/>
      <c r="I53" s="63"/>
      <c r="J53" s="63"/>
    </row>
    <row r="54" spans="1:15" ht="46.5" customHeight="1" x14ac:dyDescent="0.15">
      <c r="A54" s="232" t="s">
        <v>526</v>
      </c>
      <c r="B54" s="232"/>
      <c r="C54" s="232"/>
      <c r="D54" s="232"/>
      <c r="E54" s="232"/>
      <c r="F54" s="232"/>
      <c r="G54" s="232"/>
      <c r="H54" s="232"/>
      <c r="I54" s="232"/>
      <c r="J54" s="232"/>
    </row>
    <row r="55" spans="1:15" ht="15.75" customHeight="1" x14ac:dyDescent="0.15">
      <c r="A55" s="64" t="s">
        <v>259</v>
      </c>
      <c r="B55" s="63"/>
      <c r="C55" s="63"/>
      <c r="D55" s="63"/>
      <c r="E55" s="63"/>
      <c r="F55" s="63"/>
      <c r="G55" s="63"/>
      <c r="H55" s="63"/>
      <c r="I55" s="63"/>
      <c r="J55" s="63"/>
    </row>
    <row r="56" spans="1:15" ht="42.75" customHeight="1" x14ac:dyDescent="0.15">
      <c r="A56" s="232" t="s">
        <v>260</v>
      </c>
      <c r="B56" s="232"/>
      <c r="C56" s="232"/>
      <c r="D56" s="232"/>
      <c r="E56" s="232"/>
      <c r="F56" s="232"/>
      <c r="G56" s="232"/>
      <c r="H56" s="232"/>
      <c r="I56" s="232"/>
      <c r="J56" s="232"/>
    </row>
    <row r="57" spans="1:15" ht="15.75" customHeight="1" x14ac:dyDescent="0.15">
      <c r="A57" s="63"/>
      <c r="B57" s="66"/>
      <c r="C57" s="66"/>
      <c r="D57" s="66"/>
      <c r="E57" s="66"/>
      <c r="F57" s="66"/>
      <c r="G57" s="66"/>
      <c r="H57" s="66"/>
      <c r="I57" s="66"/>
      <c r="J57" s="66"/>
    </row>
    <row r="58" spans="1:15" ht="15.75" customHeight="1" x14ac:dyDescent="0.15">
      <c r="A58" s="63" t="s">
        <v>230</v>
      </c>
      <c r="B58" s="74"/>
      <c r="C58" s="74"/>
      <c r="D58" s="74"/>
      <c r="E58" s="74"/>
      <c r="F58" s="74"/>
      <c r="G58" s="74"/>
      <c r="H58" s="74"/>
      <c r="I58" s="74"/>
      <c r="J58" s="74"/>
    </row>
    <row r="59" spans="1:15" ht="15.75" customHeight="1" x14ac:dyDescent="0.15">
      <c r="A59" s="233" t="s">
        <v>231</v>
      </c>
      <c r="B59" s="233"/>
      <c r="C59" s="233"/>
      <c r="D59" s="233"/>
      <c r="E59" s="233"/>
      <c r="F59" s="233"/>
      <c r="G59" s="233"/>
      <c r="H59" s="233"/>
      <c r="I59" s="233"/>
      <c r="J59" s="233"/>
    </row>
    <row r="60" spans="1:15" ht="15.75" customHeight="1" x14ac:dyDescent="0.15">
      <c r="A60" s="63"/>
      <c r="B60" s="63"/>
      <c r="C60" s="63"/>
      <c r="D60" s="63"/>
      <c r="E60" s="63"/>
      <c r="F60" s="63"/>
      <c r="G60" s="63"/>
      <c r="H60" s="63"/>
      <c r="I60" s="63"/>
      <c r="J60" s="63"/>
    </row>
    <row r="61" spans="1:15" ht="15.75" customHeight="1" x14ac:dyDescent="0.15">
      <c r="A61" s="63" t="s">
        <v>232</v>
      </c>
      <c r="B61" s="63"/>
      <c r="C61" s="63"/>
      <c r="D61" s="63"/>
      <c r="E61" s="63"/>
      <c r="F61" s="63"/>
      <c r="G61" s="63"/>
      <c r="H61" s="63"/>
      <c r="I61" s="63"/>
      <c r="J61" s="63"/>
    </row>
    <row r="62" spans="1:15" ht="75.75" customHeight="1" x14ac:dyDescent="0.15">
      <c r="A62" s="232" t="s">
        <v>525</v>
      </c>
      <c r="B62" s="232"/>
      <c r="C62" s="232"/>
      <c r="D62" s="232"/>
      <c r="E62" s="232"/>
      <c r="F62" s="232"/>
      <c r="G62" s="232"/>
      <c r="H62" s="232"/>
      <c r="I62" s="232"/>
      <c r="J62" s="232"/>
      <c r="K62" s="67">
        <f ca="1">YEAR(NOW())</f>
        <v>2023</v>
      </c>
      <c r="L62" s="68">
        <v>9</v>
      </c>
      <c r="M62" s="68">
        <v>26</v>
      </c>
      <c r="N62" s="68" t="str">
        <f ca="1">CHOOSE(WEEKDAY(DATE(K62,L62,M62)),"日","月","火","水","木","金","土")</f>
        <v>火</v>
      </c>
      <c r="O62" s="69" t="str">
        <f ca="1">L62&amp;"月"&amp;M62&amp;"日("&amp;N62&amp;")締め切り厳守"</f>
        <v>9月26日(火)締め切り厳守</v>
      </c>
    </row>
    <row r="63" spans="1:15" ht="19.5" x14ac:dyDescent="0.15">
      <c r="A63" s="73"/>
      <c r="B63" s="234" t="str">
        <f ca="1">O62</f>
        <v>9月26日(火)締め切り厳守</v>
      </c>
      <c r="C63" s="234"/>
      <c r="D63" s="234"/>
      <c r="E63" s="234"/>
      <c r="F63" s="234"/>
      <c r="G63" s="234"/>
      <c r="H63" s="234"/>
      <c r="I63" s="234"/>
      <c r="J63" s="234"/>
      <c r="K63" s="67"/>
      <c r="L63" s="68"/>
      <c r="M63" s="68"/>
      <c r="N63" s="68"/>
      <c r="O63" s="69"/>
    </row>
    <row r="64" spans="1:15" ht="15.75" customHeight="1" x14ac:dyDescent="0.2">
      <c r="A64" s="63"/>
      <c r="B64" s="70" t="s">
        <v>240</v>
      </c>
      <c r="C64" s="63"/>
      <c r="D64" s="63"/>
      <c r="E64" s="63"/>
      <c r="F64" s="63"/>
      <c r="G64" s="63"/>
      <c r="H64" s="63"/>
      <c r="I64" s="63"/>
      <c r="J64" s="63"/>
      <c r="K64" s="67"/>
    </row>
    <row r="65" spans="1:15" ht="15.75" customHeight="1" x14ac:dyDescent="0.2">
      <c r="A65" s="63"/>
      <c r="B65" s="70" t="s">
        <v>371</v>
      </c>
      <c r="C65" s="63"/>
      <c r="D65" s="63"/>
      <c r="E65" s="63"/>
      <c r="F65" s="63"/>
      <c r="G65" s="63"/>
      <c r="H65" s="63"/>
      <c r="I65" s="63"/>
      <c r="J65" s="63"/>
      <c r="K65" s="67"/>
    </row>
    <row r="66" spans="1:15" ht="15.75" customHeight="1" x14ac:dyDescent="0.15">
      <c r="A66" s="63"/>
      <c r="B66" s="63"/>
      <c r="C66" s="63"/>
      <c r="D66" s="63"/>
      <c r="E66" s="63"/>
      <c r="F66" s="63"/>
      <c r="G66" s="63"/>
      <c r="H66" s="63"/>
      <c r="I66" s="63"/>
      <c r="J66" s="63"/>
      <c r="K66" s="67"/>
    </row>
    <row r="67" spans="1:15" ht="15.75" customHeight="1" x14ac:dyDescent="0.15">
      <c r="A67" s="63" t="s">
        <v>233</v>
      </c>
    </row>
    <row r="68" spans="1:15" ht="15.75" customHeight="1" x14ac:dyDescent="0.15">
      <c r="A68" s="233" t="str">
        <f ca="1">"　抽選会は"&amp;L68&amp;"月"&amp;M68&amp;"日("&amp;N68&amp;")の15時30分より"&amp;O68&amp;"で行う。"</f>
        <v>　抽選会は9月28日(木)の15時30分より白山市立北星中学校で行う。</v>
      </c>
      <c r="B68" s="233"/>
      <c r="C68" s="233"/>
      <c r="D68" s="233"/>
      <c r="E68" s="233"/>
      <c r="F68" s="233"/>
      <c r="G68" s="233"/>
      <c r="H68" s="233"/>
      <c r="I68" s="233"/>
      <c r="J68" s="233"/>
      <c r="K68" s="67">
        <f ca="1">YEAR(NOW())</f>
        <v>2023</v>
      </c>
      <c r="L68" s="61">
        <v>9</v>
      </c>
      <c r="M68" s="61">
        <v>28</v>
      </c>
      <c r="N68" s="61" t="str">
        <f ca="1">CHOOSE(WEEKDAY(DATE(K68,L68,M68)),"日","月","火","水","木","金","土")</f>
        <v>木</v>
      </c>
      <c r="O68" s="61" t="s">
        <v>419</v>
      </c>
    </row>
    <row r="69" spans="1:15" ht="15.75" customHeight="1" x14ac:dyDescent="0.15">
      <c r="A69" s="63"/>
      <c r="B69" s="63"/>
      <c r="C69" s="63"/>
      <c r="D69" s="63"/>
      <c r="E69" s="63"/>
      <c r="F69" s="63"/>
      <c r="G69" s="63"/>
      <c r="H69" s="63"/>
      <c r="I69" s="63"/>
      <c r="J69" s="63"/>
    </row>
    <row r="70" spans="1:15" ht="15.75" customHeight="1" x14ac:dyDescent="0.15">
      <c r="A70" s="63" t="s">
        <v>234</v>
      </c>
      <c r="B70" s="63"/>
      <c r="C70" s="63"/>
      <c r="D70" s="63"/>
      <c r="E70" s="63"/>
      <c r="F70" s="63"/>
      <c r="G70" s="63"/>
      <c r="H70" s="63"/>
      <c r="I70" s="63"/>
      <c r="J70" s="63"/>
    </row>
    <row r="71" spans="1:15" ht="31.5" customHeight="1" x14ac:dyDescent="0.15">
      <c r="A71" s="232" t="s">
        <v>211</v>
      </c>
      <c r="B71" s="232"/>
      <c r="C71" s="232"/>
      <c r="D71" s="232"/>
      <c r="E71" s="232"/>
      <c r="F71" s="232"/>
      <c r="G71" s="232"/>
      <c r="H71" s="232"/>
      <c r="I71" s="232"/>
      <c r="J71" s="232"/>
    </row>
  </sheetData>
  <mergeCells count="19">
    <mergeCell ref="A24:J24"/>
    <mergeCell ref="A59:J59"/>
    <mergeCell ref="A1:J1"/>
    <mergeCell ref="A56:J56"/>
    <mergeCell ref="A54:J54"/>
    <mergeCell ref="A48:J48"/>
    <mergeCell ref="A52:J52"/>
    <mergeCell ref="A44:J44"/>
    <mergeCell ref="A42:J42"/>
    <mergeCell ref="A37:J37"/>
    <mergeCell ref="A34:J34"/>
    <mergeCell ref="A28:J28"/>
    <mergeCell ref="A26:J26"/>
    <mergeCell ref="A71:J71"/>
    <mergeCell ref="A62:J62"/>
    <mergeCell ref="A68:J68"/>
    <mergeCell ref="A32:J32"/>
    <mergeCell ref="A30:J30"/>
    <mergeCell ref="B63:J63"/>
  </mergeCells>
  <phoneticPr fontId="3"/>
  <pageMargins left="0.59055118110236227" right="0.59055118110236227" top="0.78740157480314965" bottom="0.59055118110236227" header="0.31496062992125984" footer="0.31496062992125984"/>
  <pageSetup paperSize="9" scale="98" orientation="portrait" horizontalDpi="4294967292" r:id="rId1"/>
  <rowBreaks count="1" manualBreakCount="1">
    <brk id="34"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8</vt:i4>
      </vt:variant>
    </vt:vector>
  </HeadingPairs>
  <TitlesOfParts>
    <vt:vector size="27" baseType="lpstr">
      <vt:lpstr>抽選会(偶数年度)</vt:lpstr>
      <vt:lpstr>抽選会（奇数年度)</vt:lpstr>
      <vt:lpstr>抽選会</vt:lpstr>
      <vt:lpstr>抽選</vt:lpstr>
      <vt:lpstr>ﾄｰﾅﾒﾝﾄ</vt:lpstr>
      <vt:lpstr>領収証</vt:lpstr>
      <vt:lpstr>プロ表紙</vt:lpstr>
      <vt:lpstr>表紙裏</vt:lpstr>
      <vt:lpstr>要項</vt:lpstr>
      <vt:lpstr>歴代優勝校</vt:lpstr>
      <vt:lpstr>マッチ準決1</vt:lpstr>
      <vt:lpstr>マッチ準決1タイム</vt:lpstr>
      <vt:lpstr>マッチ準決2</vt:lpstr>
      <vt:lpstr>マッチ準決2タイム</vt:lpstr>
      <vt:lpstr>マッチ決勝</vt:lpstr>
      <vt:lpstr>マッチ決勝タイム</vt:lpstr>
      <vt:lpstr>共催名義申請書</vt:lpstr>
      <vt:lpstr>共催名義申請書 (2)</vt:lpstr>
      <vt:lpstr>共催名義報告書</vt:lpstr>
      <vt:lpstr>要項!_GoBack</vt:lpstr>
      <vt:lpstr>ﾄｰﾅﾒﾝﾄ!Print_Area</vt:lpstr>
      <vt:lpstr>抽選会!Print_Area</vt:lpstr>
      <vt:lpstr>'抽選会（奇数年度)'!Print_Area</vt:lpstr>
      <vt:lpstr>'抽選会(偶数年度)'!Print_Area</vt:lpstr>
      <vt:lpstr>表紙裏!Print_Area</vt:lpstr>
      <vt:lpstr>要項!Print_Area</vt:lpstr>
      <vt:lpstr>領収証!Print_Area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M.KIMOTO</dc:creator>
  <cp:lastModifiedBy>Masaki Kimoto</cp:lastModifiedBy>
  <cp:lastPrinted>2023-09-08T05:39:02Z</cp:lastPrinted>
  <dcterms:created xsi:type="dcterms:W3CDTF">2013-09-19T10:30:00Z</dcterms:created>
  <dcterms:modified xsi:type="dcterms:W3CDTF">2023-09-18T02:24:28Z</dcterms:modified>
</cp:coreProperties>
</file>