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https://d.docs.live.net/194e8f3419c429eb/K/soccer/★委員長/01中体連/02県体/2024/"/>
    </mc:Choice>
  </mc:AlternateContent>
  <xr:revisionPtr revIDLastSave="952" documentId="13_ncr:1_{C4B861D6-5B81-4570-A052-39D12E4187E5}" xr6:coauthVersionLast="47" xr6:coauthVersionMax="47" xr10:uidLastSave="{8DF0E780-2062-4F25-8F8F-98A222985793}"/>
  <bookViews>
    <workbookView xWindow="-120" yWindow="-120" windowWidth="29040" windowHeight="15720" firstSheet="16" activeTab="16" xr2:uid="{00000000-000D-0000-FFFF-FFFF00000000}"/>
  </bookViews>
  <sheets>
    <sheet name="予選学校名" sheetId="43" r:id="rId1"/>
    <sheet name="能登(6)" sheetId="44" state="hidden" r:id="rId2"/>
    <sheet name="能登(6時刻)" sheetId="45" state="hidden" r:id="rId3"/>
    <sheet name="北(25)" sheetId="46" state="hidden" r:id="rId4"/>
    <sheet name="北(時刻)" sheetId="52" state="hidden" r:id="rId5"/>
    <sheet name="能登(5)" sheetId="61" r:id="rId6"/>
    <sheet name="能登(5時刻)" sheetId="60" r:id="rId7"/>
    <sheet name="北(22)" sheetId="53" r:id="rId8"/>
    <sheet name="北(22時刻)" sheetId="55" r:id="rId9"/>
    <sheet name="南(13)" sheetId="48" state="hidden" r:id="rId10"/>
    <sheet name="南(13時刻)" sheetId="49" state="hidden" r:id="rId11"/>
    <sheet name="南(14)" sheetId="50" state="hidden" r:id="rId12"/>
    <sheet name="南(14時刻)" sheetId="51" state="hidden" r:id="rId13"/>
    <sheet name="南(12)" sheetId="57" r:id="rId14"/>
    <sheet name="南(12時刻)" sheetId="58" r:id="rId15"/>
    <sheet name="県体学校名" sheetId="6" r:id="rId16"/>
    <sheet name="県体(赤)" sheetId="21" r:id="rId17"/>
    <sheet name="歴代優勝校" sheetId="20" r:id="rId18"/>
    <sheet name="プロ領収証" sheetId="29" r:id="rId19"/>
    <sheet name="マッチ準①" sheetId="30" r:id="rId20"/>
    <sheet name="マッチ準②" sheetId="31" r:id="rId21"/>
    <sheet name="マッチ決勝" sheetId="32" r:id="rId22"/>
    <sheet name="マッチ第3" sheetId="41" r:id="rId23"/>
    <sheet name="決勝公式記録" sheetId="33" r:id="rId24"/>
    <sheet name="データ" sheetId="34" state="hidden" r:id="rId25"/>
    <sheet name="第3公式記録" sheetId="42" r:id="rId26"/>
    <sheet name="チーム①" sheetId="35" r:id="rId27"/>
    <sheet name="チーム②" sheetId="36" r:id="rId28"/>
    <sheet name="チーム③" sheetId="37" r:id="rId29"/>
    <sheet name="チーム④" sheetId="38" r:id="rId30"/>
    <sheet name="Sheet1" sheetId="56" r:id="rId31"/>
  </sheets>
  <externalReferences>
    <externalReference r:id="rId32"/>
  </externalReferences>
  <definedNames>
    <definedName name="_xlnm.Print_Area" localSheetId="18">プロ領収証!$A$1:$O$378</definedName>
    <definedName name="_xlnm.Print_Area" localSheetId="23">決勝公式記録!$A$1:$AH$67</definedName>
    <definedName name="_xlnm.Print_Area" localSheetId="16">'県体(赤)'!$A$1:$BM$78</definedName>
    <definedName name="_xlnm.Print_Area" localSheetId="25">第3公式記録!$A$1:$AH$67</definedName>
    <definedName name="_xlnm.Print_Area" localSheetId="13">'南(12)'!$B$1:$BR$64</definedName>
    <definedName name="_xlnm.Print_Area" localSheetId="14">'南(12時刻)'!$B$1:$BR$66</definedName>
    <definedName name="_xlnm.Print_Area" localSheetId="9">'南(13)'!$B$1:$BT$70</definedName>
    <definedName name="_xlnm.Print_Area" localSheetId="10">'南(13時刻)'!$B$1:$BT$70</definedName>
    <definedName name="_xlnm.Print_Area" localSheetId="11">'南(14)'!$B$1:$BS$70</definedName>
    <definedName name="_xlnm.Print_Area" localSheetId="12">'南(14時刻)'!$B$1:$BS$69</definedName>
    <definedName name="_xlnm.Print_Area" localSheetId="5">'能登(5)'!$B$1:$AP$53</definedName>
    <definedName name="_xlnm.Print_Area" localSheetId="6">'能登(5時刻)'!$B$1:$AP$53</definedName>
    <definedName name="_xlnm.Print_Area" localSheetId="1">'能登(6)'!$B$1:$BJ$51</definedName>
    <definedName name="_xlnm.Print_Area" localSheetId="2">'能登(6時刻)'!$B$1:$BE$51</definedName>
    <definedName name="_xlnm.Print_Area" localSheetId="7">'北(22)'!$B$1:$EA$109</definedName>
    <definedName name="_xlnm.Print_Area" localSheetId="8">'北(22時刻)'!$B$1:$EA$111</definedName>
    <definedName name="_xlnm.Print_Area" localSheetId="3">'北(25)'!$B$1:$ES$99</definedName>
    <definedName name="_xlnm.Print_Area" localSheetId="4">'北(時刻)'!$A$1:$ES$91</definedName>
    <definedName name="Z_707C167D_1A80_466C_A9D0_D4070F8B83C9_.wvu.Cols" localSheetId="7" hidden="1">'北(22)'!$A:$A</definedName>
    <definedName name="Z_707C167D_1A80_466C_A9D0_D4070F8B83C9_.wvu.Cols" localSheetId="8" hidden="1">'北(22時刻)'!$A:$A</definedName>
    <definedName name="Z_707C167D_1A80_466C_A9D0_D4070F8B83C9_.wvu.Cols" localSheetId="3" hidden="1">'北(25)'!$A:$A</definedName>
    <definedName name="Z_707C167D_1A80_466C_A9D0_D4070F8B83C9_.wvu.Cols" localSheetId="4" hidden="1">'北(時刻)'!$A:$A</definedName>
    <definedName name="Z_707C167D_1A80_466C_A9D0_D4070F8B83C9_.wvu.PrintArea" localSheetId="7" hidden="1">'北(22)'!$B$1:$CD$105</definedName>
    <definedName name="Z_707C167D_1A80_466C_A9D0_D4070F8B83C9_.wvu.PrintArea" localSheetId="8" hidden="1">'北(22時刻)'!$B$1:$CD$105</definedName>
    <definedName name="Z_707C167D_1A80_466C_A9D0_D4070F8B83C9_.wvu.PrintArea" localSheetId="3" hidden="1">'北(25)'!$B$1:$CP$98</definedName>
    <definedName name="Z_707C167D_1A80_466C_A9D0_D4070F8B83C9_.wvu.PrintArea" localSheetId="4" hidden="1">'北(時刻)'!$B$1:$CP$89</definedName>
    <definedName name="Z_707C167D_1A80_466C_A9D0_D4070F8B83C9_.wvu.Rows" localSheetId="15" hidden="1">県体学校名!$2:$2</definedName>
    <definedName name="Z_707C167D_1A80_466C_A9D0_D4070F8B83C9_.wvu.Rows" localSheetId="7" hidden="1">'北(22)'!#REF!,'北(22)'!#REF!,'北(22)'!#REF!,'北(22)'!#REF!,'北(22)'!#REF!,'北(22)'!#REF!,'北(22)'!#REF!</definedName>
    <definedName name="Z_707C167D_1A80_466C_A9D0_D4070F8B83C9_.wvu.Rows" localSheetId="8" hidden="1">'北(22時刻)'!#REF!,'北(22時刻)'!#REF!,'北(22時刻)'!#REF!,'北(22時刻)'!#REF!,'北(22時刻)'!#REF!,'北(22時刻)'!#REF!,'北(22時刻)'!#REF!</definedName>
    <definedName name="Z_707C167D_1A80_466C_A9D0_D4070F8B83C9_.wvu.Rows" localSheetId="3" hidden="1">'北(25)'!#REF!,'北(25)'!#REF!,'北(25)'!#REF!,'北(25)'!#REF!,'北(25)'!#REF!,'北(25)'!$79:$79,'北(25)'!$89:$89</definedName>
    <definedName name="Z_707C167D_1A80_466C_A9D0_D4070F8B83C9_.wvu.Rows" localSheetId="4" hidden="1">'北(時刻)'!#REF!,'北(時刻)'!#REF!,'北(時刻)'!#REF!,'北(時刻)'!#REF!,'北(時刻)'!#REF!,'北(時刻)'!$72:$72,'北(時刻)'!$81:$81</definedName>
    <definedName name="第1位">[1]メンバー表!$A$1:$I$155</definedName>
    <definedName name="第2位">[1]メンバー表!$K$1:$S$155</definedName>
    <definedName name="第3位">[1]メンバー表!$U$1:$AC$155</definedName>
  </definedNames>
  <calcPr calcId="191029"/>
  <customWorkbookViews>
    <customWorkbookView name="M.KIMOTO - 個人用ビュー" guid="{707C167D-1A80-466C-A9D0-D4070F8B83C9}" mergeInterval="0" personalView="1" maximized="1" xWindow="22" yWindow="37" windowWidth="769" windowHeight="570"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41" l="1"/>
  <c r="G9" i="32"/>
  <c r="G9" i="31"/>
  <c r="G9" i="30"/>
  <c r="BH20" i="21"/>
  <c r="BG19" i="21" s="1"/>
  <c r="C18" i="41"/>
  <c r="C18" i="32"/>
  <c r="C18" i="31"/>
  <c r="C18" i="30"/>
  <c r="C19" i="6"/>
  <c r="C18" i="6"/>
  <c r="AT4" i="61"/>
  <c r="AT3" i="61"/>
  <c r="AQ4" i="61"/>
  <c r="AQ3" i="61"/>
  <c r="H3" i="61"/>
  <c r="E19" i="61" l="1"/>
  <c r="G19" i="61"/>
  <c r="E20" i="61"/>
  <c r="G20" i="61"/>
  <c r="N24" i="61"/>
  <c r="N23" i="61"/>
  <c r="N22" i="61" s="1"/>
  <c r="L24" i="61"/>
  <c r="L23" i="61"/>
  <c r="J22" i="61" s="1"/>
  <c r="M22" i="61" s="1"/>
  <c r="AB14" i="61"/>
  <c r="B44" i="55"/>
  <c r="B34" i="55"/>
  <c r="B98" i="55" s="1"/>
  <c r="C33" i="58"/>
  <c r="C33" i="57" s="1"/>
  <c r="R24" i="57" s="1"/>
  <c r="AI24" i="57" s="1"/>
  <c r="AM29" i="58"/>
  <c r="AK29" i="57" s="1"/>
  <c r="C29" i="58"/>
  <c r="C29" i="57" s="1"/>
  <c r="K24" i="57" s="1"/>
  <c r="AH24" i="57" s="1"/>
  <c r="AM25" i="58"/>
  <c r="AK25" i="57" s="1"/>
  <c r="C25" i="58"/>
  <c r="AM18" i="58"/>
  <c r="C18" i="58"/>
  <c r="R9" i="58" s="1"/>
  <c r="AM14" i="58"/>
  <c r="AU9" i="58" s="1"/>
  <c r="C14" i="58"/>
  <c r="K9" i="58" s="1"/>
  <c r="AM10" i="58"/>
  <c r="AN9" i="58" s="1"/>
  <c r="C10" i="58"/>
  <c r="D9" i="58" s="1"/>
  <c r="AM33" i="58"/>
  <c r="BB24" i="58" s="1"/>
  <c r="J10" i="61"/>
  <c r="N10" i="61"/>
  <c r="M10" i="61"/>
  <c r="AE10" i="61"/>
  <c r="AH10" i="61" s="1"/>
  <c r="AI10" i="61"/>
  <c r="X10" i="61"/>
  <c r="AA10" i="61" s="1"/>
  <c r="AB10" i="61"/>
  <c r="Q10" i="61"/>
  <c r="U10" i="61"/>
  <c r="T10" i="61" s="1"/>
  <c r="AL10" i="61" s="1"/>
  <c r="G15" i="61"/>
  <c r="G14" i="61" s="1"/>
  <c r="G16" i="61"/>
  <c r="E15" i="61"/>
  <c r="E16" i="61"/>
  <c r="G27" i="61"/>
  <c r="G28" i="61"/>
  <c r="G26" i="61"/>
  <c r="E27" i="61"/>
  <c r="E28" i="61"/>
  <c r="C26" i="61" s="1"/>
  <c r="F26" i="61" s="1"/>
  <c r="G23" i="61"/>
  <c r="G22" i="61" s="1"/>
  <c r="F22" i="61" s="1"/>
  <c r="G24" i="61"/>
  <c r="E23" i="61"/>
  <c r="E24" i="61"/>
  <c r="G18" i="61"/>
  <c r="F18" i="61" s="1"/>
  <c r="AL33" i="60"/>
  <c r="AQ48" i="60"/>
  <c r="AQ44" i="60"/>
  <c r="AQ40" i="60"/>
  <c r="AQ36" i="60"/>
  <c r="AQ17" i="61"/>
  <c r="AQ21" i="61"/>
  <c r="AQ25" i="61"/>
  <c r="BP7" i="21"/>
  <c r="BH8" i="60"/>
  <c r="BH7" i="60"/>
  <c r="A33" i="61"/>
  <c r="A37" i="61" s="1"/>
  <c r="A41" i="61" s="1"/>
  <c r="A45" i="61" s="1"/>
  <c r="A49" i="61" s="1"/>
  <c r="B49" i="61" s="1"/>
  <c r="B37" i="61"/>
  <c r="J32" i="61" s="1"/>
  <c r="A10" i="61"/>
  <c r="A3" i="61"/>
  <c r="BF1" i="61"/>
  <c r="BF2" i="61"/>
  <c r="BF3" i="61" s="1"/>
  <c r="BF1" i="60"/>
  <c r="BF2" i="60"/>
  <c r="BF3" i="60" s="1"/>
  <c r="A33" i="60"/>
  <c r="B33" i="60"/>
  <c r="A10" i="60"/>
  <c r="B10" i="60"/>
  <c r="A3" i="60"/>
  <c r="A4" i="60"/>
  <c r="A5" i="60" s="1"/>
  <c r="Q33" i="60"/>
  <c r="T33" i="60" s="1"/>
  <c r="U33" i="60"/>
  <c r="X33" i="60"/>
  <c r="AB33" i="60"/>
  <c r="AE33" i="60"/>
  <c r="AI33" i="60"/>
  <c r="AQ52" i="60"/>
  <c r="AQ29" i="61"/>
  <c r="AB51" i="60"/>
  <c r="Z51" i="60"/>
  <c r="U51" i="60"/>
  <c r="S51" i="60"/>
  <c r="N51" i="60"/>
  <c r="L51" i="60"/>
  <c r="G51" i="60"/>
  <c r="E51" i="60"/>
  <c r="AB50" i="60"/>
  <c r="AB49" i="60" s="1"/>
  <c r="Z50" i="60"/>
  <c r="X49" i="60" s="1"/>
  <c r="AA49" i="60" s="1"/>
  <c r="U50" i="60"/>
  <c r="U49" i="60"/>
  <c r="S50" i="60"/>
  <c r="Q49" i="60"/>
  <c r="N50" i="60"/>
  <c r="N49" i="60" s="1"/>
  <c r="L50" i="60"/>
  <c r="J49" i="60" s="1"/>
  <c r="M49" i="60" s="1"/>
  <c r="G50" i="60"/>
  <c r="E50" i="60"/>
  <c r="C49" i="60" s="1"/>
  <c r="F49" i="60" s="1"/>
  <c r="U47" i="60"/>
  <c r="S47" i="60"/>
  <c r="N47" i="60"/>
  <c r="L47" i="60"/>
  <c r="G47" i="60"/>
  <c r="E47" i="60"/>
  <c r="U46" i="60"/>
  <c r="U45" i="60"/>
  <c r="S46" i="60"/>
  <c r="Q45" i="60"/>
  <c r="T45" i="60" s="1"/>
  <c r="N46" i="60"/>
  <c r="N45" i="60" s="1"/>
  <c r="L46" i="60"/>
  <c r="G46" i="60"/>
  <c r="G45" i="60"/>
  <c r="E46" i="60"/>
  <c r="C45" i="60"/>
  <c r="F45" i="60" s="1"/>
  <c r="AI45" i="60"/>
  <c r="AE45" i="60"/>
  <c r="N43" i="60"/>
  <c r="L43" i="60"/>
  <c r="G43" i="60"/>
  <c r="E43" i="60"/>
  <c r="N42" i="60"/>
  <c r="N41" i="60" s="1"/>
  <c r="L42" i="60"/>
  <c r="G42" i="60"/>
  <c r="E42" i="60"/>
  <c r="C41" i="60" s="1"/>
  <c r="F41" i="60" s="1"/>
  <c r="AI41" i="60"/>
  <c r="AE41" i="60"/>
  <c r="AH41" i="60" s="1"/>
  <c r="AB41" i="60"/>
  <c r="X41" i="60"/>
  <c r="AA41" i="60"/>
  <c r="G39" i="60"/>
  <c r="E39" i="60"/>
  <c r="G38" i="60"/>
  <c r="G37" i="60"/>
  <c r="E38" i="60"/>
  <c r="AI37" i="60"/>
  <c r="AE37" i="60"/>
  <c r="AB37" i="60"/>
  <c r="X37" i="60"/>
  <c r="U37" i="60"/>
  <c r="Q37" i="60"/>
  <c r="N33" i="60"/>
  <c r="AO33" i="60" s="1"/>
  <c r="J33" i="60"/>
  <c r="M33" i="60"/>
  <c r="AQ51" i="61"/>
  <c r="AL49" i="61"/>
  <c r="AO49" i="61" s="1"/>
  <c r="AQ48" i="61"/>
  <c r="AL45" i="61"/>
  <c r="AM45" i="61"/>
  <c r="AQ42" i="61"/>
  <c r="AL41" i="61"/>
  <c r="AN41" i="61" s="1"/>
  <c r="AQ39" i="61"/>
  <c r="AL37" i="61"/>
  <c r="AM37" i="61"/>
  <c r="AQ36" i="61"/>
  <c r="AL33" i="61"/>
  <c r="L27" i="61"/>
  <c r="L28" i="61"/>
  <c r="J26" i="61" s="1"/>
  <c r="M26" i="61" s="1"/>
  <c r="N28" i="61"/>
  <c r="N27" i="61"/>
  <c r="N26" i="61"/>
  <c r="C22" i="61"/>
  <c r="U28" i="61"/>
  <c r="S28" i="61"/>
  <c r="U27" i="61"/>
  <c r="S27" i="61"/>
  <c r="Q26" i="61" s="1"/>
  <c r="U26" i="61"/>
  <c r="C18" i="61"/>
  <c r="AB28" i="61"/>
  <c r="Z28" i="61"/>
  <c r="AB27" i="61"/>
  <c r="AB26" i="61"/>
  <c r="Z27" i="61"/>
  <c r="X26" i="61"/>
  <c r="AA26" i="61" s="1"/>
  <c r="U24" i="61"/>
  <c r="S24" i="61"/>
  <c r="U23" i="61"/>
  <c r="U22" i="61" s="1"/>
  <c r="S23" i="61"/>
  <c r="Q22" i="61" s="1"/>
  <c r="T22" i="61"/>
  <c r="N20" i="61"/>
  <c r="L20" i="61"/>
  <c r="N19" i="61"/>
  <c r="N18" i="61"/>
  <c r="L19" i="61"/>
  <c r="J18" i="61"/>
  <c r="M18" i="61" s="1"/>
  <c r="C14" i="61"/>
  <c r="AI22" i="61"/>
  <c r="AE22" i="61"/>
  <c r="AI18" i="61"/>
  <c r="AE18" i="61"/>
  <c r="AB18" i="61"/>
  <c r="X18" i="61"/>
  <c r="AA18" i="61" s="1"/>
  <c r="AI14" i="61"/>
  <c r="AH14" i="61" s="1"/>
  <c r="AE14" i="61"/>
  <c r="X14" i="61"/>
  <c r="U14" i="61"/>
  <c r="Q14" i="61"/>
  <c r="T14" i="61" s="1"/>
  <c r="AQ13" i="61"/>
  <c r="BH10" i="61"/>
  <c r="BH9" i="61"/>
  <c r="BH8" i="61"/>
  <c r="BH7" i="61"/>
  <c r="BH6" i="61"/>
  <c r="BH5" i="61"/>
  <c r="BH4" i="61"/>
  <c r="BH3" i="61"/>
  <c r="BH2" i="61"/>
  <c r="BH1" i="61"/>
  <c r="B1" i="61"/>
  <c r="AO26" i="60"/>
  <c r="AQ13" i="60"/>
  <c r="AQ16" i="60"/>
  <c r="AQ19" i="60"/>
  <c r="AQ25" i="60"/>
  <c r="AQ28" i="60"/>
  <c r="BY36" i="57"/>
  <c r="AL14" i="60"/>
  <c r="AN14" i="60"/>
  <c r="AL18" i="60"/>
  <c r="AN18" i="60" s="1"/>
  <c r="AL22" i="60"/>
  <c r="AM22" i="60"/>
  <c r="AL26" i="60"/>
  <c r="AM26" i="60"/>
  <c r="AL10" i="60"/>
  <c r="AN10" i="60"/>
  <c r="BH9" i="60"/>
  <c r="BH10" i="60"/>
  <c r="BH6" i="60"/>
  <c r="BH5" i="60"/>
  <c r="BH4" i="60"/>
  <c r="BH3" i="60"/>
  <c r="BH2" i="60"/>
  <c r="BH1" i="60"/>
  <c r="BJ1" i="60"/>
  <c r="J10" i="60" s="1"/>
  <c r="B1" i="60"/>
  <c r="BV1" i="58"/>
  <c r="BV2" i="58" s="1"/>
  <c r="BZ2" i="58" s="1"/>
  <c r="R10" i="58" s="1"/>
  <c r="BV3" i="58"/>
  <c r="D24" i="58"/>
  <c r="BB9" i="58"/>
  <c r="C10" i="44"/>
  <c r="BI33" i="58"/>
  <c r="BR33" i="58"/>
  <c r="BI29" i="58"/>
  <c r="BQ29" i="58"/>
  <c r="BI25" i="58"/>
  <c r="BQ25" i="58"/>
  <c r="AW35" i="57"/>
  <c r="AW33" i="57" s="1"/>
  <c r="AU35" i="57"/>
  <c r="AP35" i="57"/>
  <c r="AN35" i="57"/>
  <c r="AW34" i="57"/>
  <c r="AU34" i="57"/>
  <c r="AS33" i="57" s="1"/>
  <c r="AP34" i="57"/>
  <c r="AN34" i="57"/>
  <c r="AP31" i="57"/>
  <c r="AN31" i="57"/>
  <c r="AP30" i="57"/>
  <c r="AN30" i="57"/>
  <c r="BD29" i="57"/>
  <c r="AZ29" i="57"/>
  <c r="BC29" i="57" s="1"/>
  <c r="BD25" i="57"/>
  <c r="AZ25" i="57"/>
  <c r="AW25" i="57"/>
  <c r="AV25" i="57" s="1"/>
  <c r="AS25" i="57"/>
  <c r="DF63" i="58"/>
  <c r="CH63" i="58"/>
  <c r="DI61" i="58"/>
  <c r="CW61" i="58"/>
  <c r="CK61" i="58"/>
  <c r="BY61" i="58"/>
  <c r="DK55" i="58"/>
  <c r="DG55" i="58"/>
  <c r="DK49" i="58" s="1"/>
  <c r="CY55" i="58"/>
  <c r="CU55" i="58"/>
  <c r="CU49" i="58"/>
  <c r="CM55" i="58"/>
  <c r="CI55" i="58"/>
  <c r="CA55" i="58"/>
  <c r="BW49" i="58" s="1"/>
  <c r="BW55" i="58"/>
  <c r="DK54" i="58"/>
  <c r="DG54" i="58"/>
  <c r="CY54" i="58"/>
  <c r="CU54" i="58"/>
  <c r="CM54" i="58"/>
  <c r="CI54" i="58"/>
  <c r="CA54" i="58"/>
  <c r="BW54" i="58"/>
  <c r="DC53" i="58"/>
  <c r="CE53" i="58"/>
  <c r="DE47" i="58"/>
  <c r="DA47" i="58"/>
  <c r="A6" i="58" s="1"/>
  <c r="CG47" i="58"/>
  <c r="CC47" i="58"/>
  <c r="DE46" i="58"/>
  <c r="DA46" i="58"/>
  <c r="CG46" i="58"/>
  <c r="CC46" i="58"/>
  <c r="AF33" i="58"/>
  <c r="AJ33" i="58"/>
  <c r="AF29" i="58"/>
  <c r="AG29" i="58"/>
  <c r="AF25" i="58"/>
  <c r="AH25" i="58" s="1"/>
  <c r="Y24" i="58"/>
  <c r="BS21" i="58"/>
  <c r="BI18" i="58"/>
  <c r="BQ18" i="58" s="1"/>
  <c r="AF18" i="58"/>
  <c r="BS17" i="58"/>
  <c r="BI14" i="58"/>
  <c r="BM14" i="58" s="1"/>
  <c r="AF14" i="58"/>
  <c r="BS13" i="58"/>
  <c r="BX10" i="58"/>
  <c r="BI10" i="58"/>
  <c r="AF10" i="58"/>
  <c r="AH10" i="58"/>
  <c r="BX9" i="58"/>
  <c r="Y9" i="58"/>
  <c r="BX8" i="58"/>
  <c r="BX7" i="58"/>
  <c r="BX6" i="58"/>
  <c r="BX5" i="58"/>
  <c r="BX4" i="58"/>
  <c r="BX3" i="58"/>
  <c r="BX2" i="58"/>
  <c r="BX1" i="58"/>
  <c r="BZ1" i="58"/>
  <c r="C1" i="58"/>
  <c r="DO61" i="57"/>
  <c r="DC61" i="57"/>
  <c r="CQ61" i="57"/>
  <c r="CE61" i="57"/>
  <c r="DO60" i="57"/>
  <c r="DC60" i="57"/>
  <c r="CQ60" i="57"/>
  <c r="CE60" i="57"/>
  <c r="DO59" i="57"/>
  <c r="DC59" i="57"/>
  <c r="CQ59" i="57"/>
  <c r="CE59" i="57"/>
  <c r="DQ55" i="57"/>
  <c r="DM55" i="57"/>
  <c r="DE55" i="57"/>
  <c r="DA55" i="57"/>
  <c r="CS55" i="57"/>
  <c r="CO55" i="57"/>
  <c r="CG55" i="57"/>
  <c r="CC55" i="57"/>
  <c r="DQ54" i="57"/>
  <c r="DM54" i="57"/>
  <c r="DE54" i="57"/>
  <c r="DA54" i="57"/>
  <c r="CS54" i="57"/>
  <c r="CO54" i="57"/>
  <c r="CG54" i="57"/>
  <c r="CC54" i="57"/>
  <c r="DI53" i="57"/>
  <c r="CK53" i="57"/>
  <c r="DI52" i="57"/>
  <c r="CK52" i="57"/>
  <c r="DI51" i="57"/>
  <c r="CK51" i="57"/>
  <c r="DK47" i="57"/>
  <c r="DG47" i="57"/>
  <c r="CM47" i="57"/>
  <c r="CI47" i="57"/>
  <c r="DK46" i="57"/>
  <c r="DG46" i="57"/>
  <c r="CM46" i="57"/>
  <c r="CI46" i="57"/>
  <c r="O35" i="57"/>
  <c r="M35" i="57"/>
  <c r="H35" i="57"/>
  <c r="F35" i="57"/>
  <c r="O34" i="57"/>
  <c r="O33" i="57" s="1"/>
  <c r="M34" i="57"/>
  <c r="H34" i="57"/>
  <c r="F34" i="57"/>
  <c r="H31" i="57"/>
  <c r="H29" i="57" s="1"/>
  <c r="F31" i="57"/>
  <c r="H30" i="57"/>
  <c r="F30" i="57"/>
  <c r="D29" i="57" s="1"/>
  <c r="V29" i="57"/>
  <c r="R29" i="57"/>
  <c r="U29" i="57" s="1"/>
  <c r="V25" i="57"/>
  <c r="R25" i="57"/>
  <c r="O25" i="57"/>
  <c r="N25" i="57" s="1"/>
  <c r="K25" i="57"/>
  <c r="BY21" i="57"/>
  <c r="AW20" i="57"/>
  <c r="AU20" i="57"/>
  <c r="AP20" i="57"/>
  <c r="AN20" i="57"/>
  <c r="O20" i="57"/>
  <c r="M20" i="57"/>
  <c r="H20" i="57"/>
  <c r="F20" i="57"/>
  <c r="AW19" i="57"/>
  <c r="AW18" i="57" s="1"/>
  <c r="AU19" i="57"/>
  <c r="AS18" i="57" s="1"/>
  <c r="AP19" i="57"/>
  <c r="AN19" i="57"/>
  <c r="AL18" i="57"/>
  <c r="O19" i="57"/>
  <c r="O18" i="57" s="1"/>
  <c r="M19" i="57"/>
  <c r="H19" i="57"/>
  <c r="F19" i="57"/>
  <c r="D18" i="57"/>
  <c r="AP16" i="57"/>
  <c r="AN16" i="57"/>
  <c r="H16" i="57"/>
  <c r="F16" i="57"/>
  <c r="AP15" i="57"/>
  <c r="AN15" i="57"/>
  <c r="H15" i="57"/>
  <c r="F15" i="57"/>
  <c r="D14" i="57" s="1"/>
  <c r="BD14" i="57"/>
  <c r="AZ14" i="57"/>
  <c r="V14" i="57"/>
  <c r="R14" i="57"/>
  <c r="BD10" i="57"/>
  <c r="AZ10" i="57"/>
  <c r="BC10" i="57" s="1"/>
  <c r="AW10" i="57"/>
  <c r="AS10" i="57"/>
  <c r="AV10" i="57" s="1"/>
  <c r="V10" i="57"/>
  <c r="R10" i="57"/>
  <c r="O10" i="57"/>
  <c r="N10" i="57" s="1"/>
  <c r="K10" i="57"/>
  <c r="C1" i="57"/>
  <c r="AF18" i="44"/>
  <c r="AF14" i="44"/>
  <c r="AF10" i="44"/>
  <c r="C18" i="44"/>
  <c r="C14" i="44"/>
  <c r="AM41" i="48"/>
  <c r="AM37" i="48"/>
  <c r="AM33" i="48"/>
  <c r="AM29" i="48"/>
  <c r="C37" i="48"/>
  <c r="C33" i="48"/>
  <c r="C29" i="48"/>
  <c r="AM18" i="48"/>
  <c r="AM14" i="48"/>
  <c r="AM10" i="48"/>
  <c r="C18" i="48"/>
  <c r="C14" i="48"/>
  <c r="C10" i="48"/>
  <c r="AO106" i="55"/>
  <c r="DG106" i="55"/>
  <c r="CS106" i="55"/>
  <c r="CE106" i="55"/>
  <c r="BQ106" i="55"/>
  <c r="BC106" i="55"/>
  <c r="AA106" i="55"/>
  <c r="M106" i="55"/>
  <c r="J13" i="6"/>
  <c r="J14" i="6"/>
  <c r="J15" i="6"/>
  <c r="J16" i="6"/>
  <c r="J17" i="6"/>
  <c r="J18" i="6"/>
  <c r="J19" i="6"/>
  <c r="CF51" i="45"/>
  <c r="BT51" i="45"/>
  <c r="A4" i="45"/>
  <c r="A5" i="45"/>
  <c r="BP74" i="55"/>
  <c r="BJ74" i="55"/>
  <c r="A11" i="55" s="1"/>
  <c r="BP73" i="55"/>
  <c r="BJ73" i="55"/>
  <c r="B65" i="55"/>
  <c r="B66" i="55" s="1"/>
  <c r="DN14" i="55"/>
  <c r="DH14" i="55"/>
  <c r="BP14" i="55"/>
  <c r="BJ14" i="55"/>
  <c r="DN13" i="55"/>
  <c r="DH13" i="55"/>
  <c r="BP13" i="55"/>
  <c r="BJ13" i="55"/>
  <c r="B1" i="55"/>
  <c r="CR85" i="53"/>
  <c r="CR86" i="53"/>
  <c r="DC104" i="53"/>
  <c r="CA104" i="53"/>
  <c r="AY104" i="53"/>
  <c r="W104" i="53"/>
  <c r="DD103" i="53"/>
  <c r="CB103" i="53"/>
  <c r="AZ103" i="53"/>
  <c r="X103" i="53"/>
  <c r="DC102" i="53"/>
  <c r="CA102" i="53"/>
  <c r="AY102" i="53"/>
  <c r="W102" i="53"/>
  <c r="DD101" i="53"/>
  <c r="CB101" i="53"/>
  <c r="AZ101" i="53"/>
  <c r="X101" i="53"/>
  <c r="DD100" i="53"/>
  <c r="CB100" i="53"/>
  <c r="AZ100" i="53"/>
  <c r="X100" i="53"/>
  <c r="DF96" i="53"/>
  <c r="CZ96" i="53"/>
  <c r="CD96" i="53"/>
  <c r="BX96" i="53"/>
  <c r="BB96" i="53"/>
  <c r="AV96" i="53"/>
  <c r="Z96" i="53"/>
  <c r="T96" i="53"/>
  <c r="DF95" i="53"/>
  <c r="CZ95" i="53"/>
  <c r="CD95" i="53"/>
  <c r="BX95" i="53"/>
  <c r="BB95" i="53"/>
  <c r="AV95" i="53"/>
  <c r="Z95" i="53"/>
  <c r="T95" i="53"/>
  <c r="CL94" i="53"/>
  <c r="AN94" i="53"/>
  <c r="CP93" i="53"/>
  <c r="AL93" i="53"/>
  <c r="CO92" i="53"/>
  <c r="AK92" i="53"/>
  <c r="CP91" i="53"/>
  <c r="AL91" i="53"/>
  <c r="CP90" i="53"/>
  <c r="AL90" i="53"/>
  <c r="CL86" i="53"/>
  <c r="AN86" i="53"/>
  <c r="AH86" i="53"/>
  <c r="CL85" i="53"/>
  <c r="AN85" i="53"/>
  <c r="AH85" i="53"/>
  <c r="BN81" i="53"/>
  <c r="BM80" i="53"/>
  <c r="BN79" i="53"/>
  <c r="BN78" i="53"/>
  <c r="BP74" i="53"/>
  <c r="BJ74" i="53"/>
  <c r="BP73" i="53"/>
  <c r="BJ73" i="53"/>
  <c r="AG33" i="53"/>
  <c r="AF32" i="53"/>
  <c r="DN14" i="53"/>
  <c r="DN13" i="53"/>
  <c r="DH14" i="53"/>
  <c r="DH13" i="53"/>
  <c r="BP14" i="53"/>
  <c r="BP13" i="53"/>
  <c r="BJ14" i="53"/>
  <c r="BJ13" i="53"/>
  <c r="CW26" i="53"/>
  <c r="CW25" i="53"/>
  <c r="CQ26" i="53"/>
  <c r="CQ25" i="53"/>
  <c r="AI26" i="53"/>
  <c r="AI25" i="53"/>
  <c r="AC26" i="53"/>
  <c r="AC25" i="53"/>
  <c r="DO36" i="53"/>
  <c r="DO35" i="53"/>
  <c r="DI36" i="53"/>
  <c r="DI35" i="53"/>
  <c r="CH36" i="53"/>
  <c r="CH35" i="53"/>
  <c r="CB35" i="53"/>
  <c r="CB36" i="53"/>
  <c r="AX35" i="53"/>
  <c r="AR36" i="53"/>
  <c r="AR35" i="53"/>
  <c r="Q36" i="53"/>
  <c r="Q35" i="53"/>
  <c r="K36" i="53"/>
  <c r="K35" i="53"/>
  <c r="DW46" i="53"/>
  <c r="DW45" i="53"/>
  <c r="DQ46" i="53"/>
  <c r="DQ45" i="53"/>
  <c r="DF46" i="53"/>
  <c r="DF45" i="53"/>
  <c r="CZ45" i="53"/>
  <c r="CS46" i="53"/>
  <c r="CS45" i="53"/>
  <c r="CM46" i="53"/>
  <c r="CM45" i="53"/>
  <c r="BW46" i="53"/>
  <c r="BW45" i="53"/>
  <c r="BQ46" i="53"/>
  <c r="BQ45" i="53"/>
  <c r="BI46" i="53"/>
  <c r="BI45" i="53"/>
  <c r="BC46" i="53"/>
  <c r="BC45" i="53"/>
  <c r="AM46" i="53"/>
  <c r="AM45" i="53"/>
  <c r="AG46" i="53"/>
  <c r="AG45" i="53"/>
  <c r="Z46" i="53"/>
  <c r="Z45" i="53"/>
  <c r="I46" i="53"/>
  <c r="I45" i="53"/>
  <c r="C45" i="53"/>
  <c r="DR56" i="53"/>
  <c r="DR55" i="53"/>
  <c r="DL56" i="53"/>
  <c r="DL55" i="53"/>
  <c r="CN56" i="53"/>
  <c r="CN55" i="53"/>
  <c r="CH56" i="53"/>
  <c r="CH55" i="53"/>
  <c r="CB56" i="53"/>
  <c r="CB55" i="53"/>
  <c r="BV56" i="53"/>
  <c r="BV55" i="53"/>
  <c r="BD56" i="53"/>
  <c r="BD55" i="53"/>
  <c r="AX56" i="53"/>
  <c r="AX55" i="53"/>
  <c r="AR56" i="53"/>
  <c r="AR55" i="53"/>
  <c r="AL56" i="53"/>
  <c r="AL55" i="53"/>
  <c r="N55" i="53"/>
  <c r="N56" i="53"/>
  <c r="H55" i="53"/>
  <c r="H56" i="53"/>
  <c r="C46" i="53"/>
  <c r="CZ46" i="53"/>
  <c r="T45" i="53"/>
  <c r="T46" i="53"/>
  <c r="CT34" i="53"/>
  <c r="CU33" i="53"/>
  <c r="CT32" i="53"/>
  <c r="CU31" i="53"/>
  <c r="CU30" i="53"/>
  <c r="AF34" i="53"/>
  <c r="AG31" i="53"/>
  <c r="AG30" i="53"/>
  <c r="AX36" i="53"/>
  <c r="N44" i="53"/>
  <c r="O43" i="53"/>
  <c r="N42" i="53"/>
  <c r="O41" i="53"/>
  <c r="O40" i="53"/>
  <c r="DL44" i="53"/>
  <c r="DM43" i="53"/>
  <c r="DL42" i="53"/>
  <c r="DM41" i="53"/>
  <c r="DM40" i="53"/>
  <c r="W54" i="53"/>
  <c r="X53" i="53"/>
  <c r="W52" i="53"/>
  <c r="X51" i="53"/>
  <c r="X50" i="53"/>
  <c r="DC54" i="53"/>
  <c r="DD53" i="53"/>
  <c r="DC52" i="53"/>
  <c r="DD51" i="53"/>
  <c r="B65" i="53"/>
  <c r="A14" i="61"/>
  <c r="A18" i="61" s="1"/>
  <c r="B18" i="61" s="1"/>
  <c r="B10" i="61"/>
  <c r="B33" i="61"/>
  <c r="C32" i="61" s="1"/>
  <c r="C32" i="60"/>
  <c r="AT32" i="60"/>
  <c r="A34" i="55"/>
  <c r="B19" i="55"/>
  <c r="B79" i="55" s="1"/>
  <c r="C9" i="60"/>
  <c r="A14" i="60"/>
  <c r="A37" i="60"/>
  <c r="B37" i="60"/>
  <c r="AA14" i="61"/>
  <c r="AH18" i="61"/>
  <c r="AH22" i="61"/>
  <c r="AN26" i="60"/>
  <c r="AU32" i="60"/>
  <c r="AL14" i="57"/>
  <c r="AF29" i="57"/>
  <c r="AL29" i="57"/>
  <c r="AF33" i="57"/>
  <c r="BC14" i="57"/>
  <c r="U10" i="57"/>
  <c r="AT33" i="60"/>
  <c r="G41" i="60"/>
  <c r="AH45" i="60"/>
  <c r="AL49" i="60"/>
  <c r="BJ2" i="60"/>
  <c r="X18" i="60" s="1"/>
  <c r="BJ1" i="61"/>
  <c r="J33" i="61" s="1"/>
  <c r="AN37" i="61"/>
  <c r="B14" i="61"/>
  <c r="BJ2" i="61"/>
  <c r="X41" i="61" s="1"/>
  <c r="AN45" i="61"/>
  <c r="AM41" i="61"/>
  <c r="AM10" i="60"/>
  <c r="AM18" i="60"/>
  <c r="AN22" i="60"/>
  <c r="AH37" i="60"/>
  <c r="AL37" i="60"/>
  <c r="T37" i="60"/>
  <c r="AH33" i="60"/>
  <c r="AA33" i="60"/>
  <c r="AA37" i="60"/>
  <c r="G49" i="60"/>
  <c r="C37" i="60"/>
  <c r="AM49" i="61"/>
  <c r="AN49" i="61"/>
  <c r="AM14" i="60"/>
  <c r="BM33" i="58"/>
  <c r="BQ33" i="58"/>
  <c r="BS33" i="58" s="1"/>
  <c r="BM25" i="58"/>
  <c r="AN24" i="58"/>
  <c r="K24" i="58"/>
  <c r="C10" i="57"/>
  <c r="AK10" i="57"/>
  <c r="C25" i="57"/>
  <c r="AF25" i="57" s="1"/>
  <c r="AU24" i="58"/>
  <c r="C18" i="57"/>
  <c r="C14" i="57"/>
  <c r="K9" i="57" s="1"/>
  <c r="AH9" i="57" s="1"/>
  <c r="AK33" i="57"/>
  <c r="AZ24" i="57" s="1"/>
  <c r="BQ24" i="57" s="1"/>
  <c r="R24" i="58"/>
  <c r="AK14" i="57"/>
  <c r="BN14" i="57" s="1"/>
  <c r="AK18" i="57"/>
  <c r="AZ9" i="57" s="1"/>
  <c r="BQ9" i="57" s="1"/>
  <c r="BM29" i="58"/>
  <c r="BM18" i="58"/>
  <c r="AG10" i="58"/>
  <c r="AH29" i="58"/>
  <c r="A4" i="58"/>
  <c r="AH5" i="58" s="1"/>
  <c r="BR18" i="58"/>
  <c r="CM49" i="58"/>
  <c r="AP29" i="57"/>
  <c r="BB14" i="58"/>
  <c r="BR14" i="58"/>
  <c r="BB29" i="58"/>
  <c r="BR29" i="58" s="1"/>
  <c r="AG14" i="58"/>
  <c r="BQ14" i="58"/>
  <c r="AH18" i="58"/>
  <c r="AG33" i="58"/>
  <c r="BS37" i="58"/>
  <c r="A52" i="58"/>
  <c r="A51" i="58"/>
  <c r="AH14" i="58"/>
  <c r="BS18" i="58"/>
  <c r="AH33" i="58"/>
  <c r="A2" i="58"/>
  <c r="AH3" i="58"/>
  <c r="AG25" i="58"/>
  <c r="AI33" i="58"/>
  <c r="A5" i="58"/>
  <c r="A3" i="58"/>
  <c r="AH4" i="58" s="1"/>
  <c r="D33" i="57"/>
  <c r="BY37" i="57"/>
  <c r="DF11" i="55"/>
  <c r="A3" i="55"/>
  <c r="A7" i="55" s="1"/>
  <c r="CS3" i="55" s="1"/>
  <c r="H65" i="55"/>
  <c r="H66" i="55"/>
  <c r="A4" i="55"/>
  <c r="A8" i="55" s="1"/>
  <c r="AT9" i="55"/>
  <c r="B66" i="53"/>
  <c r="H65" i="53"/>
  <c r="N65" i="53" s="1"/>
  <c r="DO64" i="53"/>
  <c r="CK64" i="53"/>
  <c r="BY64" i="53"/>
  <c r="BA64" i="53"/>
  <c r="AO64" i="53"/>
  <c r="K64" i="53"/>
  <c r="DP63" i="53"/>
  <c r="CL63" i="53"/>
  <c r="BZ63" i="53"/>
  <c r="BB63" i="53"/>
  <c r="AP63" i="53"/>
  <c r="L63" i="53"/>
  <c r="DO62" i="53"/>
  <c r="CK62" i="53"/>
  <c r="BY62" i="53"/>
  <c r="BA62" i="53"/>
  <c r="AO62" i="53"/>
  <c r="T56" i="53"/>
  <c r="K62" i="53"/>
  <c r="DP61" i="53"/>
  <c r="CL61" i="53"/>
  <c r="BZ61" i="53"/>
  <c r="BB61" i="53"/>
  <c r="AP61" i="53"/>
  <c r="L61" i="53"/>
  <c r="DP60" i="53"/>
  <c r="CL60" i="53"/>
  <c r="BZ60" i="53"/>
  <c r="BB60" i="53"/>
  <c r="L60" i="53"/>
  <c r="CZ56" i="53"/>
  <c r="CZ55" i="53"/>
  <c r="T55" i="53"/>
  <c r="DT54" i="53"/>
  <c r="CP54" i="53"/>
  <c r="BT54" i="53"/>
  <c r="BF54" i="53"/>
  <c r="AJ54" i="53"/>
  <c r="F54" i="53"/>
  <c r="DU53" i="53"/>
  <c r="CQ53" i="53"/>
  <c r="BU53" i="53"/>
  <c r="BG53" i="53"/>
  <c r="AK53" i="53"/>
  <c r="G53" i="53"/>
  <c r="DT52" i="53"/>
  <c r="CP52" i="53"/>
  <c r="BT52" i="53"/>
  <c r="BF52" i="53"/>
  <c r="AJ52" i="53"/>
  <c r="F52" i="53"/>
  <c r="DU51" i="53"/>
  <c r="CQ51" i="53"/>
  <c r="BU51" i="53"/>
  <c r="BG51" i="53"/>
  <c r="AK51" i="53"/>
  <c r="G51" i="53"/>
  <c r="DU50" i="53"/>
  <c r="CQ50" i="53"/>
  <c r="BU50" i="53"/>
  <c r="BG50" i="53"/>
  <c r="AK50" i="53"/>
  <c r="G50" i="53"/>
  <c r="CE44" i="53"/>
  <c r="AU44" i="53"/>
  <c r="CF43" i="53"/>
  <c r="AV43" i="53"/>
  <c r="CE42" i="53"/>
  <c r="AU42" i="53"/>
  <c r="CF41" i="53"/>
  <c r="AV41" i="53"/>
  <c r="CF40" i="53"/>
  <c r="AV40" i="53"/>
  <c r="DF35" i="53"/>
  <c r="AA33" i="53"/>
  <c r="Z32" i="53"/>
  <c r="AA31" i="53"/>
  <c r="W25" i="53"/>
  <c r="DL21" i="53"/>
  <c r="BN21" i="53"/>
  <c r="DK20" i="53"/>
  <c r="BM20" i="53"/>
  <c r="DL19" i="53"/>
  <c r="BN19" i="53"/>
  <c r="DL18" i="53"/>
  <c r="BN18" i="53"/>
  <c r="B1" i="53"/>
  <c r="C5" i="41"/>
  <c r="C5" i="32"/>
  <c r="C5" i="31"/>
  <c r="C5" i="30"/>
  <c r="DJ33" i="46"/>
  <c r="DI32" i="46"/>
  <c r="AM33" i="46"/>
  <c r="AL32" i="46"/>
  <c r="BZ21" i="46"/>
  <c r="BY20" i="46"/>
  <c r="R43" i="46"/>
  <c r="Q42" i="46"/>
  <c r="CR43" i="46"/>
  <c r="CQ42" i="46"/>
  <c r="EB43" i="46"/>
  <c r="EA42" i="46"/>
  <c r="AI26" i="46"/>
  <c r="B45" i="61"/>
  <c r="X32" i="61" s="1"/>
  <c r="B41" i="61"/>
  <c r="Q32" i="61" s="1"/>
  <c r="R25" i="58"/>
  <c r="A41" i="60"/>
  <c r="B41" i="60"/>
  <c r="AT41" i="60" s="1"/>
  <c r="AS9" i="57"/>
  <c r="BP9" i="57" s="1"/>
  <c r="BN33" i="57"/>
  <c r="D24" i="57"/>
  <c r="AG24" i="57" s="1"/>
  <c r="D9" i="57"/>
  <c r="AG9" i="57" s="1"/>
  <c r="AF10" i="57"/>
  <c r="AF14" i="57"/>
  <c r="R9" i="57"/>
  <c r="AI9" i="57" s="1"/>
  <c r="AF18" i="57"/>
  <c r="AM37" i="60"/>
  <c r="AV49" i="60"/>
  <c r="C9" i="61"/>
  <c r="AT10" i="61"/>
  <c r="A22" i="61"/>
  <c r="AN37" i="60"/>
  <c r="I5" i="58"/>
  <c r="BS14" i="58"/>
  <c r="I3" i="58"/>
  <c r="CB43" i="58"/>
  <c r="AH6" i="58"/>
  <c r="I6" i="58"/>
  <c r="I4" i="58"/>
  <c r="A6" i="55"/>
  <c r="A10" i="55" s="1"/>
  <c r="BO6" i="55" s="1"/>
  <c r="N65" i="55"/>
  <c r="T65" i="55" s="1"/>
  <c r="A5" i="55"/>
  <c r="A9" i="55" s="1"/>
  <c r="CS7" i="55"/>
  <c r="H66" i="53"/>
  <c r="N48" i="53" s="1"/>
  <c r="C38" i="53"/>
  <c r="DG51" i="48"/>
  <c r="DC51" i="48"/>
  <c r="DM59" i="48"/>
  <c r="DI59" i="48"/>
  <c r="DA59" i="48"/>
  <c r="CW59" i="48"/>
  <c r="CO59" i="48"/>
  <c r="CK59" i="48"/>
  <c r="CC59" i="48"/>
  <c r="BY59" i="48"/>
  <c r="CE51" i="48"/>
  <c r="CI51" i="48"/>
  <c r="CU49" i="44"/>
  <c r="CF35" i="44"/>
  <c r="CB35" i="44"/>
  <c r="BV43" i="44"/>
  <c r="BZ43" i="44"/>
  <c r="CH43" i="44"/>
  <c r="CL43" i="44"/>
  <c r="CW43" i="44"/>
  <c r="CS43" i="44"/>
  <c r="CU50" i="44"/>
  <c r="BH43" i="46"/>
  <c r="AK20" i="44"/>
  <c r="AK19" i="44"/>
  <c r="AI20" i="44"/>
  <c r="AI19" i="44"/>
  <c r="AY10" i="44"/>
  <c r="AU10" i="44"/>
  <c r="BJ71" i="21"/>
  <c r="BJ75" i="21" s="1"/>
  <c r="BF54" i="21"/>
  <c r="BF75" i="21" s="1"/>
  <c r="BB71" i="21"/>
  <c r="BB75" i="21" s="1"/>
  <c r="AX54" i="21"/>
  <c r="AX75" i="21" s="1"/>
  <c r="AT71" i="21"/>
  <c r="AT75" i="21" s="1"/>
  <c r="AP54" i="21"/>
  <c r="AL71" i="21"/>
  <c r="AL75" i="21"/>
  <c r="AH54" i="21"/>
  <c r="AH75" i="21" s="1"/>
  <c r="AD71" i="21"/>
  <c r="AD75" i="21" s="1"/>
  <c r="Z54" i="21"/>
  <c r="Z75" i="21" s="1"/>
  <c r="V71" i="21"/>
  <c r="R54" i="21"/>
  <c r="N71" i="21"/>
  <c r="J54" i="21"/>
  <c r="F71" i="21"/>
  <c r="F75" i="21" s="1"/>
  <c r="B54" i="21"/>
  <c r="B75" i="21" s="1"/>
  <c r="BH60" i="21"/>
  <c r="BG59" i="21" s="1"/>
  <c r="BG52" i="21" s="1"/>
  <c r="AZ60" i="21"/>
  <c r="AY59" i="21" s="1"/>
  <c r="AY52" i="21" s="1"/>
  <c r="AR60" i="21"/>
  <c r="AQ59" i="21" s="1"/>
  <c r="AQ52" i="21" s="1"/>
  <c r="AJ60" i="21"/>
  <c r="AI59" i="21" s="1"/>
  <c r="AI52" i="21" s="1"/>
  <c r="AB60" i="21"/>
  <c r="AA59" i="21" s="1"/>
  <c r="AA52" i="21" s="1"/>
  <c r="T60" i="21"/>
  <c r="S59" i="21" s="1"/>
  <c r="S52" i="21" s="1"/>
  <c r="L60" i="21"/>
  <c r="K59" i="21" s="1"/>
  <c r="K52" i="21" s="1"/>
  <c r="D60" i="21"/>
  <c r="C59" i="21" s="1"/>
  <c r="C52" i="21"/>
  <c r="BH58" i="21"/>
  <c r="AZ58" i="21"/>
  <c r="AR58" i="21"/>
  <c r="AJ58" i="21"/>
  <c r="AB58" i="21"/>
  <c r="T58" i="21"/>
  <c r="L58" i="21"/>
  <c r="D58" i="21"/>
  <c r="BH57" i="21"/>
  <c r="AZ57" i="21"/>
  <c r="AR57" i="21"/>
  <c r="AJ57" i="21"/>
  <c r="AB57" i="21"/>
  <c r="T57" i="21"/>
  <c r="L57" i="21"/>
  <c r="D57" i="21"/>
  <c r="BJ52" i="21"/>
  <c r="BB52" i="21"/>
  <c r="AT52" i="21"/>
  <c r="AL52" i="21"/>
  <c r="AD52" i="21"/>
  <c r="V52" i="21"/>
  <c r="N52" i="21"/>
  <c r="F52" i="21"/>
  <c r="BJ51" i="21"/>
  <c r="BF51" i="21"/>
  <c r="BB51" i="21"/>
  <c r="AX51" i="21"/>
  <c r="AT51" i="21"/>
  <c r="AP51" i="21"/>
  <c r="AL51" i="21"/>
  <c r="AH51" i="21"/>
  <c r="AD51" i="21"/>
  <c r="Z51" i="21"/>
  <c r="V51" i="21"/>
  <c r="R51" i="21"/>
  <c r="N51" i="21"/>
  <c r="J51" i="21"/>
  <c r="F51" i="21"/>
  <c r="B51" i="21"/>
  <c r="BD47" i="21"/>
  <c r="BC46" i="21" s="1"/>
  <c r="BC39" i="21" s="1"/>
  <c r="AN47" i="21"/>
  <c r="AM46" i="21" s="1"/>
  <c r="AM39" i="21" s="1"/>
  <c r="X47" i="21"/>
  <c r="W46" i="21" s="1"/>
  <c r="W39" i="21" s="1"/>
  <c r="H47" i="21"/>
  <c r="G46" i="21" s="1"/>
  <c r="G39" i="21" s="1"/>
  <c r="BD45" i="21"/>
  <c r="AN45" i="21"/>
  <c r="X45" i="21"/>
  <c r="H45" i="21"/>
  <c r="BD44" i="21"/>
  <c r="AN44" i="21"/>
  <c r="X44" i="21"/>
  <c r="H44" i="21"/>
  <c r="BF39" i="21"/>
  <c r="AP39" i="21"/>
  <c r="Z39" i="21"/>
  <c r="J39" i="21"/>
  <c r="BF38" i="21"/>
  <c r="BB38" i="21"/>
  <c r="AP38" i="21"/>
  <c r="AL38" i="21"/>
  <c r="Z38" i="21"/>
  <c r="V38" i="21"/>
  <c r="J38" i="21"/>
  <c r="F38" i="21"/>
  <c r="AV34" i="21"/>
  <c r="AU33" i="21" s="1"/>
  <c r="AU26" i="21" s="1"/>
  <c r="P34" i="21"/>
  <c r="O33" i="21" s="1"/>
  <c r="O26" i="21" s="1"/>
  <c r="AV32" i="21"/>
  <c r="P32" i="21"/>
  <c r="AV31" i="21"/>
  <c r="P31" i="21"/>
  <c r="D28" i="21"/>
  <c r="AX26" i="21"/>
  <c r="R26" i="21"/>
  <c r="AX25" i="21"/>
  <c r="AT25" i="21"/>
  <c r="R25" i="21"/>
  <c r="N25" i="21"/>
  <c r="AF20" i="21"/>
  <c r="AE19" i="21" s="1"/>
  <c r="AE12" i="21" s="1"/>
  <c r="BH18" i="21"/>
  <c r="AF18" i="21"/>
  <c r="BH17" i="21"/>
  <c r="AF17" i="21"/>
  <c r="BJ12" i="21"/>
  <c r="BG12" i="21"/>
  <c r="AH12" i="21"/>
  <c r="BJ11" i="21"/>
  <c r="BF11" i="21"/>
  <c r="AH11" i="21"/>
  <c r="AD11" i="21"/>
  <c r="AE32" i="61"/>
  <c r="A45" i="60"/>
  <c r="A49" i="60" s="1"/>
  <c r="B49" i="60" s="1"/>
  <c r="AT49" i="60" s="1"/>
  <c r="B45" i="60"/>
  <c r="J32" i="60"/>
  <c r="AV32" i="60" s="1"/>
  <c r="AT37" i="60"/>
  <c r="AU49" i="60"/>
  <c r="AY33" i="60"/>
  <c r="AV33" i="60"/>
  <c r="AM33" i="60"/>
  <c r="AN33" i="60"/>
  <c r="AU9" i="61"/>
  <c r="N66" i="55"/>
  <c r="R75" i="21"/>
  <c r="AP75" i="21"/>
  <c r="Z65" i="55"/>
  <c r="T66" i="55"/>
  <c r="AG18" i="44"/>
  <c r="AJ18" i="44" s="1"/>
  <c r="AK18" i="44"/>
  <c r="AX10" i="44"/>
  <c r="BN89" i="52"/>
  <c r="Q32" i="60"/>
  <c r="AW32" i="60"/>
  <c r="AQ33" i="60"/>
  <c r="H37" i="52"/>
  <c r="AE32" i="60"/>
  <c r="AY32" i="60" s="1"/>
  <c r="BS29" i="58"/>
  <c r="DT84" i="52"/>
  <c r="CF84" i="52"/>
  <c r="DF25" i="46"/>
  <c r="DL25" i="46"/>
  <c r="DL26" i="46"/>
  <c r="DJ31" i="46"/>
  <c r="DJ30" i="46"/>
  <c r="DF26" i="46"/>
  <c r="BI16" i="52"/>
  <c r="EG64" i="46"/>
  <c r="DU64" i="46"/>
  <c r="EH63" i="46"/>
  <c r="DV63" i="46"/>
  <c r="EG62" i="46"/>
  <c r="ED56" i="46" s="1"/>
  <c r="DU62" i="46"/>
  <c r="DR56" i="46" s="1"/>
  <c r="EH61" i="46"/>
  <c r="DV61" i="46"/>
  <c r="EH60" i="46"/>
  <c r="EJ56" i="46"/>
  <c r="DX56" i="46"/>
  <c r="EJ55" i="46"/>
  <c r="ED55" i="46"/>
  <c r="DX55" i="46"/>
  <c r="DR55" i="46"/>
  <c r="EL54" i="46"/>
  <c r="DP54" i="46"/>
  <c r="EM53" i="46"/>
  <c r="DQ53" i="46"/>
  <c r="EL52" i="46"/>
  <c r="EI46" i="46"/>
  <c r="DP52" i="46"/>
  <c r="DM46" i="46" s="1"/>
  <c r="EM51" i="46"/>
  <c r="DQ51" i="46"/>
  <c r="EM50" i="46"/>
  <c r="DQ50" i="46"/>
  <c r="EO46" i="46"/>
  <c r="DS46" i="46"/>
  <c r="EO45" i="46"/>
  <c r="EI45" i="46"/>
  <c r="DS45" i="46"/>
  <c r="DM45" i="46"/>
  <c r="EA44" i="46"/>
  <c r="EB41" i="46"/>
  <c r="EB40" i="46"/>
  <c r="DR89" i="52"/>
  <c r="EJ51" i="52"/>
  <c r="ED51" i="52"/>
  <c r="DX51" i="52"/>
  <c r="DR51" i="52"/>
  <c r="EJ50" i="52"/>
  <c r="ED50" i="52"/>
  <c r="DX50" i="52"/>
  <c r="EO42" i="52"/>
  <c r="EI42" i="52"/>
  <c r="DS42" i="52"/>
  <c r="DM42" i="52"/>
  <c r="EO41" i="52"/>
  <c r="DS41" i="52"/>
  <c r="EP89" i="52"/>
  <c r="ED89" i="52"/>
  <c r="DB89" i="52"/>
  <c r="CP89" i="52"/>
  <c r="CD89" i="52"/>
  <c r="BB89" i="52"/>
  <c r="AP89" i="52"/>
  <c r="Z89" i="52"/>
  <c r="N89" i="52"/>
  <c r="B89" i="52"/>
  <c r="EA81" i="52"/>
  <c r="DU74" i="52" s="1"/>
  <c r="DU81" i="52"/>
  <c r="CM81" i="52"/>
  <c r="CG81" i="52"/>
  <c r="AY81" i="52"/>
  <c r="AS74" i="52" s="1"/>
  <c r="AS81" i="52"/>
  <c r="K81" i="52"/>
  <c r="E74" i="52" s="1"/>
  <c r="E81" i="52"/>
  <c r="EA80" i="52"/>
  <c r="DU80" i="52"/>
  <c r="CM80" i="52"/>
  <c r="CG80" i="52"/>
  <c r="AY80" i="52"/>
  <c r="AS80" i="52"/>
  <c r="K80" i="52"/>
  <c r="E80" i="52"/>
  <c r="EJ72" i="52"/>
  <c r="ED72" i="52"/>
  <c r="CV72" i="52"/>
  <c r="CP72" i="52"/>
  <c r="BH72" i="52"/>
  <c r="BB72" i="52"/>
  <c r="AX69" i="52" s="1"/>
  <c r="A8" i="52" s="1"/>
  <c r="BQ4" i="52" s="1"/>
  <c r="T72" i="52"/>
  <c r="J69" i="52" s="1"/>
  <c r="A7" i="52" s="1"/>
  <c r="BQ3" i="52" s="1"/>
  <c r="N72" i="52"/>
  <c r="EJ71" i="52"/>
  <c r="ED71" i="52"/>
  <c r="CV71" i="52"/>
  <c r="CP71" i="52"/>
  <c r="BH71" i="52"/>
  <c r="BB71" i="52"/>
  <c r="T71" i="52"/>
  <c r="N71" i="52"/>
  <c r="B60" i="52"/>
  <c r="H59" i="52"/>
  <c r="N59" i="52"/>
  <c r="CZ51" i="52"/>
  <c r="CT51" i="52"/>
  <c r="CN51" i="52"/>
  <c r="CH51" i="52"/>
  <c r="BP51" i="52"/>
  <c r="BJ51" i="52"/>
  <c r="BD51" i="52"/>
  <c r="AX51" i="52"/>
  <c r="AL51" i="52"/>
  <c r="AF51" i="52"/>
  <c r="Z51" i="52"/>
  <c r="T51" i="52"/>
  <c r="N51" i="52"/>
  <c r="H51" i="52"/>
  <c r="CZ50" i="52"/>
  <c r="CT50" i="52"/>
  <c r="CN50" i="52"/>
  <c r="CH50" i="52"/>
  <c r="BP50" i="52"/>
  <c r="BJ50" i="52"/>
  <c r="BD50" i="52"/>
  <c r="AL50" i="52"/>
  <c r="AF50" i="52"/>
  <c r="Z50" i="52"/>
  <c r="T50" i="52"/>
  <c r="N50" i="52"/>
  <c r="H50" i="52"/>
  <c r="DE42" i="52"/>
  <c r="CY42" i="52"/>
  <c r="CI42" i="52"/>
  <c r="CC42" i="52"/>
  <c r="BU42" i="52"/>
  <c r="BO42" i="52"/>
  <c r="AY42" i="52"/>
  <c r="AS42" i="52"/>
  <c r="AF42" i="52"/>
  <c r="Z42" i="52"/>
  <c r="I42" i="52"/>
  <c r="C42" i="52"/>
  <c r="DE41" i="52"/>
  <c r="CI41" i="52"/>
  <c r="BU41" i="52"/>
  <c r="AY41" i="52"/>
  <c r="AF41" i="52"/>
  <c r="Z41" i="52"/>
  <c r="I41" i="52"/>
  <c r="CH37" i="52"/>
  <c r="ED33" i="52"/>
  <c r="DX33" i="52"/>
  <c r="CT33" i="52"/>
  <c r="CN33" i="52"/>
  <c r="BJ33" i="52"/>
  <c r="BD33" i="52"/>
  <c r="T33" i="52"/>
  <c r="N33" i="52"/>
  <c r="ED32" i="52"/>
  <c r="CT32" i="52"/>
  <c r="BJ32" i="52"/>
  <c r="T32" i="52"/>
  <c r="T27" i="52"/>
  <c r="DO24" i="52"/>
  <c r="DI24" i="52"/>
  <c r="AO24" i="52"/>
  <c r="AI24" i="52"/>
  <c r="DO23" i="52"/>
  <c r="DI23" i="52"/>
  <c r="AO23" i="52"/>
  <c r="AI23" i="52"/>
  <c r="EC20" i="52"/>
  <c r="ED19" i="52"/>
  <c r="ED17" i="52"/>
  <c r="EF13" i="52"/>
  <c r="DZ13" i="52"/>
  <c r="CB13" i="52"/>
  <c r="BV13" i="52"/>
  <c r="EF12" i="52"/>
  <c r="DZ12" i="52"/>
  <c r="CB12" i="52"/>
  <c r="BV12" i="52"/>
  <c r="EU3" i="52"/>
  <c r="FC4" i="52" s="1"/>
  <c r="B1" i="52"/>
  <c r="A4" i="52"/>
  <c r="L4" i="52" s="1"/>
  <c r="EG21" i="52"/>
  <c r="DZ69" i="52"/>
  <c r="A10" i="52" s="1"/>
  <c r="BQ6" i="52" s="1"/>
  <c r="DO15" i="52"/>
  <c r="H60" i="52"/>
  <c r="A3" i="52"/>
  <c r="BZ10" i="49"/>
  <c r="BZ9" i="49"/>
  <c r="BZ8" i="49"/>
  <c r="BZ7" i="49"/>
  <c r="BZ6" i="49"/>
  <c r="BZ5" i="49"/>
  <c r="BZ4" i="49"/>
  <c r="BZ3" i="49"/>
  <c r="BZ2" i="49"/>
  <c r="BZ1" i="49"/>
  <c r="L3" i="52"/>
  <c r="BF9" i="52" s="1"/>
  <c r="J12" i="6"/>
  <c r="J75" i="21"/>
  <c r="J11" i="6"/>
  <c r="V75" i="21"/>
  <c r="J10" i="6"/>
  <c r="J9" i="6"/>
  <c r="N75" i="21"/>
  <c r="J8" i="6"/>
  <c r="J7" i="6"/>
  <c r="J6" i="6"/>
  <c r="J5" i="6"/>
  <c r="J4" i="6"/>
  <c r="DJ62" i="51"/>
  <c r="CX62" i="51"/>
  <c r="CL62" i="51"/>
  <c r="BZ62" i="51"/>
  <c r="DL58" i="51"/>
  <c r="DH58" i="51"/>
  <c r="CZ58" i="51"/>
  <c r="CV58" i="51"/>
  <c r="CN58" i="51"/>
  <c r="CJ58" i="51"/>
  <c r="CB58" i="51"/>
  <c r="BX58" i="51"/>
  <c r="DL57" i="51"/>
  <c r="DH57" i="51"/>
  <c r="CZ57" i="51"/>
  <c r="CV57" i="51"/>
  <c r="CN57" i="51"/>
  <c r="CJ57" i="51"/>
  <c r="CB57" i="51"/>
  <c r="BX57" i="51"/>
  <c r="DD54" i="51"/>
  <c r="CF54" i="51"/>
  <c r="DF50" i="51"/>
  <c r="DB50" i="51"/>
  <c r="CH50" i="51"/>
  <c r="CD50" i="51"/>
  <c r="DF49" i="51"/>
  <c r="DB49" i="51"/>
  <c r="CH49" i="51"/>
  <c r="CD49" i="51"/>
  <c r="BP41" i="51"/>
  <c r="BT41" i="51"/>
  <c r="AM41" i="51"/>
  <c r="BI28" i="51"/>
  <c r="BP37" i="51"/>
  <c r="AM37" i="51"/>
  <c r="BB28" i="51"/>
  <c r="AF37" i="51"/>
  <c r="AJ37" i="51" s="1"/>
  <c r="C37" i="51"/>
  <c r="R28" i="51"/>
  <c r="BP33" i="51"/>
  <c r="BQ33" i="51" s="1"/>
  <c r="AM33" i="51"/>
  <c r="AU28" i="51"/>
  <c r="AF33" i="51"/>
  <c r="AG33" i="51" s="1"/>
  <c r="C33" i="51"/>
  <c r="K28" i="51"/>
  <c r="BP29" i="51"/>
  <c r="AM29" i="51"/>
  <c r="AN28" i="51"/>
  <c r="AF29" i="51"/>
  <c r="AG29" i="51" s="1"/>
  <c r="C29" i="51"/>
  <c r="D28" i="51"/>
  <c r="Y28" i="51"/>
  <c r="BP22" i="51"/>
  <c r="AM22" i="51"/>
  <c r="BI9" i="51"/>
  <c r="BP18" i="51"/>
  <c r="BQ18" i="51" s="1"/>
  <c r="AM18" i="51"/>
  <c r="BB9" i="51"/>
  <c r="AF18" i="51"/>
  <c r="AJ18" i="51"/>
  <c r="C18" i="51"/>
  <c r="R9" i="51"/>
  <c r="BP14" i="51"/>
  <c r="AM14" i="51"/>
  <c r="AU9" i="51" s="1"/>
  <c r="AF14" i="51"/>
  <c r="C14" i="51"/>
  <c r="K9" i="51" s="1"/>
  <c r="BP10" i="51"/>
  <c r="BQ10" i="51"/>
  <c r="AM10" i="51"/>
  <c r="AN9" i="51" s="1"/>
  <c r="AF10" i="51"/>
  <c r="C10" i="51"/>
  <c r="D9" i="51"/>
  <c r="CB9" i="51"/>
  <c r="Y9" i="51"/>
  <c r="CB8" i="51"/>
  <c r="CB7" i="51"/>
  <c r="CB6" i="51"/>
  <c r="CB5" i="51"/>
  <c r="CB4" i="51"/>
  <c r="CB3" i="51"/>
  <c r="CB2" i="51"/>
  <c r="CB1" i="51"/>
  <c r="C1" i="51"/>
  <c r="DJ65" i="50"/>
  <c r="CX65" i="50"/>
  <c r="CL65" i="50"/>
  <c r="BZ65" i="50"/>
  <c r="DJ64" i="50"/>
  <c r="CX64" i="50"/>
  <c r="CL64" i="50"/>
  <c r="BZ64" i="50"/>
  <c r="DJ63" i="50"/>
  <c r="CX63" i="50"/>
  <c r="CL63" i="50"/>
  <c r="BZ63" i="50"/>
  <c r="DL59" i="50"/>
  <c r="DH59" i="50"/>
  <c r="CZ59" i="50"/>
  <c r="CV59" i="50"/>
  <c r="CV53" i="50" s="1"/>
  <c r="CN59" i="50"/>
  <c r="CJ59" i="50"/>
  <c r="CB59" i="50"/>
  <c r="BX59" i="50"/>
  <c r="DL58" i="50"/>
  <c r="DH58" i="50"/>
  <c r="CZ58" i="50"/>
  <c r="CV58" i="50"/>
  <c r="CN58" i="50"/>
  <c r="CJ58" i="50"/>
  <c r="CB58" i="50"/>
  <c r="BX58" i="50"/>
  <c r="DD57" i="50"/>
  <c r="CF57" i="50"/>
  <c r="DD56" i="50"/>
  <c r="CF56" i="50"/>
  <c r="DD55" i="50"/>
  <c r="CF55" i="50"/>
  <c r="DF51" i="50"/>
  <c r="DB51" i="50"/>
  <c r="CH51" i="50"/>
  <c r="CD51" i="50"/>
  <c r="A56" i="50" s="1"/>
  <c r="DF50" i="50"/>
  <c r="DB50" i="50"/>
  <c r="CH50" i="50"/>
  <c r="CD50" i="50"/>
  <c r="BF43" i="50"/>
  <c r="BD43" i="50"/>
  <c r="AY43" i="50"/>
  <c r="AW43" i="50"/>
  <c r="AR43" i="50"/>
  <c r="AP43" i="50"/>
  <c r="BF42" i="50"/>
  <c r="BF41" i="50" s="1"/>
  <c r="BD42" i="50"/>
  <c r="BB41" i="50"/>
  <c r="BE41" i="50"/>
  <c r="AY42" i="50"/>
  <c r="AY41" i="50" s="1"/>
  <c r="AW42" i="50"/>
  <c r="AU41" i="50" s="1"/>
  <c r="AX41" i="50" s="1"/>
  <c r="AR42" i="50"/>
  <c r="AR41" i="50"/>
  <c r="AP42" i="50"/>
  <c r="AN41" i="50" s="1"/>
  <c r="AM41" i="50"/>
  <c r="BI28" i="50"/>
  <c r="AY39" i="50"/>
  <c r="AW39" i="50"/>
  <c r="AR39" i="50"/>
  <c r="AP39" i="50"/>
  <c r="O39" i="50"/>
  <c r="M39" i="50"/>
  <c r="H39" i="50"/>
  <c r="F39" i="50"/>
  <c r="AY38" i="50"/>
  <c r="AY37" i="50"/>
  <c r="AW38" i="50"/>
  <c r="AU37" i="50"/>
  <c r="AX37" i="50" s="1"/>
  <c r="BS37" i="50" s="1"/>
  <c r="AR38" i="50"/>
  <c r="AR37" i="50"/>
  <c r="AP38" i="50"/>
  <c r="AN37" i="50" s="1"/>
  <c r="AQ37" i="50" s="1"/>
  <c r="O38" i="50"/>
  <c r="O37" i="50"/>
  <c r="M38" i="50"/>
  <c r="H38" i="50"/>
  <c r="F38" i="50"/>
  <c r="D37" i="50"/>
  <c r="G37" i="50"/>
  <c r="BM37" i="50"/>
  <c r="BI37" i="50"/>
  <c r="BL37" i="50" s="1"/>
  <c r="AM37" i="50"/>
  <c r="BB28" i="50" s="1"/>
  <c r="C37" i="50"/>
  <c r="R28" i="50" s="1"/>
  <c r="AR35" i="50"/>
  <c r="AP35" i="50"/>
  <c r="H35" i="50"/>
  <c r="F35" i="50"/>
  <c r="AR34" i="50"/>
  <c r="AR33" i="50"/>
  <c r="AP34" i="50"/>
  <c r="H34" i="50"/>
  <c r="F34" i="50"/>
  <c r="D33" i="50"/>
  <c r="G33" i="50"/>
  <c r="BM33" i="50"/>
  <c r="BI33" i="50"/>
  <c r="BL33" i="50"/>
  <c r="BF33" i="50"/>
  <c r="BB33" i="50"/>
  <c r="BE33" i="50"/>
  <c r="AM33" i="50"/>
  <c r="AU28" i="50"/>
  <c r="V33" i="50"/>
  <c r="R33" i="50"/>
  <c r="U33" i="50"/>
  <c r="AJ33" i="50" s="1"/>
  <c r="C33" i="50"/>
  <c r="K28" i="50" s="1"/>
  <c r="BP29" i="50"/>
  <c r="BM29" i="50"/>
  <c r="BI29" i="50"/>
  <c r="BL29" i="50" s="1"/>
  <c r="BF29" i="50"/>
  <c r="BB29" i="50"/>
  <c r="BE29" i="50" s="1"/>
  <c r="AY29" i="50"/>
  <c r="AU29" i="50"/>
  <c r="AM29" i="50"/>
  <c r="AN28" i="50" s="1"/>
  <c r="AF29" i="50"/>
  <c r="AH29" i="50"/>
  <c r="V29" i="50"/>
  <c r="R29" i="50"/>
  <c r="U29" i="50"/>
  <c r="O29" i="50"/>
  <c r="K29" i="50"/>
  <c r="N29" i="50" s="1"/>
  <c r="C29" i="50"/>
  <c r="D28" i="50" s="1"/>
  <c r="Y28" i="50"/>
  <c r="BF24" i="50"/>
  <c r="BD24" i="50"/>
  <c r="AY24" i="50"/>
  <c r="AW24" i="50"/>
  <c r="AR24" i="50"/>
  <c r="AP24" i="50"/>
  <c r="BF23" i="50"/>
  <c r="BF22" i="50" s="1"/>
  <c r="BD23" i="50"/>
  <c r="BB22" i="50"/>
  <c r="BE22" i="50"/>
  <c r="AY23" i="50"/>
  <c r="AY22" i="50" s="1"/>
  <c r="AW23" i="50"/>
  <c r="AU22" i="50" s="1"/>
  <c r="AX22" i="50" s="1"/>
  <c r="AR23" i="50"/>
  <c r="AR22" i="50"/>
  <c r="AP23" i="50"/>
  <c r="AN22" i="50"/>
  <c r="AQ22" i="50" s="1"/>
  <c r="AM22" i="50"/>
  <c r="BI9" i="50" s="1"/>
  <c r="AY20" i="50"/>
  <c r="AW20" i="50"/>
  <c r="AR20" i="50"/>
  <c r="AP20" i="50"/>
  <c r="O20" i="50"/>
  <c r="M20" i="50"/>
  <c r="H20" i="50"/>
  <c r="F20" i="50"/>
  <c r="AY19" i="50"/>
  <c r="AY18" i="50" s="1"/>
  <c r="AW19" i="50"/>
  <c r="AU18" i="50" s="1"/>
  <c r="AX18" i="50" s="1"/>
  <c r="AR19" i="50"/>
  <c r="AP19" i="50"/>
  <c r="AN18" i="50"/>
  <c r="AQ18" i="50" s="1"/>
  <c r="O19" i="50"/>
  <c r="O18" i="50"/>
  <c r="M19" i="50"/>
  <c r="K18" i="50" s="1"/>
  <c r="N18" i="50" s="1"/>
  <c r="H19" i="50"/>
  <c r="F19" i="50"/>
  <c r="D18" i="50"/>
  <c r="G18" i="50" s="1"/>
  <c r="BM18" i="50"/>
  <c r="BI18" i="50"/>
  <c r="BL18" i="50"/>
  <c r="BT18" i="50" s="1"/>
  <c r="AM18" i="50"/>
  <c r="BB9" i="50" s="1"/>
  <c r="C18" i="50"/>
  <c r="R9" i="50"/>
  <c r="AR16" i="50"/>
  <c r="AP16" i="50"/>
  <c r="H16" i="50"/>
  <c r="F16" i="50"/>
  <c r="AR15" i="50"/>
  <c r="AR14" i="50" s="1"/>
  <c r="AP15" i="50"/>
  <c r="H15" i="50"/>
  <c r="H14" i="50"/>
  <c r="F15" i="50"/>
  <c r="AF14" i="50" s="1"/>
  <c r="BM14" i="50"/>
  <c r="BI14" i="50"/>
  <c r="BL14" i="50" s="1"/>
  <c r="BF14" i="50"/>
  <c r="BB14" i="50"/>
  <c r="BE14" i="50"/>
  <c r="AM14" i="50"/>
  <c r="AU9" i="50"/>
  <c r="V14" i="50"/>
  <c r="R14" i="50"/>
  <c r="U14" i="50" s="1"/>
  <c r="C14" i="50"/>
  <c r="K9" i="50" s="1"/>
  <c r="BP10" i="50"/>
  <c r="BR10" i="50"/>
  <c r="BM10" i="50"/>
  <c r="BI10" i="50"/>
  <c r="BL10" i="50"/>
  <c r="BF10" i="50"/>
  <c r="BB10" i="50"/>
  <c r="BE10" i="50" s="1"/>
  <c r="AY10" i="50"/>
  <c r="AU10" i="50"/>
  <c r="AX10" i="50"/>
  <c r="AM10" i="50"/>
  <c r="AN9" i="50"/>
  <c r="AF10" i="50"/>
  <c r="V10" i="50"/>
  <c r="R10" i="50"/>
  <c r="U10" i="50"/>
  <c r="O10" i="50"/>
  <c r="K10" i="50"/>
  <c r="N10" i="50" s="1"/>
  <c r="AI10" i="50" s="1"/>
  <c r="C10" i="50"/>
  <c r="D9" i="50" s="1"/>
  <c r="Y9" i="50"/>
  <c r="C1" i="50"/>
  <c r="DH67" i="49"/>
  <c r="CJ67" i="49"/>
  <c r="DK65" i="49"/>
  <c r="CY65" i="49"/>
  <c r="CM65" i="49"/>
  <c r="CA65" i="49"/>
  <c r="DM59" i="49"/>
  <c r="DI59" i="49"/>
  <c r="DA59" i="49"/>
  <c r="CW59" i="49"/>
  <c r="CO59" i="49"/>
  <c r="CO53" i="49" s="1"/>
  <c r="CK59" i="49"/>
  <c r="CC59" i="49"/>
  <c r="BY53" i="49" s="1"/>
  <c r="BY59" i="49"/>
  <c r="DM58" i="49"/>
  <c r="DI58" i="49"/>
  <c r="DA58" i="49"/>
  <c r="CW58" i="49"/>
  <c r="CO58" i="49"/>
  <c r="CK58" i="49"/>
  <c r="CC58" i="49"/>
  <c r="BY58" i="49"/>
  <c r="DE57" i="49"/>
  <c r="CG57" i="49"/>
  <c r="DG51" i="49"/>
  <c r="DC51" i="49"/>
  <c r="CI51" i="49"/>
  <c r="A3" i="49" s="1"/>
  <c r="CE51" i="49"/>
  <c r="DG50" i="49"/>
  <c r="DC50" i="49"/>
  <c r="CI50" i="49"/>
  <c r="CE50" i="49"/>
  <c r="BQ41" i="49"/>
  <c r="BU41" i="49"/>
  <c r="AM41" i="49"/>
  <c r="BI28" i="49" s="1"/>
  <c r="BQ37" i="49"/>
  <c r="BR37" i="49" s="1"/>
  <c r="AM37" i="49"/>
  <c r="BB28" i="49" s="1"/>
  <c r="AF37" i="49"/>
  <c r="AG37" i="49"/>
  <c r="C37" i="49"/>
  <c r="R28" i="49"/>
  <c r="BQ33" i="49"/>
  <c r="BR33" i="49"/>
  <c r="AM33" i="49"/>
  <c r="AU28" i="49" s="1"/>
  <c r="AF33" i="49"/>
  <c r="AG33" i="49"/>
  <c r="C33" i="49"/>
  <c r="K28" i="49"/>
  <c r="BQ29" i="49"/>
  <c r="AM29" i="49"/>
  <c r="AN28" i="49" s="1"/>
  <c r="AF29" i="49"/>
  <c r="AG29" i="49" s="1"/>
  <c r="C29" i="49"/>
  <c r="D28" i="49"/>
  <c r="Y28" i="49"/>
  <c r="BF24" i="49"/>
  <c r="BD24" i="49"/>
  <c r="AY24" i="49"/>
  <c r="AW24" i="49"/>
  <c r="AR24" i="49"/>
  <c r="AP24" i="49"/>
  <c r="BF23" i="49"/>
  <c r="BF22" i="49"/>
  <c r="BD23" i="49"/>
  <c r="BB22" i="49"/>
  <c r="BE22" i="49" s="1"/>
  <c r="AY23" i="49"/>
  <c r="AY22" i="49" s="1"/>
  <c r="AW23" i="49"/>
  <c r="AU22" i="49"/>
  <c r="AX22" i="49"/>
  <c r="AR23" i="49"/>
  <c r="AR22" i="49"/>
  <c r="AP23" i="49"/>
  <c r="AN22" i="49" s="1"/>
  <c r="AQ22" i="49" s="1"/>
  <c r="AM22" i="49"/>
  <c r="BU21" i="49"/>
  <c r="BI18" i="49"/>
  <c r="BM18" i="49" s="1"/>
  <c r="AM18" i="49"/>
  <c r="BB9" i="49" s="1"/>
  <c r="AF18" i="49"/>
  <c r="AH18" i="49" s="1"/>
  <c r="C18" i="49"/>
  <c r="R9" i="49"/>
  <c r="BU17" i="49"/>
  <c r="BI14" i="49"/>
  <c r="BQ14" i="49"/>
  <c r="AM14" i="49"/>
  <c r="AU9" i="49" s="1"/>
  <c r="AF14" i="49"/>
  <c r="AG14" i="49"/>
  <c r="C14" i="49"/>
  <c r="K9" i="49"/>
  <c r="BU13" i="49"/>
  <c r="BI10" i="49"/>
  <c r="AM10" i="49"/>
  <c r="AN9" i="49" s="1"/>
  <c r="AF10" i="49"/>
  <c r="AH10" i="49"/>
  <c r="C10" i="49"/>
  <c r="D9" i="49" s="1"/>
  <c r="Y9" i="49"/>
  <c r="C1" i="49"/>
  <c r="DK65" i="48"/>
  <c r="CY65" i="48"/>
  <c r="CM65" i="48"/>
  <c r="CA65" i="48"/>
  <c r="DK64" i="48"/>
  <c r="CY64" i="48"/>
  <c r="CM64" i="48"/>
  <c r="CA64" i="48"/>
  <c r="DK63" i="48"/>
  <c r="CY63" i="48"/>
  <c r="CM63" i="48"/>
  <c r="CA63" i="48"/>
  <c r="DM58" i="48"/>
  <c r="DI58" i="48"/>
  <c r="DA58" i="48"/>
  <c r="CW58" i="48"/>
  <c r="CO58" i="48"/>
  <c r="CK58" i="48"/>
  <c r="CC58" i="48"/>
  <c r="BY58" i="48"/>
  <c r="DE57" i="48"/>
  <c r="CG57" i="48"/>
  <c r="DE56" i="48"/>
  <c r="CG56" i="48"/>
  <c r="DE55" i="48"/>
  <c r="CG55" i="48"/>
  <c r="DG50" i="48"/>
  <c r="DC50" i="48"/>
  <c r="CI50" i="48"/>
  <c r="CE50" i="48"/>
  <c r="BF43" i="48"/>
  <c r="BD43" i="48"/>
  <c r="AY43" i="48"/>
  <c r="AW43" i="48"/>
  <c r="AR43" i="48"/>
  <c r="AP43" i="48"/>
  <c r="BF42" i="48"/>
  <c r="BF41" i="48" s="1"/>
  <c r="BD42" i="48"/>
  <c r="AY42" i="48"/>
  <c r="AW42" i="48"/>
  <c r="AR42" i="48"/>
  <c r="AP42" i="48"/>
  <c r="BI28" i="48"/>
  <c r="AY39" i="48"/>
  <c r="AW39" i="48"/>
  <c r="AR39" i="48"/>
  <c r="AP39" i="48"/>
  <c r="O39" i="48"/>
  <c r="M39" i="48"/>
  <c r="H39" i="48"/>
  <c r="F39" i="48"/>
  <c r="AY38" i="48"/>
  <c r="AW38" i="48"/>
  <c r="AU37" i="48" s="1"/>
  <c r="AX37" i="48" s="1"/>
  <c r="AR38" i="48"/>
  <c r="AP38" i="48"/>
  <c r="AN37" i="48" s="1"/>
  <c r="AQ37" i="48" s="1"/>
  <c r="O38" i="48"/>
  <c r="O37" i="48"/>
  <c r="M38" i="48"/>
  <c r="K37" i="48" s="1"/>
  <c r="N37" i="48" s="1"/>
  <c r="H38" i="48"/>
  <c r="F38" i="48"/>
  <c r="D37" i="48" s="1"/>
  <c r="G37" i="48" s="1"/>
  <c r="BN37" i="48"/>
  <c r="BI37" i="48"/>
  <c r="BB28" i="48"/>
  <c r="R28" i="48"/>
  <c r="AR35" i="48"/>
  <c r="AP35" i="48"/>
  <c r="H35" i="48"/>
  <c r="F35" i="48"/>
  <c r="AR34" i="48"/>
  <c r="AP34" i="48"/>
  <c r="H34" i="48"/>
  <c r="F34" i="48"/>
  <c r="D33" i="48" s="1"/>
  <c r="G33" i="48" s="1"/>
  <c r="BN33" i="48"/>
  <c r="BI33" i="48"/>
  <c r="BL33" i="48" s="1"/>
  <c r="BF33" i="48"/>
  <c r="BB33" i="48"/>
  <c r="AU28" i="48"/>
  <c r="V33" i="48"/>
  <c r="R33" i="48"/>
  <c r="K28" i="48"/>
  <c r="BN29" i="48"/>
  <c r="BI29" i="48"/>
  <c r="BL29" i="48" s="1"/>
  <c r="BF29" i="48"/>
  <c r="BB29" i="48"/>
  <c r="AY29" i="48"/>
  <c r="AU29" i="48"/>
  <c r="AN28" i="48"/>
  <c r="V29" i="48"/>
  <c r="R29" i="48"/>
  <c r="O29" i="48"/>
  <c r="K29" i="48"/>
  <c r="D28" i="48"/>
  <c r="Y28" i="48"/>
  <c r="BF24" i="48"/>
  <c r="BD24" i="48"/>
  <c r="AY24" i="48"/>
  <c r="AW24" i="48"/>
  <c r="AR24" i="48"/>
  <c r="AP24" i="48"/>
  <c r="BF23" i="48"/>
  <c r="BF22" i="48" s="1"/>
  <c r="BD23" i="48"/>
  <c r="BB22" i="48"/>
  <c r="BE22" i="48"/>
  <c r="AY23" i="48"/>
  <c r="AY22" i="48"/>
  <c r="AW23" i="48"/>
  <c r="AR23" i="48"/>
  <c r="AR22" i="48" s="1"/>
  <c r="AP23" i="48"/>
  <c r="AN22" i="48"/>
  <c r="AQ22" i="48"/>
  <c r="AM22" i="48"/>
  <c r="BU21" i="48"/>
  <c r="AY20" i="48"/>
  <c r="AW20" i="48"/>
  <c r="AR20" i="48"/>
  <c r="AP20" i="48"/>
  <c r="O20" i="48"/>
  <c r="M20" i="48"/>
  <c r="H20" i="48"/>
  <c r="F20" i="48"/>
  <c r="AY19" i="48"/>
  <c r="AY18" i="48" s="1"/>
  <c r="AW19" i="48"/>
  <c r="AU18" i="48"/>
  <c r="AR19" i="48"/>
  <c r="AP19" i="48"/>
  <c r="AN18" i="48" s="1"/>
  <c r="AQ18" i="48" s="1"/>
  <c r="O19" i="48"/>
  <c r="M19" i="48"/>
  <c r="K18" i="48" s="1"/>
  <c r="N18" i="48" s="1"/>
  <c r="H19" i="48"/>
  <c r="F19" i="48"/>
  <c r="D18" i="48"/>
  <c r="G18" i="48" s="1"/>
  <c r="BB9" i="48"/>
  <c r="R9" i="48"/>
  <c r="BU17" i="48"/>
  <c r="AR16" i="48"/>
  <c r="AP16" i="48"/>
  <c r="H16" i="48"/>
  <c r="F16" i="48"/>
  <c r="AR15" i="48"/>
  <c r="AP15" i="48"/>
  <c r="AN14" i="48" s="1"/>
  <c r="AQ14" i="48" s="1"/>
  <c r="H15" i="48"/>
  <c r="F15" i="48"/>
  <c r="D14" i="48" s="1"/>
  <c r="BF14" i="48"/>
  <c r="BB14" i="48"/>
  <c r="AU9" i="48"/>
  <c r="V14" i="48"/>
  <c r="R14" i="48"/>
  <c r="K9" i="48"/>
  <c r="BU13" i="48"/>
  <c r="BF10" i="48"/>
  <c r="BB10" i="48"/>
  <c r="AY10" i="48"/>
  <c r="AU10" i="48"/>
  <c r="AN9" i="48"/>
  <c r="V10" i="48"/>
  <c r="R10" i="48"/>
  <c r="O10" i="48"/>
  <c r="K10" i="48"/>
  <c r="D9" i="48"/>
  <c r="Y9" i="48"/>
  <c r="C1" i="48"/>
  <c r="DX97" i="46"/>
  <c r="CJ97" i="46"/>
  <c r="AV97" i="46"/>
  <c r="H97" i="46"/>
  <c r="DY96" i="46"/>
  <c r="CK96" i="46"/>
  <c r="AW96" i="46"/>
  <c r="I96" i="46"/>
  <c r="DX95" i="46"/>
  <c r="DU89" i="46"/>
  <c r="CJ95" i="46"/>
  <c r="CG89" i="46" s="1"/>
  <c r="AV95" i="46"/>
  <c r="AS89" i="46" s="1"/>
  <c r="H95" i="46"/>
  <c r="E89" i="46" s="1"/>
  <c r="E81" i="46" s="1"/>
  <c r="DY94" i="46"/>
  <c r="CK94" i="46"/>
  <c r="AW94" i="46"/>
  <c r="I94" i="46"/>
  <c r="DY93" i="46"/>
  <c r="CK93" i="46"/>
  <c r="AW93" i="46"/>
  <c r="I93" i="46"/>
  <c r="EA89" i="46"/>
  <c r="CM89" i="46"/>
  <c r="AY89" i="46"/>
  <c r="K89" i="46"/>
  <c r="EA88" i="46"/>
  <c r="DU88" i="46"/>
  <c r="CM88" i="46"/>
  <c r="CG88" i="46"/>
  <c r="AY88" i="46"/>
  <c r="AS88" i="46"/>
  <c r="K88" i="46"/>
  <c r="E88" i="46"/>
  <c r="EG87" i="46"/>
  <c r="CS87" i="46"/>
  <c r="BE87" i="46"/>
  <c r="Q87" i="46"/>
  <c r="EH86" i="46"/>
  <c r="CT86" i="46"/>
  <c r="BF86" i="46"/>
  <c r="R86" i="46"/>
  <c r="EG85" i="46"/>
  <c r="ED79" i="46" s="1"/>
  <c r="CS85" i="46"/>
  <c r="CP79" i="46" s="1"/>
  <c r="BE85" i="46"/>
  <c r="BB79" i="46"/>
  <c r="Q85" i="46"/>
  <c r="N79" i="46" s="1"/>
  <c r="J75" i="46" s="1"/>
  <c r="EH84" i="46"/>
  <c r="CT84" i="46"/>
  <c r="BF84" i="46"/>
  <c r="R84" i="46"/>
  <c r="EH83" i="46"/>
  <c r="CT83" i="46"/>
  <c r="BF83" i="46"/>
  <c r="R83" i="46"/>
  <c r="EJ79" i="46"/>
  <c r="DZ75" i="46" s="1"/>
  <c r="A10" i="46" s="1"/>
  <c r="CV79" i="46"/>
  <c r="BH79" i="46"/>
  <c r="T79" i="46"/>
  <c r="EJ78" i="46"/>
  <c r="ED78" i="46"/>
  <c r="CV78" i="46"/>
  <c r="CP78" i="46"/>
  <c r="BH78" i="46"/>
  <c r="BB78" i="46"/>
  <c r="T78" i="46"/>
  <c r="N78" i="46"/>
  <c r="B66" i="46"/>
  <c r="H65" i="46"/>
  <c r="N65" i="46"/>
  <c r="N66" i="46" s="1"/>
  <c r="CW64" i="46"/>
  <c r="CK64" i="46"/>
  <c r="BM64" i="46"/>
  <c r="BA64" i="46"/>
  <c r="AI64" i="46"/>
  <c r="W64" i="46"/>
  <c r="K64" i="46"/>
  <c r="CX63" i="46"/>
  <c r="CL63" i="46"/>
  <c r="BN63" i="46"/>
  <c r="BB63" i="46"/>
  <c r="AJ63" i="46"/>
  <c r="X63" i="46"/>
  <c r="L63" i="46"/>
  <c r="CW62" i="46"/>
  <c r="CT56" i="46" s="1"/>
  <c r="CK62" i="46"/>
  <c r="CH56" i="46" s="1"/>
  <c r="BM62" i="46"/>
  <c r="BJ56" i="46" s="1"/>
  <c r="BJ48" i="46" s="1"/>
  <c r="BA62" i="46"/>
  <c r="AX56" i="46"/>
  <c r="AI62" i="46"/>
  <c r="AF56" i="46" s="1"/>
  <c r="W62" i="46"/>
  <c r="T56" i="46" s="1"/>
  <c r="K62" i="46"/>
  <c r="H56" i="46" s="1"/>
  <c r="N48" i="46" s="1"/>
  <c r="CX61" i="46"/>
  <c r="CL61" i="46"/>
  <c r="BN61" i="46"/>
  <c r="BB61" i="46"/>
  <c r="AJ61" i="46"/>
  <c r="X61" i="46"/>
  <c r="L61" i="46"/>
  <c r="CX60" i="46"/>
  <c r="CL60" i="46"/>
  <c r="BN60" i="46"/>
  <c r="AJ60" i="46"/>
  <c r="X60" i="46"/>
  <c r="L60" i="46"/>
  <c r="CZ56" i="46"/>
  <c r="CN56" i="46"/>
  <c r="BP56" i="46"/>
  <c r="BD56" i="46"/>
  <c r="AL56" i="46"/>
  <c r="Z56" i="46"/>
  <c r="N56" i="46"/>
  <c r="CZ55" i="46"/>
  <c r="CT55" i="46"/>
  <c r="CN55" i="46"/>
  <c r="CH55" i="46"/>
  <c r="BP55" i="46"/>
  <c r="BJ55" i="46"/>
  <c r="BD55" i="46"/>
  <c r="AX55" i="46"/>
  <c r="AL55" i="46"/>
  <c r="AF55" i="46"/>
  <c r="Z55" i="46"/>
  <c r="T55" i="46"/>
  <c r="N55" i="46"/>
  <c r="H55" i="46"/>
  <c r="DB54" i="46"/>
  <c r="CF54" i="46"/>
  <c r="BR54" i="46"/>
  <c r="AV54" i="46"/>
  <c r="AC54" i="46"/>
  <c r="F54" i="46"/>
  <c r="DC53" i="46"/>
  <c r="CG53" i="46"/>
  <c r="BS53" i="46"/>
  <c r="AW53" i="46"/>
  <c r="AD53" i="46"/>
  <c r="G53" i="46"/>
  <c r="DB52" i="46"/>
  <c r="CY46" i="46" s="1"/>
  <c r="CF52" i="46"/>
  <c r="CC46" i="46"/>
  <c r="BR52" i="46"/>
  <c r="BO46" i="46" s="1"/>
  <c r="AV52" i="46"/>
  <c r="AS46" i="46" s="1"/>
  <c r="AS38" i="46" s="1"/>
  <c r="AP98" i="46" s="1"/>
  <c r="AC52" i="46"/>
  <c r="Z46" i="46" s="1"/>
  <c r="F52" i="46"/>
  <c r="C46" i="46"/>
  <c r="DC51" i="46"/>
  <c r="CG51" i="46"/>
  <c r="BS51" i="46"/>
  <c r="AW51" i="46"/>
  <c r="AD51" i="46"/>
  <c r="G51" i="46"/>
  <c r="DC50" i="46"/>
  <c r="CG50" i="46"/>
  <c r="BS50" i="46"/>
  <c r="AW50" i="46"/>
  <c r="AD50" i="46"/>
  <c r="G50" i="46"/>
  <c r="DE46" i="46"/>
  <c r="CI46" i="46"/>
  <c r="BU46" i="46"/>
  <c r="AY46" i="46"/>
  <c r="AF46" i="46"/>
  <c r="I46" i="46"/>
  <c r="DE45" i="46"/>
  <c r="CY45" i="46"/>
  <c r="CI45" i="46"/>
  <c r="CC45" i="46"/>
  <c r="BU45" i="46"/>
  <c r="BO45" i="46"/>
  <c r="AY45" i="46"/>
  <c r="AS45" i="46"/>
  <c r="AF45" i="46"/>
  <c r="Z45" i="46"/>
  <c r="I45" i="46"/>
  <c r="C45" i="46"/>
  <c r="CQ44" i="46"/>
  <c r="BG44" i="46"/>
  <c r="Q44" i="46"/>
  <c r="DX36" i="46"/>
  <c r="CN36" i="46"/>
  <c r="BG42" i="46"/>
  <c r="BD36" i="46" s="1"/>
  <c r="N36" i="46"/>
  <c r="CR41" i="46"/>
  <c r="BH41" i="46"/>
  <c r="R41" i="46"/>
  <c r="CR40" i="46"/>
  <c r="BH40" i="46"/>
  <c r="R40" i="46"/>
  <c r="ED36" i="46"/>
  <c r="CT36" i="46"/>
  <c r="BJ36" i="46"/>
  <c r="T36" i="46"/>
  <c r="ED35" i="46"/>
  <c r="DX35" i="46"/>
  <c r="CT35" i="46"/>
  <c r="CN35" i="46"/>
  <c r="BJ35" i="46"/>
  <c r="BD35" i="46"/>
  <c r="T35" i="46"/>
  <c r="N35" i="46"/>
  <c r="AM31" i="46"/>
  <c r="AM30" i="46"/>
  <c r="AO26" i="46"/>
  <c r="AI16" i="46" s="1"/>
  <c r="AO25" i="46"/>
  <c r="AI25" i="46"/>
  <c r="BY24" i="46"/>
  <c r="BZ23" i="46"/>
  <c r="BY22" i="46"/>
  <c r="BV14" i="46"/>
  <c r="ED21" i="46"/>
  <c r="EC20" i="46"/>
  <c r="DZ14" i="46" s="1"/>
  <c r="DX11" i="46" s="1"/>
  <c r="ED19" i="46"/>
  <c r="BZ19" i="46"/>
  <c r="ED18" i="46"/>
  <c r="BZ18" i="46"/>
  <c r="EF14" i="46"/>
  <c r="CB14" i="46"/>
  <c r="EF13" i="46"/>
  <c r="DZ13" i="46"/>
  <c r="CB13" i="46"/>
  <c r="BV13" i="46"/>
  <c r="B1" i="46"/>
  <c r="A52" i="45"/>
  <c r="A51" i="45"/>
  <c r="CC49" i="45"/>
  <c r="CE43" i="45"/>
  <c r="CE37" i="45" s="1"/>
  <c r="CA43" i="45"/>
  <c r="CQ51" i="45" s="1"/>
  <c r="BS43" i="45"/>
  <c r="BO43" i="45"/>
  <c r="CE42" i="45"/>
  <c r="CA42" i="45"/>
  <c r="BS42" i="45"/>
  <c r="BO42" i="45"/>
  <c r="BY35" i="45"/>
  <c r="A3" i="45" s="1"/>
  <c r="I4" i="45" s="1"/>
  <c r="BU35" i="45"/>
  <c r="BY34" i="45"/>
  <c r="BU34" i="45"/>
  <c r="BN30" i="45"/>
  <c r="BB18" i="45"/>
  <c r="BC18" i="45"/>
  <c r="AF18" i="45"/>
  <c r="AU9" i="45"/>
  <c r="Y18" i="45"/>
  <c r="Z18" i="45" s="1"/>
  <c r="C18" i="45"/>
  <c r="R9" i="45"/>
  <c r="BB14" i="45"/>
  <c r="BD14" i="45"/>
  <c r="AF14" i="45"/>
  <c r="AN9" i="45"/>
  <c r="Y14" i="45"/>
  <c r="AA14" i="45" s="1"/>
  <c r="C14" i="45"/>
  <c r="K9" i="45"/>
  <c r="BB10" i="45"/>
  <c r="AF10" i="45"/>
  <c r="AG9" i="45" s="1"/>
  <c r="Y10" i="45"/>
  <c r="AA10" i="45" s="1"/>
  <c r="C10" i="45"/>
  <c r="D9" i="45" s="1"/>
  <c r="BN7" i="45"/>
  <c r="BP7" i="45"/>
  <c r="BN6" i="45"/>
  <c r="BP6" i="45"/>
  <c r="A6" i="45"/>
  <c r="BN5" i="45"/>
  <c r="BP5" i="45" s="1"/>
  <c r="AU14" i="45" s="1"/>
  <c r="BN4" i="45"/>
  <c r="BN3" i="45"/>
  <c r="BN2" i="45"/>
  <c r="BN1" i="45"/>
  <c r="BP1" i="45"/>
  <c r="C1" i="45"/>
  <c r="A52" i="44"/>
  <c r="A51" i="44"/>
  <c r="CJ49" i="44"/>
  <c r="BX49" i="44"/>
  <c r="CU48" i="44"/>
  <c r="CJ48" i="44"/>
  <c r="BX48" i="44"/>
  <c r="CU47" i="44"/>
  <c r="CJ47" i="44"/>
  <c r="BX47" i="44"/>
  <c r="CW42" i="44"/>
  <c r="CS42" i="44"/>
  <c r="CL42" i="44"/>
  <c r="CH42" i="44"/>
  <c r="BZ42" i="44"/>
  <c r="BV42" i="44"/>
  <c r="CD41" i="44"/>
  <c r="CD40" i="44"/>
  <c r="CD39" i="44"/>
  <c r="CF34" i="44"/>
  <c r="CB34" i="44"/>
  <c r="AR20" i="44"/>
  <c r="AP20" i="44"/>
  <c r="O20" i="44"/>
  <c r="M20" i="44"/>
  <c r="H20" i="44"/>
  <c r="F20" i="44"/>
  <c r="AR19" i="44"/>
  <c r="AP19" i="44"/>
  <c r="AN18" i="44" s="1"/>
  <c r="AQ18" i="44" s="1"/>
  <c r="O19" i="44"/>
  <c r="M19" i="44"/>
  <c r="K18" i="44" s="1"/>
  <c r="N18" i="44" s="1"/>
  <c r="H19" i="44"/>
  <c r="F19" i="44"/>
  <c r="AU9" i="44"/>
  <c r="R9" i="44"/>
  <c r="AK16" i="44"/>
  <c r="AI16" i="44"/>
  <c r="H16" i="44"/>
  <c r="F16" i="44"/>
  <c r="AK15" i="44"/>
  <c r="AI15" i="44"/>
  <c r="AG14" i="44" s="1"/>
  <c r="AJ14" i="44" s="1"/>
  <c r="H15" i="44"/>
  <c r="H14" i="44" s="1"/>
  <c r="F15" i="44"/>
  <c r="AY14" i="44"/>
  <c r="AU14" i="44"/>
  <c r="AX14" i="44" s="1"/>
  <c r="AN9" i="44"/>
  <c r="V14" i="44"/>
  <c r="R14" i="44"/>
  <c r="K9" i="44"/>
  <c r="AR10" i="44"/>
  <c r="AN10" i="44"/>
  <c r="AG9" i="44"/>
  <c r="V10" i="44"/>
  <c r="R10" i="44"/>
  <c r="O10" i="44"/>
  <c r="AB10" i="44" s="1"/>
  <c r="K10" i="44"/>
  <c r="D9" i="44"/>
  <c r="C1" i="44"/>
  <c r="J26" i="43"/>
  <c r="J25" i="43"/>
  <c r="D20" i="43"/>
  <c r="D19" i="43"/>
  <c r="D18" i="43"/>
  <c r="D17" i="43"/>
  <c r="D16" i="43"/>
  <c r="D15" i="43"/>
  <c r="D14" i="43"/>
  <c r="D13" i="43"/>
  <c r="D12" i="43"/>
  <c r="D11" i="43"/>
  <c r="D10" i="43"/>
  <c r="D9" i="43"/>
  <c r="D8" i="43"/>
  <c r="D7" i="43"/>
  <c r="D6" i="43"/>
  <c r="J5" i="43"/>
  <c r="D5" i="43"/>
  <c r="J4" i="43"/>
  <c r="D4" i="43"/>
  <c r="J3" i="43"/>
  <c r="D3" i="43"/>
  <c r="CZ63" i="58"/>
  <c r="CB63" i="58"/>
  <c r="A4" i="51"/>
  <c r="I5" i="51" s="1"/>
  <c r="CN52" i="51"/>
  <c r="AR14" i="48"/>
  <c r="BL37" i="48"/>
  <c r="AX29" i="48"/>
  <c r="DL52" i="51"/>
  <c r="AN41" i="48"/>
  <c r="H18" i="48"/>
  <c r="O18" i="44"/>
  <c r="A6" i="51"/>
  <c r="AP3" i="51" s="1"/>
  <c r="DA47" i="51" s="1"/>
  <c r="D14" i="44"/>
  <c r="AN33" i="48"/>
  <c r="AQ33" i="48" s="1"/>
  <c r="H33" i="48"/>
  <c r="N29" i="48"/>
  <c r="U33" i="48"/>
  <c r="AR18" i="48"/>
  <c r="BI18" i="48"/>
  <c r="A6" i="50"/>
  <c r="BK3" i="50" s="1"/>
  <c r="AH18" i="51"/>
  <c r="AR18" i="44"/>
  <c r="U29" i="48"/>
  <c r="U10" i="48"/>
  <c r="H14" i="48"/>
  <c r="A2" i="51"/>
  <c r="I3" i="51"/>
  <c r="CC47" i="51"/>
  <c r="AF29" i="48"/>
  <c r="AH29" i="48" s="1"/>
  <c r="AR41" i="48"/>
  <c r="AX18" i="48"/>
  <c r="A3" i="51"/>
  <c r="I4" i="51"/>
  <c r="U14" i="44"/>
  <c r="BB41" i="48"/>
  <c r="BE41" i="48" s="1"/>
  <c r="Y5" i="45"/>
  <c r="AQ10" i="44"/>
  <c r="AF10" i="48"/>
  <c r="AG10" i="48"/>
  <c r="BE10" i="48"/>
  <c r="AR33" i="48"/>
  <c r="AX10" i="48"/>
  <c r="U14" i="48"/>
  <c r="BB10" i="44"/>
  <c r="H18" i="44"/>
  <c r="N10" i="44"/>
  <c r="BE29" i="48"/>
  <c r="BE33" i="48"/>
  <c r="BT33" i="48" s="1"/>
  <c r="AY37" i="48"/>
  <c r="BE14" i="48"/>
  <c r="BO37" i="45"/>
  <c r="AF33" i="50"/>
  <c r="AH33" i="50"/>
  <c r="AC18" i="45"/>
  <c r="A5" i="50"/>
  <c r="AH6" i="50" s="1"/>
  <c r="BQ10" i="50"/>
  <c r="BR10" i="51"/>
  <c r="BS41" i="49"/>
  <c r="BP14" i="50"/>
  <c r="BX52" i="51"/>
  <c r="CV52" i="51"/>
  <c r="BT41" i="49"/>
  <c r="CW53" i="49"/>
  <c r="D14" i="50"/>
  <c r="G14" i="50" s="1"/>
  <c r="CN53" i="50"/>
  <c r="DL53" i="50"/>
  <c r="BR18" i="51"/>
  <c r="A6" i="49"/>
  <c r="AP3" i="49" s="1"/>
  <c r="DB47" i="49" s="1"/>
  <c r="AG29" i="50"/>
  <c r="H33" i="50"/>
  <c r="BP37" i="50"/>
  <c r="BQ37" i="50" s="1"/>
  <c r="AH37" i="51"/>
  <c r="AG18" i="51"/>
  <c r="AI37" i="51"/>
  <c r="A54" i="51"/>
  <c r="AK14" i="44"/>
  <c r="A55" i="50"/>
  <c r="BX53" i="50"/>
  <c r="BQ41" i="51"/>
  <c r="CK51" i="45"/>
  <c r="BR41" i="49"/>
  <c r="AN14" i="50"/>
  <c r="AG37" i="51"/>
  <c r="BR41" i="51"/>
  <c r="Z14" i="45"/>
  <c r="BC14" i="45"/>
  <c r="BD18" i="45"/>
  <c r="AH29" i="49"/>
  <c r="DM53" i="49"/>
  <c r="AH37" i="49"/>
  <c r="AI37" i="49"/>
  <c r="BR18" i="49"/>
  <c r="AH14" i="49"/>
  <c r="U10" i="44"/>
  <c r="T65" i="46"/>
  <c r="BP2" i="45"/>
  <c r="A2" i="45"/>
  <c r="C38" i="46"/>
  <c r="AU22" i="48"/>
  <c r="BQ22" i="48"/>
  <c r="BS22" i="48" s="1"/>
  <c r="AU41" i="48"/>
  <c r="AX41" i="48" s="1"/>
  <c r="BD10" i="45"/>
  <c r="BC10" i="45"/>
  <c r="AB18" i="45"/>
  <c r="AA18" i="45"/>
  <c r="BS29" i="49"/>
  <c r="BR29" i="49"/>
  <c r="BR29" i="50"/>
  <c r="BQ29" i="50"/>
  <c r="BS22" i="51"/>
  <c r="BR22" i="51"/>
  <c r="BT22" i="51"/>
  <c r="BQ22" i="51"/>
  <c r="AG18" i="49"/>
  <c r="BT10" i="50"/>
  <c r="H66" i="46"/>
  <c r="AG10" i="49"/>
  <c r="BM14" i="49"/>
  <c r="AI18" i="49"/>
  <c r="BQ22" i="49"/>
  <c r="AF18" i="50"/>
  <c r="H18" i="50"/>
  <c r="AJ18" i="50" s="1"/>
  <c r="AR18" i="50"/>
  <c r="BP18" i="50"/>
  <c r="BP33" i="50"/>
  <c r="AN33" i="50"/>
  <c r="AQ33" i="50" s="1"/>
  <c r="AJ18" i="49"/>
  <c r="AH10" i="50"/>
  <c r="AG10" i="50"/>
  <c r="BP41" i="50"/>
  <c r="BQ41" i="50" s="1"/>
  <c r="AH33" i="49"/>
  <c r="BS33" i="49"/>
  <c r="AJ37" i="49"/>
  <c r="A55" i="49"/>
  <c r="H37" i="50"/>
  <c r="AH10" i="51"/>
  <c r="AG10" i="51"/>
  <c r="AH14" i="51"/>
  <c r="AG14" i="51"/>
  <c r="BR37" i="51"/>
  <c r="BQ37" i="51"/>
  <c r="BR14" i="51"/>
  <c r="BQ14" i="51"/>
  <c r="AH29" i="51"/>
  <c r="A55" i="51"/>
  <c r="A5" i="51"/>
  <c r="I6" i="51" s="1"/>
  <c r="BS10" i="50"/>
  <c r="BP22" i="50"/>
  <c r="BR29" i="51"/>
  <c r="BQ29" i="51"/>
  <c r="AH33" i="51"/>
  <c r="BR33" i="51"/>
  <c r="AI18" i="51"/>
  <c r="BS41" i="51"/>
  <c r="AQ41" i="48"/>
  <c r="BQ33" i="48"/>
  <c r="BR33" i="48" s="1"/>
  <c r="G14" i="48"/>
  <c r="AF14" i="48"/>
  <c r="G14" i="44"/>
  <c r="Y14" i="44"/>
  <c r="AA14" i="44"/>
  <c r="BQ29" i="48"/>
  <c r="BS29" i="48"/>
  <c r="AG29" i="48"/>
  <c r="Y10" i="44"/>
  <c r="AA10" i="44"/>
  <c r="BI10" i="48"/>
  <c r="BM10" i="48" s="1"/>
  <c r="BQ10" i="48"/>
  <c r="BB18" i="44"/>
  <c r="BI18" i="44"/>
  <c r="AG33" i="50"/>
  <c r="AP3" i="50"/>
  <c r="DA47" i="50" s="1"/>
  <c r="I5" i="45"/>
  <c r="AF33" i="48"/>
  <c r="AH33" i="48"/>
  <c r="AJ29" i="48"/>
  <c r="AH10" i="48"/>
  <c r="B98" i="46"/>
  <c r="BB14" i="44"/>
  <c r="BE14" i="44" s="1"/>
  <c r="BI14" i="48"/>
  <c r="I6" i="50"/>
  <c r="BR37" i="50"/>
  <c r="BR14" i="50"/>
  <c r="BQ14" i="50"/>
  <c r="N28" i="46"/>
  <c r="BR41" i="50"/>
  <c r="BQ33" i="50"/>
  <c r="BR33" i="50"/>
  <c r="Y4" i="45"/>
  <c r="BP3" i="45"/>
  <c r="K10" i="45" s="1"/>
  <c r="BP4" i="45"/>
  <c r="AU10" i="45" s="1"/>
  <c r="BE10" i="45" s="1"/>
  <c r="BR22" i="48"/>
  <c r="AG18" i="50"/>
  <c r="AI18" i="50"/>
  <c r="AH18" i="50"/>
  <c r="Y6" i="45"/>
  <c r="I6" i="45"/>
  <c r="BT22" i="50"/>
  <c r="BQ18" i="50"/>
  <c r="BR18" i="50"/>
  <c r="Z65" i="46"/>
  <c r="AF65" i="46" s="1"/>
  <c r="T66" i="46"/>
  <c r="T48" i="46"/>
  <c r="M373" i="29"/>
  <c r="M352" i="29"/>
  <c r="M331" i="29"/>
  <c r="M310" i="29"/>
  <c r="M289" i="29"/>
  <c r="M268" i="29"/>
  <c r="M247" i="29"/>
  <c r="M226" i="29"/>
  <c r="M205" i="29"/>
  <c r="M184" i="29"/>
  <c r="M163" i="29"/>
  <c r="M142" i="29"/>
  <c r="M121" i="29"/>
  <c r="M100" i="29"/>
  <c r="M79" i="29"/>
  <c r="M58" i="29"/>
  <c r="M37" i="29"/>
  <c r="Z14" i="44"/>
  <c r="BR29" i="48"/>
  <c r="BU29" i="48"/>
  <c r="R10" i="45"/>
  <c r="Z10" i="44"/>
  <c r="AC10" i="44"/>
  <c r="BS33" i="48"/>
  <c r="BU33" i="48"/>
  <c r="BE18" i="44"/>
  <c r="BE14" i="45"/>
  <c r="AN10" i="45"/>
  <c r="AG33" i="48"/>
  <c r="BU14" i="48"/>
  <c r="AI14" i="48"/>
  <c r="BI14" i="44"/>
  <c r="R14" i="45"/>
  <c r="BE18" i="45"/>
  <c r="Z66" i="46"/>
  <c r="H3" i="41"/>
  <c r="H3" i="32"/>
  <c r="AB14" i="44"/>
  <c r="CW53" i="48"/>
  <c r="BJ10" i="44"/>
  <c r="AI29" i="48"/>
  <c r="BT29" i="48"/>
  <c r="BJ18" i="44"/>
  <c r="BJ14" i="44"/>
  <c r="CM51" i="44" s="1"/>
  <c r="BT14" i="48"/>
  <c r="BR10" i="48"/>
  <c r="BT18" i="48"/>
  <c r="AC14" i="45"/>
  <c r="AB14" i="45"/>
  <c r="BZ1" i="51"/>
  <c r="CU46" i="51"/>
  <c r="AL65" i="46"/>
  <c r="AR65" i="46" s="1"/>
  <c r="AF66" i="46"/>
  <c r="I5" i="42"/>
  <c r="A62" i="42"/>
  <c r="AI59" i="42"/>
  <c r="N59" i="42"/>
  <c r="L59" i="42"/>
  <c r="K59" i="42"/>
  <c r="G59" i="42"/>
  <c r="AI58" i="42"/>
  <c r="N58" i="42"/>
  <c r="L58" i="42"/>
  <c r="K58" i="42"/>
  <c r="G58" i="42"/>
  <c r="AI57" i="42"/>
  <c r="N57" i="42"/>
  <c r="L57" i="42"/>
  <c r="K57" i="42"/>
  <c r="G57" i="42"/>
  <c r="AI56" i="42"/>
  <c r="N56" i="42"/>
  <c r="L56" i="42"/>
  <c r="K56" i="42"/>
  <c r="G56" i="42"/>
  <c r="AI55" i="42"/>
  <c r="N55" i="42"/>
  <c r="L55" i="42"/>
  <c r="K55" i="42"/>
  <c r="G55" i="42"/>
  <c r="AI54" i="42"/>
  <c r="N54" i="42"/>
  <c r="L54" i="42"/>
  <c r="K54" i="42"/>
  <c r="G54" i="42"/>
  <c r="AI53" i="42"/>
  <c r="N53" i="42"/>
  <c r="L53" i="42"/>
  <c r="K53" i="42"/>
  <c r="G53" i="42"/>
  <c r="AI52" i="42"/>
  <c r="N52" i="42"/>
  <c r="L52" i="42"/>
  <c r="K52" i="42"/>
  <c r="G52" i="42"/>
  <c r="AI51" i="42"/>
  <c r="N51" i="42"/>
  <c r="L51" i="42"/>
  <c r="K51" i="42"/>
  <c r="G51" i="42"/>
  <c r="AI50" i="42"/>
  <c r="N50" i="42"/>
  <c r="L50" i="42"/>
  <c r="K50" i="42"/>
  <c r="G50" i="42"/>
  <c r="AI49" i="42"/>
  <c r="N49" i="42"/>
  <c r="L49" i="42"/>
  <c r="K49" i="42"/>
  <c r="G49" i="42"/>
  <c r="AF47" i="42"/>
  <c r="AB47" i="42"/>
  <c r="T47" i="42"/>
  <c r="Q47" i="42"/>
  <c r="H47" i="42"/>
  <c r="D47" i="42"/>
  <c r="AF46" i="42"/>
  <c r="AB46" i="42"/>
  <c r="T46" i="42"/>
  <c r="Q46" i="42"/>
  <c r="H46" i="42"/>
  <c r="D46" i="42"/>
  <c r="AF45" i="42"/>
  <c r="AB45" i="42"/>
  <c r="T45" i="42"/>
  <c r="Q45" i="42"/>
  <c r="H45" i="42"/>
  <c r="D45" i="42"/>
  <c r="AF44" i="42"/>
  <c r="AB44" i="42"/>
  <c r="T44" i="42"/>
  <c r="Q44" i="42"/>
  <c r="H44" i="42"/>
  <c r="D44" i="42"/>
  <c r="AF43" i="42"/>
  <c r="AB43" i="42"/>
  <c r="T43" i="42"/>
  <c r="Q43" i="42"/>
  <c r="H43" i="42"/>
  <c r="D43" i="42"/>
  <c r="AF42" i="42"/>
  <c r="AB42" i="42"/>
  <c r="T42" i="42"/>
  <c r="Q42" i="42"/>
  <c r="H42" i="42"/>
  <c r="D42" i="42"/>
  <c r="AF41" i="42"/>
  <c r="AB41" i="42"/>
  <c r="X41" i="42"/>
  <c r="W41" i="42"/>
  <c r="M41" i="42"/>
  <c r="K41" i="42"/>
  <c r="H41" i="42"/>
  <c r="D41" i="42"/>
  <c r="AF40" i="42"/>
  <c r="AB40" i="42"/>
  <c r="H40" i="42"/>
  <c r="D40" i="42"/>
  <c r="AF39" i="42"/>
  <c r="AB39" i="42"/>
  <c r="H39" i="42"/>
  <c r="D39" i="42"/>
  <c r="AF38" i="42"/>
  <c r="AB38" i="42"/>
  <c r="H38" i="42"/>
  <c r="D38" i="42"/>
  <c r="AA36" i="42"/>
  <c r="U36" i="42"/>
  <c r="S36" i="42"/>
  <c r="R36" i="42"/>
  <c r="J36" i="42"/>
  <c r="H36" i="42"/>
  <c r="AA35" i="42"/>
  <c r="U35" i="42"/>
  <c r="S35" i="42"/>
  <c r="R35" i="42"/>
  <c r="J35" i="42"/>
  <c r="H35" i="42"/>
  <c r="AA34" i="42"/>
  <c r="U34" i="42"/>
  <c r="S34" i="42"/>
  <c r="R34" i="42"/>
  <c r="J34" i="42"/>
  <c r="AA33" i="42"/>
  <c r="U33" i="42"/>
  <c r="S33" i="42"/>
  <c r="R33" i="42"/>
  <c r="J33" i="42"/>
  <c r="H33" i="42"/>
  <c r="AA32" i="42"/>
  <c r="U32" i="42"/>
  <c r="S32" i="42"/>
  <c r="R32" i="42"/>
  <c r="J32" i="42"/>
  <c r="H32" i="42"/>
  <c r="AA31" i="42"/>
  <c r="U31" i="42"/>
  <c r="S31" i="42"/>
  <c r="R31" i="42"/>
  <c r="J31" i="42"/>
  <c r="H31" i="42"/>
  <c r="AA30" i="42"/>
  <c r="U30" i="42"/>
  <c r="S30" i="42"/>
  <c r="R30" i="42"/>
  <c r="J30" i="42"/>
  <c r="H30" i="42"/>
  <c r="AA29" i="42"/>
  <c r="U29" i="42"/>
  <c r="S29" i="42"/>
  <c r="R29" i="42"/>
  <c r="J29" i="42"/>
  <c r="H29" i="42"/>
  <c r="AA28" i="42"/>
  <c r="U28" i="42"/>
  <c r="S28" i="42"/>
  <c r="R28" i="42"/>
  <c r="J28" i="42"/>
  <c r="H28" i="42"/>
  <c r="AA27" i="42"/>
  <c r="U27" i="42"/>
  <c r="S27" i="42"/>
  <c r="R27" i="42"/>
  <c r="J27" i="42"/>
  <c r="H27" i="42"/>
  <c r="AA26" i="42"/>
  <c r="U26" i="42"/>
  <c r="S26" i="42"/>
  <c r="R26" i="42"/>
  <c r="J26" i="42"/>
  <c r="H26" i="42"/>
  <c r="AA25" i="42"/>
  <c r="U25" i="42"/>
  <c r="S25" i="42"/>
  <c r="R25" i="42"/>
  <c r="J25" i="42"/>
  <c r="H25" i="42"/>
  <c r="AA24" i="42"/>
  <c r="U24" i="42"/>
  <c r="S24" i="42"/>
  <c r="R24" i="42"/>
  <c r="J24" i="42"/>
  <c r="H24" i="42"/>
  <c r="AA23" i="42"/>
  <c r="U23" i="42"/>
  <c r="S23" i="42"/>
  <c r="R23" i="42"/>
  <c r="J23" i="42"/>
  <c r="H23" i="42"/>
  <c r="AA22" i="42"/>
  <c r="U22" i="42"/>
  <c r="S22" i="42"/>
  <c r="R22" i="42"/>
  <c r="J22" i="42"/>
  <c r="H22" i="42"/>
  <c r="AA21" i="42"/>
  <c r="U21" i="42"/>
  <c r="S21" i="42"/>
  <c r="R21" i="42"/>
  <c r="J21" i="42"/>
  <c r="H21" i="42"/>
  <c r="AA20" i="42"/>
  <c r="U20" i="42"/>
  <c r="S20" i="42"/>
  <c r="R20" i="42"/>
  <c r="J20" i="42"/>
  <c r="H20" i="42"/>
  <c r="AA19" i="42"/>
  <c r="U19" i="42"/>
  <c r="S19" i="42"/>
  <c r="R19" i="42"/>
  <c r="J19" i="42"/>
  <c r="H19" i="42"/>
  <c r="U16" i="42"/>
  <c r="AC2" i="42"/>
  <c r="W2" i="42"/>
  <c r="A2" i="42"/>
  <c r="CR51" i="44"/>
  <c r="BV37" i="44"/>
  <c r="A3" i="44"/>
  <c r="BJ72" i="21"/>
  <c r="BY53" i="48"/>
  <c r="Q41" i="42"/>
  <c r="CD1" i="51"/>
  <c r="BI10" i="51" s="1"/>
  <c r="BI29" i="51" s="1"/>
  <c r="BZ2" i="51"/>
  <c r="BZ3" i="51"/>
  <c r="CD3" i="51" s="1"/>
  <c r="R10" i="51" s="1"/>
  <c r="R29" i="51" s="1"/>
  <c r="BW46" i="51"/>
  <c r="BX2" i="49"/>
  <c r="CB1" i="49"/>
  <c r="AL66" i="46"/>
  <c r="AL48" i="46"/>
  <c r="AF38" i="46"/>
  <c r="N98" i="46" s="1"/>
  <c r="T41" i="42"/>
  <c r="A5" i="44"/>
  <c r="AA5" i="44" s="1"/>
  <c r="A55" i="48"/>
  <c r="DM53" i="48"/>
  <c r="A6" i="48"/>
  <c r="CX51" i="44"/>
  <c r="CO53" i="48"/>
  <c r="A2" i="48"/>
  <c r="CL37" i="44"/>
  <c r="DB98" i="46"/>
  <c r="CL75" i="46"/>
  <c r="A9" i="46" s="1"/>
  <c r="A3" i="48"/>
  <c r="CD2" i="51"/>
  <c r="BB14" i="51" s="1"/>
  <c r="BB33" i="51"/>
  <c r="BI29" i="49"/>
  <c r="BB14" i="49"/>
  <c r="BT14" i="49" s="1"/>
  <c r="CB2" i="49"/>
  <c r="BX3" i="49"/>
  <c r="AX65" i="46"/>
  <c r="AR66" i="46"/>
  <c r="U16" i="33"/>
  <c r="A4" i="44"/>
  <c r="AT72" i="21"/>
  <c r="AL72" i="21"/>
  <c r="A6" i="44"/>
  <c r="AA6" i="44" s="1"/>
  <c r="I3" i="48"/>
  <c r="CD47" i="48"/>
  <c r="A56" i="48"/>
  <c r="A4" i="48"/>
  <c r="I5" i="48" s="1"/>
  <c r="AP72" i="21"/>
  <c r="AH3" i="48"/>
  <c r="AH4" i="48"/>
  <c r="I4" i="48"/>
  <c r="BX4" i="49"/>
  <c r="CB3" i="49"/>
  <c r="R29" i="49" s="1"/>
  <c r="R10" i="49"/>
  <c r="BB33" i="49"/>
  <c r="K24" i="37"/>
  <c r="B24" i="37"/>
  <c r="B23" i="37"/>
  <c r="B22" i="37"/>
  <c r="B21" i="37"/>
  <c r="D13" i="37"/>
  <c r="L2" i="37"/>
  <c r="AT73" i="21"/>
  <c r="I4" i="44"/>
  <c r="AL73" i="21"/>
  <c r="D18" i="6"/>
  <c r="E18" i="6"/>
  <c r="I18" i="6" s="1"/>
  <c r="BJ73" i="21"/>
  <c r="F18" i="6"/>
  <c r="AA4" i="44"/>
  <c r="A5" i="48"/>
  <c r="AH6" i="48" s="1"/>
  <c r="AP73" i="21"/>
  <c r="I3" i="44"/>
  <c r="CA31" i="44" s="1"/>
  <c r="AA3" i="44"/>
  <c r="AH5" i="48"/>
  <c r="BD48" i="46"/>
  <c r="AS81" i="46"/>
  <c r="K24" i="38"/>
  <c r="B24" i="38"/>
  <c r="B23" i="38"/>
  <c r="B22" i="38"/>
  <c r="B21" i="38"/>
  <c r="D13" i="38"/>
  <c r="L2" i="38"/>
  <c r="K24" i="36"/>
  <c r="B24" i="36"/>
  <c r="B23" i="36"/>
  <c r="B22" i="36"/>
  <c r="B21" i="36"/>
  <c r="D13" i="36"/>
  <c r="B9" i="36"/>
  <c r="L2" i="36"/>
  <c r="K24" i="35"/>
  <c r="B24" i="35"/>
  <c r="B23" i="35"/>
  <c r="B22" i="35"/>
  <c r="B21" i="35"/>
  <c r="D13" i="35"/>
  <c r="L2" i="35"/>
  <c r="K57" i="20"/>
  <c r="K58" i="20"/>
  <c r="K59" i="20"/>
  <c r="K60" i="20"/>
  <c r="K61" i="20"/>
  <c r="K62" i="20"/>
  <c r="K63" i="20"/>
  <c r="K64" i="20"/>
  <c r="B64" i="20" s="1"/>
  <c r="K65" i="20"/>
  <c r="B65" i="20" s="1"/>
  <c r="F65" i="20" s="1"/>
  <c r="K66" i="20"/>
  <c r="B66" i="20" s="1"/>
  <c r="J66" i="20" s="1"/>
  <c r="K67" i="20"/>
  <c r="B67" i="20" s="1"/>
  <c r="K68" i="20"/>
  <c r="B68" i="20" s="1"/>
  <c r="K69" i="20"/>
  <c r="B69" i="20" s="1"/>
  <c r="K70" i="20"/>
  <c r="B70" i="20" s="1"/>
  <c r="C70" i="20" s="1"/>
  <c r="K71" i="20"/>
  <c r="B71" i="20" s="1"/>
  <c r="G71" i="20" s="1"/>
  <c r="K72" i="20"/>
  <c r="B72" i="20" s="1"/>
  <c r="G72" i="20" s="1"/>
  <c r="K73" i="20"/>
  <c r="B73" i="20" s="1"/>
  <c r="J73" i="20" s="1"/>
  <c r="K74" i="20"/>
  <c r="B74" i="20" s="1"/>
  <c r="E74" i="20" s="1"/>
  <c r="K75" i="20"/>
  <c r="B75" i="20" s="1"/>
  <c r="K76" i="20"/>
  <c r="B76" i="20" s="1"/>
  <c r="C76" i="20" s="1"/>
  <c r="K77" i="20"/>
  <c r="B77" i="20" s="1"/>
  <c r="K78" i="20"/>
  <c r="B78" i="20" s="1"/>
  <c r="E78" i="20" s="1"/>
  <c r="K79" i="20"/>
  <c r="B79" i="20" s="1"/>
  <c r="K80" i="20"/>
  <c r="B80" i="20" s="1"/>
  <c r="K81" i="20"/>
  <c r="B81" i="20" s="1"/>
  <c r="F81" i="20" s="1"/>
  <c r="K82" i="20"/>
  <c r="B82" i="20" s="1"/>
  <c r="C82" i="20" s="1"/>
  <c r="K83" i="20"/>
  <c r="B83" i="20" s="1"/>
  <c r="F83" i="20" s="1"/>
  <c r="K84" i="20"/>
  <c r="B84" i="20" s="1"/>
  <c r="F84" i="20" s="1"/>
  <c r="K85" i="20"/>
  <c r="B85" i="20" s="1"/>
  <c r="K86" i="20"/>
  <c r="B86" i="20" s="1"/>
  <c r="C86" i="20" s="1"/>
  <c r="K87" i="20"/>
  <c r="B87" i="20" s="1"/>
  <c r="K88" i="20"/>
  <c r="B88" i="20" s="1"/>
  <c r="K89" i="20"/>
  <c r="B89" i="20" s="1"/>
  <c r="K90" i="20"/>
  <c r="B90" i="20" s="1"/>
  <c r="C90" i="20" s="1"/>
  <c r="K91" i="20"/>
  <c r="B91" i="20" s="1"/>
  <c r="K92" i="20"/>
  <c r="B92" i="20" s="1"/>
  <c r="K93" i="20"/>
  <c r="B93" i="20" s="1"/>
  <c r="K94" i="20"/>
  <c r="B94" i="20" s="1"/>
  <c r="C94" i="20" s="1"/>
  <c r="K95" i="20"/>
  <c r="B95" i="20" s="1"/>
  <c r="J95" i="20" s="1"/>
  <c r="K96" i="20"/>
  <c r="B96" i="20" s="1"/>
  <c r="J96" i="20" s="1"/>
  <c r="K97" i="20"/>
  <c r="B97" i="20" s="1"/>
  <c r="K98" i="20"/>
  <c r="B98" i="20" s="1"/>
  <c r="G98" i="20" s="1"/>
  <c r="K99" i="20"/>
  <c r="B99" i="20" s="1"/>
  <c r="K100" i="20"/>
  <c r="B100" i="20" s="1"/>
  <c r="C100" i="20" s="1"/>
  <c r="K101" i="20"/>
  <c r="B101" i="20" s="1"/>
  <c r="K55" i="20"/>
  <c r="K56" i="20"/>
  <c r="BU38" i="46"/>
  <c r="BB98" i="46" s="1"/>
  <c r="BJ28" i="46"/>
  <c r="EP98" i="46"/>
  <c r="DS23" i="46"/>
  <c r="L52" i="33"/>
  <c r="L51" i="33"/>
  <c r="L50" i="33"/>
  <c r="L49" i="33"/>
  <c r="CN48" i="46"/>
  <c r="CC38" i="46"/>
  <c r="CD98" i="46"/>
  <c r="R70" i="34"/>
  <c r="S70" i="34"/>
  <c r="T70" i="34"/>
  <c r="R71" i="34"/>
  <c r="S71" i="34"/>
  <c r="T71" i="34"/>
  <c r="R72" i="34"/>
  <c r="S72" i="34"/>
  <c r="T72" i="34"/>
  <c r="R73" i="34"/>
  <c r="S73" i="34"/>
  <c r="T73" i="34"/>
  <c r="R74" i="34"/>
  <c r="S74" i="34"/>
  <c r="T74" i="34"/>
  <c r="R75" i="34"/>
  <c r="S75" i="34"/>
  <c r="T75" i="34"/>
  <c r="R76" i="34"/>
  <c r="S76" i="34"/>
  <c r="T76" i="34"/>
  <c r="R77" i="34"/>
  <c r="S77" i="34"/>
  <c r="T77" i="34"/>
  <c r="R78" i="34"/>
  <c r="S78" i="34"/>
  <c r="T78" i="34"/>
  <c r="R79" i="34"/>
  <c r="S79" i="34"/>
  <c r="T79" i="34"/>
  <c r="R80" i="34"/>
  <c r="S80" i="34"/>
  <c r="T80" i="34"/>
  <c r="R81" i="34"/>
  <c r="S81" i="34"/>
  <c r="T81" i="34"/>
  <c r="R82" i="34"/>
  <c r="S82" i="34"/>
  <c r="T82" i="34"/>
  <c r="R83" i="34"/>
  <c r="S83" i="34"/>
  <c r="T83" i="34"/>
  <c r="R84" i="34"/>
  <c r="S84" i="34"/>
  <c r="T84" i="34"/>
  <c r="R85" i="34"/>
  <c r="S85" i="34"/>
  <c r="T85" i="34"/>
  <c r="R86" i="34"/>
  <c r="S86" i="34"/>
  <c r="T86" i="34"/>
  <c r="S69" i="34"/>
  <c r="T69" i="34"/>
  <c r="R69" i="34"/>
  <c r="T68" i="34"/>
  <c r="R48" i="34"/>
  <c r="S48" i="34"/>
  <c r="T48" i="34"/>
  <c r="R49" i="34"/>
  <c r="S49" i="34"/>
  <c r="T49" i="34"/>
  <c r="R50" i="34"/>
  <c r="S50" i="34"/>
  <c r="T50" i="34"/>
  <c r="R51" i="34"/>
  <c r="S51" i="34"/>
  <c r="T51" i="34"/>
  <c r="R52" i="34"/>
  <c r="S52" i="34"/>
  <c r="T52" i="34"/>
  <c r="R53" i="34"/>
  <c r="S53" i="34"/>
  <c r="T53" i="34"/>
  <c r="R54" i="34"/>
  <c r="S54" i="34"/>
  <c r="T54" i="34"/>
  <c r="R55" i="34"/>
  <c r="S55" i="34"/>
  <c r="T55" i="34"/>
  <c r="R56" i="34"/>
  <c r="S56" i="34"/>
  <c r="T56" i="34"/>
  <c r="R57" i="34"/>
  <c r="S57" i="34"/>
  <c r="T57" i="34"/>
  <c r="R58" i="34"/>
  <c r="S58" i="34"/>
  <c r="T58" i="34"/>
  <c r="R59" i="34"/>
  <c r="S59" i="34"/>
  <c r="T59" i="34"/>
  <c r="R60" i="34"/>
  <c r="S60" i="34"/>
  <c r="T60" i="34"/>
  <c r="R61" i="34"/>
  <c r="S61" i="34"/>
  <c r="T61" i="34"/>
  <c r="R62" i="34"/>
  <c r="S62" i="34"/>
  <c r="T62" i="34"/>
  <c r="R63" i="34"/>
  <c r="S63" i="34"/>
  <c r="T63" i="34"/>
  <c r="R64" i="34"/>
  <c r="S64" i="34"/>
  <c r="T64" i="34"/>
  <c r="S47" i="34"/>
  <c r="T47" i="34"/>
  <c r="R47" i="34"/>
  <c r="T46" i="34"/>
  <c r="R68" i="34"/>
  <c r="R46" i="34"/>
  <c r="R24" i="34"/>
  <c r="R2" i="34"/>
  <c r="R26" i="34"/>
  <c r="S26" i="34"/>
  <c r="T26" i="34"/>
  <c r="R27" i="34"/>
  <c r="S27" i="34"/>
  <c r="T27" i="34"/>
  <c r="R28" i="34"/>
  <c r="S28" i="34"/>
  <c r="T28" i="34"/>
  <c r="R29" i="34"/>
  <c r="S29" i="34"/>
  <c r="T29" i="34"/>
  <c r="R30" i="34"/>
  <c r="S30" i="34"/>
  <c r="T30" i="34"/>
  <c r="R31" i="34"/>
  <c r="S31" i="34"/>
  <c r="T31" i="34"/>
  <c r="R32" i="34"/>
  <c r="S32" i="34"/>
  <c r="T32" i="34"/>
  <c r="R33" i="34"/>
  <c r="S33" i="34"/>
  <c r="T33" i="34"/>
  <c r="R34" i="34"/>
  <c r="S34" i="34"/>
  <c r="T34" i="34"/>
  <c r="R35" i="34"/>
  <c r="S35" i="34"/>
  <c r="T35" i="34"/>
  <c r="R36" i="34"/>
  <c r="S36" i="34"/>
  <c r="T36" i="34"/>
  <c r="R37" i="34"/>
  <c r="S37" i="34"/>
  <c r="T37" i="34"/>
  <c r="R38" i="34"/>
  <c r="S38" i="34"/>
  <c r="T38" i="34"/>
  <c r="R39" i="34"/>
  <c r="S39" i="34"/>
  <c r="T39" i="34"/>
  <c r="R40" i="34"/>
  <c r="S40" i="34"/>
  <c r="T40" i="34"/>
  <c r="R41" i="34"/>
  <c r="S41" i="34"/>
  <c r="T41" i="34"/>
  <c r="R42" i="34"/>
  <c r="S42" i="34"/>
  <c r="T42" i="34"/>
  <c r="S25" i="34"/>
  <c r="T25" i="34"/>
  <c r="R25" i="34"/>
  <c r="T24" i="34"/>
  <c r="R4" i="34"/>
  <c r="S4" i="34"/>
  <c r="T4" i="34"/>
  <c r="R5" i="34"/>
  <c r="S5" i="34"/>
  <c r="T5" i="34"/>
  <c r="R6" i="34"/>
  <c r="S6" i="34"/>
  <c r="T6" i="34"/>
  <c r="R7" i="34"/>
  <c r="S7" i="34"/>
  <c r="T7" i="34"/>
  <c r="R8" i="34"/>
  <c r="S8" i="34"/>
  <c r="T8" i="34"/>
  <c r="R9" i="34"/>
  <c r="S9" i="34"/>
  <c r="T9" i="34"/>
  <c r="R10" i="34"/>
  <c r="S10" i="34"/>
  <c r="T10" i="34"/>
  <c r="R11" i="34"/>
  <c r="S11" i="34"/>
  <c r="T11" i="34"/>
  <c r="R12" i="34"/>
  <c r="S12" i="34"/>
  <c r="T12" i="34"/>
  <c r="R13" i="34"/>
  <c r="S13" i="34"/>
  <c r="T13" i="34"/>
  <c r="R14" i="34"/>
  <c r="S14" i="34"/>
  <c r="T14" i="34"/>
  <c r="R15" i="34"/>
  <c r="S15" i="34"/>
  <c r="T15" i="34"/>
  <c r="R16" i="34"/>
  <c r="S16" i="34"/>
  <c r="T16" i="34"/>
  <c r="R17" i="34"/>
  <c r="S17" i="34"/>
  <c r="T17" i="34"/>
  <c r="R18" i="34"/>
  <c r="S18" i="34"/>
  <c r="T18" i="34"/>
  <c r="R19" i="34"/>
  <c r="S19" i="34"/>
  <c r="T19" i="34"/>
  <c r="R20" i="34"/>
  <c r="S20" i="34"/>
  <c r="T20" i="34"/>
  <c r="S3" i="34"/>
  <c r="T3" i="34"/>
  <c r="R3" i="34"/>
  <c r="T2" i="34"/>
  <c r="CT48" i="46"/>
  <c r="U262" i="29"/>
  <c r="U283" i="29" s="1"/>
  <c r="U178" i="29"/>
  <c r="U199" i="29" s="1"/>
  <c r="U94" i="29"/>
  <c r="U115" i="29" s="1"/>
  <c r="U10" i="29"/>
  <c r="U31" i="29" s="1"/>
  <c r="DE38" i="46"/>
  <c r="CP98" i="46"/>
  <c r="CG81" i="46"/>
  <c r="CN28" i="46"/>
  <c r="Z98" i="46" s="1"/>
  <c r="A7" i="46"/>
  <c r="BM3" i="46" s="1"/>
  <c r="U304" i="29"/>
  <c r="U325" i="29" s="1"/>
  <c r="U220" i="29"/>
  <c r="U241" i="29" s="1"/>
  <c r="U136" i="29"/>
  <c r="U157" i="29" s="1"/>
  <c r="U52" i="29"/>
  <c r="U73" i="29" s="1"/>
  <c r="EG23" i="46"/>
  <c r="A3" i="46"/>
  <c r="CO3" i="46"/>
  <c r="I5" i="33"/>
  <c r="R325" i="29"/>
  <c r="T325" i="29" s="1"/>
  <c r="R304" i="29"/>
  <c r="T304" i="29"/>
  <c r="R283" i="29"/>
  <c r="T283" i="29" s="1"/>
  <c r="R262" i="29"/>
  <c r="T262" i="29" s="1"/>
  <c r="R241" i="29"/>
  <c r="T241" i="29" s="1"/>
  <c r="I241" i="29" s="1"/>
  <c r="R220" i="29"/>
  <c r="T220" i="29" s="1"/>
  <c r="R199" i="29"/>
  <c r="T199" i="29" s="1"/>
  <c r="R178" i="29"/>
  <c r="T178" i="29" s="1"/>
  <c r="R157" i="29"/>
  <c r="T157" i="29" s="1"/>
  <c r="I157" i="29" s="1"/>
  <c r="R136" i="29"/>
  <c r="T136" i="29" s="1"/>
  <c r="R115" i="29"/>
  <c r="T115" i="29" s="1"/>
  <c r="R94" i="29"/>
  <c r="T94" i="29" s="1"/>
  <c r="R73" i="29"/>
  <c r="T73" i="29" s="1"/>
  <c r="H73" i="29" s="1"/>
  <c r="R52" i="29"/>
  <c r="T52" i="29"/>
  <c r="G52" i="29" s="1"/>
  <c r="R31" i="29"/>
  <c r="T31" i="29" s="1"/>
  <c r="R10" i="29"/>
  <c r="A2" i="33"/>
  <c r="A62" i="33"/>
  <c r="AI59" i="33"/>
  <c r="N59" i="33"/>
  <c r="L59" i="33"/>
  <c r="K59" i="33"/>
  <c r="G59" i="33"/>
  <c r="L58" i="33"/>
  <c r="L57" i="33"/>
  <c r="L56" i="33"/>
  <c r="L55" i="33"/>
  <c r="L54" i="33"/>
  <c r="L53" i="33"/>
  <c r="AF47" i="33"/>
  <c r="AB47" i="33"/>
  <c r="T47" i="33"/>
  <c r="Q47" i="33"/>
  <c r="H47" i="33"/>
  <c r="D47" i="33"/>
  <c r="AF46" i="33"/>
  <c r="AB46" i="33"/>
  <c r="T46" i="33"/>
  <c r="Q46" i="33"/>
  <c r="H46" i="33"/>
  <c r="D46" i="33"/>
  <c r="AF45" i="33"/>
  <c r="AB45" i="33"/>
  <c r="T45" i="33"/>
  <c r="Q45" i="33"/>
  <c r="H45" i="33"/>
  <c r="D45" i="33"/>
  <c r="AF44" i="33"/>
  <c r="AB44" i="33"/>
  <c r="T44" i="33"/>
  <c r="Q44" i="33"/>
  <c r="H44" i="33"/>
  <c r="D44" i="33"/>
  <c r="AF43" i="33"/>
  <c r="AB43" i="33"/>
  <c r="T43" i="33"/>
  <c r="Q43" i="33"/>
  <c r="H43" i="33"/>
  <c r="D43" i="33"/>
  <c r="AF42" i="33"/>
  <c r="AB42" i="33"/>
  <c r="T42" i="33"/>
  <c r="Q42" i="33"/>
  <c r="AF41" i="33"/>
  <c r="AB41" i="33"/>
  <c r="X41" i="33"/>
  <c r="W41" i="33"/>
  <c r="M41" i="33"/>
  <c r="K41" i="33"/>
  <c r="AF40" i="33"/>
  <c r="AB40" i="33"/>
  <c r="AA36" i="33"/>
  <c r="H36" i="33"/>
  <c r="AA35" i="33"/>
  <c r="H35" i="33"/>
  <c r="AA34" i="33"/>
  <c r="AA33" i="33"/>
  <c r="H33" i="33"/>
  <c r="AA32" i="33"/>
  <c r="H32" i="33"/>
  <c r="AA31" i="33"/>
  <c r="H31" i="33"/>
  <c r="AA30" i="33"/>
  <c r="H30" i="33"/>
  <c r="AA29" i="33"/>
  <c r="H29" i="33"/>
  <c r="AA28" i="33"/>
  <c r="H28" i="33"/>
  <c r="AA27" i="33"/>
  <c r="H27" i="33"/>
  <c r="AA26" i="33"/>
  <c r="H26" i="33"/>
  <c r="AA25" i="33"/>
  <c r="H25" i="33"/>
  <c r="AA24" i="33"/>
  <c r="H24" i="33"/>
  <c r="AA23" i="33"/>
  <c r="H23" i="33"/>
  <c r="AA22" i="33"/>
  <c r="H22" i="33"/>
  <c r="AA21" i="33"/>
  <c r="H21" i="33"/>
  <c r="AA20" i="33"/>
  <c r="H20" i="33"/>
  <c r="AA19" i="33"/>
  <c r="H19" i="33"/>
  <c r="AC2" i="33"/>
  <c r="W2" i="33"/>
  <c r="P29" i="29"/>
  <c r="P50" i="29" s="1"/>
  <c r="P71" i="29" s="1"/>
  <c r="P92" i="29" s="1"/>
  <c r="P113" i="29" s="1"/>
  <c r="P134" i="29" s="1"/>
  <c r="E2" i="20"/>
  <c r="D2" i="20" s="1"/>
  <c r="H2" i="20"/>
  <c r="E3" i="20"/>
  <c r="F3" i="20" s="1"/>
  <c r="H3" i="20"/>
  <c r="E4" i="20"/>
  <c r="F4" i="20" s="1"/>
  <c r="H4" i="20"/>
  <c r="E5" i="20"/>
  <c r="F5" i="20"/>
  <c r="H5" i="20"/>
  <c r="E6" i="20"/>
  <c r="I6" i="20"/>
  <c r="J6" i="20"/>
  <c r="H6" i="20"/>
  <c r="E7" i="20"/>
  <c r="F7" i="20"/>
  <c r="D7" i="20"/>
  <c r="H7" i="20"/>
  <c r="E8" i="20"/>
  <c r="G8" i="20"/>
  <c r="H8" i="20"/>
  <c r="E9" i="20"/>
  <c r="G9" i="20" s="1"/>
  <c r="H9" i="20"/>
  <c r="E10" i="20"/>
  <c r="H10" i="20"/>
  <c r="E11" i="20"/>
  <c r="I11" i="20" s="1"/>
  <c r="J11" i="20" s="1"/>
  <c r="H11" i="20"/>
  <c r="E12" i="20"/>
  <c r="G12" i="20"/>
  <c r="H12" i="20"/>
  <c r="E13" i="20"/>
  <c r="I13" i="20"/>
  <c r="J13" i="20" s="1"/>
  <c r="H13" i="20"/>
  <c r="E14" i="20"/>
  <c r="F14" i="20"/>
  <c r="H14" i="20"/>
  <c r="E15" i="20"/>
  <c r="F15" i="20"/>
  <c r="H15" i="20"/>
  <c r="E16" i="20"/>
  <c r="H16" i="20"/>
  <c r="E17" i="20"/>
  <c r="F17" i="20"/>
  <c r="H17" i="20"/>
  <c r="E18" i="20"/>
  <c r="F18" i="20"/>
  <c r="H18" i="20"/>
  <c r="E19" i="20"/>
  <c r="F19" i="20" s="1"/>
  <c r="H19" i="20"/>
  <c r="E20" i="20"/>
  <c r="H20" i="20"/>
  <c r="E21" i="20"/>
  <c r="F21" i="20" s="1"/>
  <c r="H21" i="20"/>
  <c r="E22" i="20"/>
  <c r="G22" i="20"/>
  <c r="H22" i="20"/>
  <c r="E23" i="20"/>
  <c r="F23" i="20"/>
  <c r="H23" i="20"/>
  <c r="E24" i="20"/>
  <c r="G24" i="20" s="1"/>
  <c r="H24" i="20"/>
  <c r="E25" i="20"/>
  <c r="G25" i="20"/>
  <c r="H25" i="20"/>
  <c r="E26" i="20"/>
  <c r="I26" i="20"/>
  <c r="J26" i="20"/>
  <c r="H26" i="20"/>
  <c r="E27" i="20"/>
  <c r="F27" i="20"/>
  <c r="H27" i="20"/>
  <c r="E28" i="20"/>
  <c r="H28" i="20"/>
  <c r="E29" i="20"/>
  <c r="F29" i="20"/>
  <c r="D29" i="20" s="1"/>
  <c r="H29" i="20"/>
  <c r="E30" i="20"/>
  <c r="F30" i="20" s="1"/>
  <c r="H30" i="20"/>
  <c r="E31" i="20"/>
  <c r="F31" i="20"/>
  <c r="D31" i="20"/>
  <c r="H31" i="20"/>
  <c r="E32" i="20"/>
  <c r="I32" i="20" s="1"/>
  <c r="J32" i="20" s="1"/>
  <c r="H32" i="20"/>
  <c r="E33" i="20"/>
  <c r="G33" i="20" s="1"/>
  <c r="H33" i="20"/>
  <c r="E34" i="20"/>
  <c r="H34" i="20"/>
  <c r="E35" i="20"/>
  <c r="H35" i="20"/>
  <c r="E36" i="20"/>
  <c r="G36" i="20" s="1"/>
  <c r="H36" i="20"/>
  <c r="E37" i="20"/>
  <c r="G37" i="20" s="1"/>
  <c r="H37" i="20"/>
  <c r="E38" i="20"/>
  <c r="I38" i="20" s="1"/>
  <c r="J38" i="20" s="1"/>
  <c r="H38" i="20"/>
  <c r="E39" i="20"/>
  <c r="F39" i="20" s="1"/>
  <c r="H39" i="20"/>
  <c r="E40" i="20"/>
  <c r="G40" i="20" s="1"/>
  <c r="H40" i="20"/>
  <c r="E41" i="20"/>
  <c r="G41" i="20" s="1"/>
  <c r="H41" i="20"/>
  <c r="E42" i="20"/>
  <c r="G42" i="20" s="1"/>
  <c r="H42" i="20"/>
  <c r="E43" i="20"/>
  <c r="H43" i="20"/>
  <c r="E44" i="20"/>
  <c r="G44" i="20"/>
  <c r="H44" i="20"/>
  <c r="E45" i="20"/>
  <c r="G45" i="20" s="1"/>
  <c r="H45" i="20"/>
  <c r="E46" i="20"/>
  <c r="F46" i="20" s="1"/>
  <c r="H46" i="20"/>
  <c r="E47" i="20"/>
  <c r="F47" i="20" s="1"/>
  <c r="H47" i="20"/>
  <c r="E48" i="20"/>
  <c r="H48" i="20"/>
  <c r="E49" i="20"/>
  <c r="F49" i="20" s="1"/>
  <c r="H49" i="20"/>
  <c r="E50" i="20"/>
  <c r="G50" i="20"/>
  <c r="H50" i="20"/>
  <c r="E51" i="20"/>
  <c r="F51" i="20" s="1"/>
  <c r="H51" i="20"/>
  <c r="E52" i="20"/>
  <c r="G52" i="20" s="1"/>
  <c r="H52" i="20"/>
  <c r="H53" i="20"/>
  <c r="H54" i="20"/>
  <c r="H55" i="20"/>
  <c r="H56" i="20"/>
  <c r="H57" i="20"/>
  <c r="H58" i="20"/>
  <c r="H59" i="20"/>
  <c r="E60" i="20"/>
  <c r="G60" i="20" s="1"/>
  <c r="H60" i="20"/>
  <c r="E61" i="20"/>
  <c r="G61" i="20" s="1"/>
  <c r="H61" i="20"/>
  <c r="E62" i="20"/>
  <c r="G62" i="20" s="1"/>
  <c r="H62" i="20"/>
  <c r="H63" i="20"/>
  <c r="H64" i="20"/>
  <c r="H65" i="20"/>
  <c r="H66" i="20"/>
  <c r="H67" i="20"/>
  <c r="H68" i="20"/>
  <c r="H69" i="20"/>
  <c r="H70" i="20"/>
  <c r="H71" i="20"/>
  <c r="H72" i="20"/>
  <c r="H73" i="20"/>
  <c r="H74" i="20"/>
  <c r="H75" i="20"/>
  <c r="H76" i="20"/>
  <c r="H77" i="20"/>
  <c r="H78" i="20"/>
  <c r="H79" i="20"/>
  <c r="H80" i="20"/>
  <c r="H81" i="20"/>
  <c r="H82" i="20"/>
  <c r="H83" i="20"/>
  <c r="H84" i="20"/>
  <c r="H85" i="20"/>
  <c r="H86" i="20"/>
  <c r="H87" i="20"/>
  <c r="H88" i="20"/>
  <c r="H89" i="20"/>
  <c r="H90" i="20"/>
  <c r="H91" i="20"/>
  <c r="H92" i="20"/>
  <c r="H93" i="20"/>
  <c r="H94" i="20"/>
  <c r="H95" i="20"/>
  <c r="H96" i="20"/>
  <c r="H97" i="20"/>
  <c r="H98" i="20"/>
  <c r="H99" i="20"/>
  <c r="H100" i="20"/>
  <c r="H101" i="20"/>
  <c r="G6" i="20"/>
  <c r="AN3" i="46"/>
  <c r="E59" i="20"/>
  <c r="F38" i="20"/>
  <c r="D38" i="20"/>
  <c r="G14" i="20"/>
  <c r="E58" i="20"/>
  <c r="F58" i="20" s="1"/>
  <c r="DX48" i="46"/>
  <c r="DM38" i="46"/>
  <c r="DR98" i="46"/>
  <c r="ED48" i="46"/>
  <c r="EO38" i="46"/>
  <c r="ED98" i="46" s="1"/>
  <c r="ED28" i="46"/>
  <c r="G20" i="20"/>
  <c r="G10" i="20"/>
  <c r="F42" i="20"/>
  <c r="F26" i="20"/>
  <c r="D26" i="20" s="1"/>
  <c r="G18" i="20"/>
  <c r="F6" i="20"/>
  <c r="D6" i="20" s="1"/>
  <c r="F13" i="20"/>
  <c r="D13" i="20" s="1"/>
  <c r="G7" i="20"/>
  <c r="G15" i="20"/>
  <c r="G23" i="20"/>
  <c r="G3" i="20"/>
  <c r="G30" i="20"/>
  <c r="G46" i="20"/>
  <c r="F22" i="20"/>
  <c r="F62" i="20"/>
  <c r="F61" i="20"/>
  <c r="F50" i="20"/>
  <c r="I7" i="20"/>
  <c r="J7" i="20" s="1"/>
  <c r="G31" i="20"/>
  <c r="G39" i="20"/>
  <c r="G47" i="20"/>
  <c r="I17" i="20"/>
  <c r="J17" i="20"/>
  <c r="T10" i="29"/>
  <c r="H10" i="29" s="1"/>
  <c r="T41" i="33"/>
  <c r="G94" i="29"/>
  <c r="G51" i="20"/>
  <c r="G17" i="20"/>
  <c r="I31" i="20"/>
  <c r="J31" i="20"/>
  <c r="G19" i="20"/>
  <c r="G27" i="20"/>
  <c r="K262" i="29"/>
  <c r="E262" i="29"/>
  <c r="H262" i="29"/>
  <c r="I262" i="29"/>
  <c r="G262" i="29"/>
  <c r="J304" i="29"/>
  <c r="E304" i="29"/>
  <c r="F304" i="29"/>
  <c r="K304" i="29"/>
  <c r="G304" i="29"/>
  <c r="H304" i="29"/>
  <c r="I304" i="29"/>
  <c r="J178" i="29"/>
  <c r="F178" i="29"/>
  <c r="K178" i="29"/>
  <c r="H178" i="29"/>
  <c r="F52" i="29"/>
  <c r="I12" i="20"/>
  <c r="J12" i="20"/>
  <c r="K73" i="29"/>
  <c r="G73" i="29"/>
  <c r="F241" i="29"/>
  <c r="G157" i="29"/>
  <c r="G5" i="20"/>
  <c r="G4" i="20"/>
  <c r="G13" i="20"/>
  <c r="F52" i="20"/>
  <c r="F40" i="20"/>
  <c r="I33" i="20"/>
  <c r="J33" i="20"/>
  <c r="F33" i="20"/>
  <c r="D33" i="20"/>
  <c r="Q41" i="33"/>
  <c r="G49" i="20"/>
  <c r="F32" i="20"/>
  <c r="D32" i="20" s="1"/>
  <c r="G32" i="20"/>
  <c r="F41" i="20"/>
  <c r="F2" i="20"/>
  <c r="F48" i="20"/>
  <c r="G48" i="20"/>
  <c r="G28" i="20"/>
  <c r="I28" i="20"/>
  <c r="J28" i="20"/>
  <c r="G26" i="20"/>
  <c r="F45" i="20"/>
  <c r="F44" i="20"/>
  <c r="F37" i="20"/>
  <c r="F28" i="20"/>
  <c r="D28" i="20" s="1"/>
  <c r="F25" i="20"/>
  <c r="F24" i="20"/>
  <c r="D17" i="20"/>
  <c r="F12" i="20"/>
  <c r="D12" i="20"/>
  <c r="F9" i="20"/>
  <c r="F8" i="20"/>
  <c r="BN98" i="46"/>
  <c r="DL16" i="46"/>
  <c r="A4" i="46"/>
  <c r="L4" i="46" s="1"/>
  <c r="DU81" i="46"/>
  <c r="AX75" i="46"/>
  <c r="A8" i="46" s="1"/>
  <c r="G58" i="20"/>
  <c r="I59" i="20"/>
  <c r="J59" i="20" s="1"/>
  <c r="E56" i="20"/>
  <c r="F56" i="20" s="1"/>
  <c r="G56" i="20"/>
  <c r="K49" i="33"/>
  <c r="K50" i="33"/>
  <c r="K51" i="33"/>
  <c r="K52" i="33"/>
  <c r="K53" i="33"/>
  <c r="K54" i="33"/>
  <c r="K55" i="33"/>
  <c r="K56" i="33"/>
  <c r="K57" i="33"/>
  <c r="K58" i="33"/>
  <c r="E55" i="20"/>
  <c r="F55" i="20"/>
  <c r="G55" i="33"/>
  <c r="AI55" i="33"/>
  <c r="G56" i="33"/>
  <c r="AI56" i="33"/>
  <c r="G58" i="33"/>
  <c r="AI58" i="33"/>
  <c r="G57" i="33"/>
  <c r="AI57" i="33"/>
  <c r="G54" i="33"/>
  <c r="AI54" i="33"/>
  <c r="G55" i="20"/>
  <c r="E57" i="20"/>
  <c r="F57" i="20" s="1"/>
  <c r="J19" i="33"/>
  <c r="D42" i="33"/>
  <c r="R35" i="33"/>
  <c r="J34" i="33"/>
  <c r="R32" i="33"/>
  <c r="J31" i="33"/>
  <c r="J29" i="33"/>
  <c r="R27" i="33"/>
  <c r="J26" i="33"/>
  <c r="R24" i="33"/>
  <c r="R21" i="33"/>
  <c r="R19" i="33"/>
  <c r="R36" i="33"/>
  <c r="J35" i="33"/>
  <c r="R33" i="33"/>
  <c r="J32" i="33"/>
  <c r="R30" i="33"/>
  <c r="J27" i="33"/>
  <c r="R25" i="33"/>
  <c r="J24" i="33"/>
  <c r="R22" i="33"/>
  <c r="J21" i="33"/>
  <c r="J36" i="33"/>
  <c r="J33" i="33"/>
  <c r="J30" i="33"/>
  <c r="H42" i="33"/>
  <c r="R28" i="33"/>
  <c r="J25" i="33"/>
  <c r="R23" i="33"/>
  <c r="J22" i="33"/>
  <c r="R20" i="33"/>
  <c r="R34" i="33"/>
  <c r="R31" i="33"/>
  <c r="R29" i="33"/>
  <c r="J28" i="33"/>
  <c r="R26" i="33"/>
  <c r="J23" i="33"/>
  <c r="J20" i="33"/>
  <c r="G57" i="20"/>
  <c r="D41" i="33"/>
  <c r="H40" i="33"/>
  <c r="H41" i="33"/>
  <c r="H38" i="33"/>
  <c r="D38" i="33"/>
  <c r="D40" i="33"/>
  <c r="H39" i="33"/>
  <c r="D39" i="33"/>
  <c r="D62" i="20"/>
  <c r="E54" i="20"/>
  <c r="E53" i="20"/>
  <c r="F53" i="20"/>
  <c r="G54" i="20"/>
  <c r="F54" i="20"/>
  <c r="G53" i="20"/>
  <c r="N49" i="33"/>
  <c r="N50" i="33"/>
  <c r="N51" i="33"/>
  <c r="N52" i="33"/>
  <c r="N53" i="33"/>
  <c r="N54" i="33"/>
  <c r="N55" i="33"/>
  <c r="N56" i="33"/>
  <c r="N57" i="33"/>
  <c r="N58" i="33"/>
  <c r="I10" i="31"/>
  <c r="D29" i="31" s="1"/>
  <c r="U23" i="33"/>
  <c r="U21" i="33"/>
  <c r="S26" i="33"/>
  <c r="S27" i="33"/>
  <c r="S30" i="33"/>
  <c r="S28" i="33"/>
  <c r="S31" i="33"/>
  <c r="U33" i="33"/>
  <c r="S19" i="33"/>
  <c r="U25" i="33"/>
  <c r="S36" i="33"/>
  <c r="U20" i="33"/>
  <c r="U35" i="33"/>
  <c r="U19" i="33"/>
  <c r="S24" i="33"/>
  <c r="S25" i="33"/>
  <c r="S23" i="33"/>
  <c r="U27" i="33"/>
  <c r="U30" i="33"/>
  <c r="U29" i="33"/>
  <c r="G51" i="33"/>
  <c r="AI51" i="33"/>
  <c r="U32" i="33"/>
  <c r="S21" i="33"/>
  <c r="S20" i="33"/>
  <c r="U28" i="33"/>
  <c r="U26" i="33"/>
  <c r="G50" i="33"/>
  <c r="AI50" i="33"/>
  <c r="S29" i="33"/>
  <c r="S32" i="33"/>
  <c r="S33" i="33"/>
  <c r="U34" i="33"/>
  <c r="S34" i="33"/>
  <c r="U36" i="33"/>
  <c r="U22" i="33"/>
  <c r="U31" i="33"/>
  <c r="S35" i="33"/>
  <c r="S22" i="33"/>
  <c r="U24" i="33"/>
  <c r="G49" i="33"/>
  <c r="AI49" i="33"/>
  <c r="G53" i="33"/>
  <c r="AI53" i="33"/>
  <c r="G52" i="33"/>
  <c r="AI52" i="33"/>
  <c r="AB38" i="33"/>
  <c r="AF38" i="33"/>
  <c r="AF39" i="33"/>
  <c r="AB39" i="33"/>
  <c r="G325" i="29" l="1"/>
  <c r="K325" i="29"/>
  <c r="E325" i="29"/>
  <c r="I325" i="29"/>
  <c r="F325" i="29"/>
  <c r="H325" i="29"/>
  <c r="J325" i="29"/>
  <c r="K283" i="29"/>
  <c r="H283" i="29"/>
  <c r="E283" i="29"/>
  <c r="G283" i="29"/>
  <c r="J283" i="29"/>
  <c r="G220" i="29"/>
  <c r="I220" i="29"/>
  <c r="K220" i="29"/>
  <c r="E220" i="29"/>
  <c r="J220" i="29"/>
  <c r="H220" i="29"/>
  <c r="F220" i="29"/>
  <c r="F157" i="29"/>
  <c r="J157" i="29"/>
  <c r="E157" i="29"/>
  <c r="H157" i="29"/>
  <c r="I136" i="29"/>
  <c r="E136" i="29"/>
  <c r="J136" i="29"/>
  <c r="K136" i="29"/>
  <c r="G136" i="29"/>
  <c r="F136" i="29"/>
  <c r="H136" i="29"/>
  <c r="E115" i="29"/>
  <c r="G115" i="29"/>
  <c r="K115" i="29"/>
  <c r="H115" i="29"/>
  <c r="F115" i="29"/>
  <c r="E73" i="29"/>
  <c r="J73" i="29"/>
  <c r="E52" i="29"/>
  <c r="J52" i="29"/>
  <c r="I52" i="29"/>
  <c r="K52" i="29"/>
  <c r="H52" i="29"/>
  <c r="J31" i="29"/>
  <c r="E31" i="29"/>
  <c r="E10" i="29"/>
  <c r="O16" i="33"/>
  <c r="Q16" i="33" s="1"/>
  <c r="O16" i="42"/>
  <c r="Q16" i="42" s="1"/>
  <c r="AT41" i="21"/>
  <c r="BS8" i="21"/>
  <c r="A5" i="46"/>
  <c r="AN5" i="46"/>
  <c r="L5" i="46"/>
  <c r="A6" i="46"/>
  <c r="AN4" i="46"/>
  <c r="L3" i="46"/>
  <c r="BF9" i="46" s="1"/>
  <c r="P155" i="29"/>
  <c r="P176" i="29" s="1"/>
  <c r="E199" i="29"/>
  <c r="K199" i="29"/>
  <c r="H199" i="29"/>
  <c r="I199" i="29"/>
  <c r="J199" i="29"/>
  <c r="F199" i="29"/>
  <c r="G199" i="29"/>
  <c r="BM4" i="46"/>
  <c r="CO4" i="46"/>
  <c r="F43" i="20"/>
  <c r="K94" i="29"/>
  <c r="I94" i="29"/>
  <c r="E94" i="29"/>
  <c r="K10" i="29"/>
  <c r="I36" i="20"/>
  <c r="J36" i="20" s="1"/>
  <c r="F31" i="29"/>
  <c r="J241" i="29"/>
  <c r="G29" i="20"/>
  <c r="I29" i="20"/>
  <c r="J29" i="20" s="1"/>
  <c r="I115" i="29"/>
  <c r="J115" i="29"/>
  <c r="E19" i="6"/>
  <c r="I19" i="6" s="1"/>
  <c r="D19" i="6"/>
  <c r="F19" i="6"/>
  <c r="AX22" i="48"/>
  <c r="BT22" i="48" s="1"/>
  <c r="BU22" i="48"/>
  <c r="BX5" i="49"/>
  <c r="CB4" i="49"/>
  <c r="BB10" i="49" s="1"/>
  <c r="K157" i="29"/>
  <c r="R2" i="29"/>
  <c r="F60" i="20"/>
  <c r="D60" i="20" s="1"/>
  <c r="G35" i="20"/>
  <c r="F35" i="20"/>
  <c r="I20" i="20"/>
  <c r="J20" i="20" s="1"/>
  <c r="F20" i="20"/>
  <c r="D20" i="20" s="1"/>
  <c r="CO6" i="46"/>
  <c r="BM6" i="46"/>
  <c r="F11" i="20"/>
  <c r="G11" i="20"/>
  <c r="I43" i="20" s="1"/>
  <c r="D11" i="20"/>
  <c r="I2" i="20"/>
  <c r="J2" i="20" s="1"/>
  <c r="G2" i="20"/>
  <c r="I31" i="29"/>
  <c r="K31" i="29"/>
  <c r="E241" i="29"/>
  <c r="K241" i="29"/>
  <c r="F10" i="29"/>
  <c r="I10" i="29"/>
  <c r="G10" i="29"/>
  <c r="G43" i="20"/>
  <c r="I60" i="20"/>
  <c r="J60" i="20" s="1"/>
  <c r="H31" i="29"/>
  <c r="I34" i="20"/>
  <c r="J34" i="20" s="1"/>
  <c r="G34" i="20"/>
  <c r="F34" i="20"/>
  <c r="D34" i="20" s="1"/>
  <c r="G16" i="20"/>
  <c r="I16" i="20"/>
  <c r="J16" i="20" s="1"/>
  <c r="F16" i="20"/>
  <c r="D16" i="20" s="1"/>
  <c r="J262" i="29"/>
  <c r="F262" i="29"/>
  <c r="BU22" i="49"/>
  <c r="BT22" i="49"/>
  <c r="BR22" i="49"/>
  <c r="BS22" i="49"/>
  <c r="G31" i="29"/>
  <c r="F94" i="29"/>
  <c r="F10" i="20"/>
  <c r="D10" i="20"/>
  <c r="I10" i="20"/>
  <c r="J10" i="20" s="1"/>
  <c r="I283" i="29"/>
  <c r="F283" i="29"/>
  <c r="CA51" i="44"/>
  <c r="D21" i="20"/>
  <c r="H241" i="29"/>
  <c r="H94" i="29"/>
  <c r="F59" i="20"/>
  <c r="G59" i="20"/>
  <c r="I178" i="29"/>
  <c r="E178" i="29"/>
  <c r="G178" i="29"/>
  <c r="BD65" i="46"/>
  <c r="AX66" i="46"/>
  <c r="BK3" i="48"/>
  <c r="AP3" i="48"/>
  <c r="DB47" i="48" s="1"/>
  <c r="AJ14" i="48"/>
  <c r="AH14" i="48"/>
  <c r="AG14" i="48"/>
  <c r="I21" i="20"/>
  <c r="J21" i="20" s="1"/>
  <c r="J10" i="29"/>
  <c r="G241" i="29"/>
  <c r="J94" i="29"/>
  <c r="F36" i="20"/>
  <c r="D36" i="20" s="1"/>
  <c r="G21" i="20"/>
  <c r="I73" i="29"/>
  <c r="F73" i="29"/>
  <c r="CO5" i="46"/>
  <c r="BM5" i="46"/>
  <c r="BQ41" i="48"/>
  <c r="AY41" i="48"/>
  <c r="AI15" i="52"/>
  <c r="DS21" i="52"/>
  <c r="N60" i="52"/>
  <c r="T59" i="52"/>
  <c r="BJ3" i="61"/>
  <c r="AE33" i="61" s="1"/>
  <c r="BF4" i="61"/>
  <c r="AM10" i="61"/>
  <c r="AN10" i="61"/>
  <c r="AQ14" i="50"/>
  <c r="BS14" i="50" s="1"/>
  <c r="O18" i="48"/>
  <c r="AF18" i="48"/>
  <c r="AR37" i="48"/>
  <c r="BQ37" i="48"/>
  <c r="AX29" i="50"/>
  <c r="BS29" i="50" s="1"/>
  <c r="J9" i="61"/>
  <c r="AV9" i="61" s="1"/>
  <c r="AT14" i="61"/>
  <c r="I62" i="20"/>
  <c r="J62" i="20" s="1"/>
  <c r="G38" i="20"/>
  <c r="I3" i="20"/>
  <c r="J3" i="20" s="1"/>
  <c r="D3" i="20"/>
  <c r="BZ4" i="51"/>
  <c r="BT33" i="50"/>
  <c r="I3" i="45"/>
  <c r="BT31" i="45" s="1"/>
  <c r="Y3" i="45"/>
  <c r="Y18" i="44"/>
  <c r="D18" i="44"/>
  <c r="G18" i="44" s="1"/>
  <c r="AJ10" i="48"/>
  <c r="N10" i="48"/>
  <c r="AI10" i="48" s="1"/>
  <c r="BT10" i="48"/>
  <c r="BU10" i="48"/>
  <c r="AH4" i="49"/>
  <c r="I4" i="49"/>
  <c r="AI29" i="50"/>
  <c r="AJ29" i="50"/>
  <c r="J45" i="60"/>
  <c r="M45" i="60" s="1"/>
  <c r="AL45" i="60"/>
  <c r="T49" i="60"/>
  <c r="AQ49" i="60"/>
  <c r="AO49" i="60"/>
  <c r="BR14" i="49"/>
  <c r="I6" i="44"/>
  <c r="I5" i="44"/>
  <c r="AC10" i="45"/>
  <c r="BS33" i="50"/>
  <c r="BM14" i="48"/>
  <c r="BR14" i="48"/>
  <c r="BQ14" i="48"/>
  <c r="AJ33" i="48"/>
  <c r="AI33" i="48"/>
  <c r="BI10" i="44"/>
  <c r="BE10" i="44"/>
  <c r="AQ41" i="50"/>
  <c r="BT41" i="50"/>
  <c r="BS41" i="50"/>
  <c r="BU14" i="49"/>
  <c r="CS39" i="44"/>
  <c r="AB10" i="45"/>
  <c r="BR22" i="50"/>
  <c r="BS22" i="50"/>
  <c r="BQ22" i="50"/>
  <c r="BS18" i="50"/>
  <c r="AF37" i="48"/>
  <c r="H37" i="48"/>
  <c r="AG14" i="50"/>
  <c r="AJ14" i="50"/>
  <c r="AI14" i="50"/>
  <c r="BW67" i="50" s="1"/>
  <c r="AH14" i="50"/>
  <c r="BO3" i="55"/>
  <c r="AW10" i="61"/>
  <c r="I6" i="48"/>
  <c r="Z10" i="45"/>
  <c r="AI33" i="50"/>
  <c r="BM18" i="48"/>
  <c r="BQ18" i="48"/>
  <c r="BU18" i="48"/>
  <c r="BR18" i="48"/>
  <c r="BQ10" i="49"/>
  <c r="BM10" i="49"/>
  <c r="BS37" i="49"/>
  <c r="BT29" i="50"/>
  <c r="AC14" i="44"/>
  <c r="AJ10" i="50"/>
  <c r="K37" i="50"/>
  <c r="N37" i="50" s="1"/>
  <c r="AF37" i="50"/>
  <c r="BN10" i="57"/>
  <c r="AL9" i="57"/>
  <c r="BO9" i="57" s="1"/>
  <c r="A2" i="50"/>
  <c r="A4" i="49"/>
  <c r="A4" i="50"/>
  <c r="BT18" i="49"/>
  <c r="N66" i="53"/>
  <c r="T65" i="53"/>
  <c r="AY37" i="60"/>
  <c r="AM49" i="60"/>
  <c r="AN49" i="60"/>
  <c r="AX49" i="60"/>
  <c r="T26" i="61"/>
  <c r="BN25" i="57"/>
  <c r="AL24" i="57"/>
  <c r="BO24" i="57" s="1"/>
  <c r="F37" i="60"/>
  <c r="AU37" i="60" s="1"/>
  <c r="BV4" i="58"/>
  <c r="BZ3" i="58"/>
  <c r="AL18" i="61"/>
  <c r="BQ18" i="49"/>
  <c r="A3" i="50"/>
  <c r="AT45" i="60"/>
  <c r="X32" i="60"/>
  <c r="AX32" i="60" s="1"/>
  <c r="AV33" i="57"/>
  <c r="AM33" i="61"/>
  <c r="AN33" i="61"/>
  <c r="AS24" i="57"/>
  <c r="BP24" i="57" s="1"/>
  <c r="BN29" i="57"/>
  <c r="BU18" i="49"/>
  <c r="A2" i="49"/>
  <c r="A5" i="49"/>
  <c r="M106" i="53"/>
  <c r="T88" i="53" s="1"/>
  <c r="AH76" i="53" s="1"/>
  <c r="K28" i="53"/>
  <c r="AP3" i="58"/>
  <c r="CZ43" i="58" s="1"/>
  <c r="BK3" i="58"/>
  <c r="J41" i="60"/>
  <c r="M41" i="60" s="1"/>
  <c r="AL41" i="60"/>
  <c r="AL22" i="61"/>
  <c r="BK3" i="49"/>
  <c r="BT37" i="50"/>
  <c r="AF65" i="55"/>
  <c r="Z66" i="55"/>
  <c r="BO4" i="55"/>
  <c r="CS4" i="55"/>
  <c r="AJ18" i="58"/>
  <c r="AG18" i="58"/>
  <c r="AI18" i="58"/>
  <c r="F14" i="61"/>
  <c r="AL14" i="61"/>
  <c r="AV10" i="61" s="1"/>
  <c r="BJ3" i="60"/>
  <c r="AE10" i="60" s="1"/>
  <c r="BF4" i="60"/>
  <c r="A56" i="49"/>
  <c r="CS6" i="55"/>
  <c r="AL26" i="61"/>
  <c r="B14" i="60"/>
  <c r="J9" i="60" s="1"/>
  <c r="A18" i="60"/>
  <c r="Q9" i="61"/>
  <c r="AW9" i="61" s="1"/>
  <c r="AT18" i="61"/>
  <c r="DX11" i="52"/>
  <c r="CL69" i="52"/>
  <c r="A9" i="52" s="1"/>
  <c r="BQ5" i="52" s="1"/>
  <c r="BO5" i="55"/>
  <c r="CS5" i="55"/>
  <c r="A26" i="61"/>
  <c r="B26" i="61" s="1"/>
  <c r="B22" i="61"/>
  <c r="BH69" i="55"/>
  <c r="BO7" i="55"/>
  <c r="BM10" i="58"/>
  <c r="BQ10" i="58"/>
  <c r="BN18" i="57"/>
  <c r="AO29" i="57"/>
  <c r="BG29" i="57" s="1"/>
  <c r="G29" i="57"/>
  <c r="Y29" i="57" s="1"/>
  <c r="K18" i="57"/>
  <c r="N18" i="57" s="1"/>
  <c r="U14" i="57"/>
  <c r="A4" i="61"/>
  <c r="AL33" i="57"/>
  <c r="AO14" i="57"/>
  <c r="H33" i="57"/>
  <c r="G33" i="57" s="1"/>
  <c r="Y33" i="57" s="1"/>
  <c r="Z33" i="57" s="1"/>
  <c r="BC25" i="57"/>
  <c r="BG25" i="57" s="1"/>
  <c r="BH25" i="57" s="1"/>
  <c r="AP33" i="57"/>
  <c r="K33" i="57"/>
  <c r="N33" i="57" s="1"/>
  <c r="U25" i="57"/>
  <c r="Y25" i="57" s="1"/>
  <c r="AV18" i="57"/>
  <c r="AP18" i="57"/>
  <c r="BG10" i="57"/>
  <c r="AP14" i="57"/>
  <c r="Y10" i="57"/>
  <c r="AA10" i="57" s="1"/>
  <c r="H18" i="57"/>
  <c r="H14" i="57"/>
  <c r="G14" i="57" s="1"/>
  <c r="Y14" i="57" s="1"/>
  <c r="G66" i="20"/>
  <c r="E98" i="20"/>
  <c r="I98" i="20" s="1"/>
  <c r="J84" i="20"/>
  <c r="AC16" i="53"/>
  <c r="D86" i="20"/>
  <c r="J78" i="20"/>
  <c r="F70" i="20"/>
  <c r="F86" i="20"/>
  <c r="C78" i="20"/>
  <c r="D94" i="20"/>
  <c r="D97" i="20"/>
  <c r="C97" i="20"/>
  <c r="D89" i="20"/>
  <c r="J89" i="20"/>
  <c r="E89" i="20"/>
  <c r="I89" i="20" s="1"/>
  <c r="J94" i="20"/>
  <c r="J70" i="20"/>
  <c r="G78" i="20"/>
  <c r="G74" i="20"/>
  <c r="F94" i="20"/>
  <c r="E82" i="20"/>
  <c r="I82" i="20" s="1"/>
  <c r="E66" i="20"/>
  <c r="I66" i="20" s="1"/>
  <c r="C74" i="20"/>
  <c r="BR8" i="21"/>
  <c r="D98" i="20"/>
  <c r="J86" i="20"/>
  <c r="J98" i="20"/>
  <c r="D90" i="20"/>
  <c r="I74" i="20"/>
  <c r="E90" i="20"/>
  <c r="I90" i="20" s="1"/>
  <c r="F78" i="20"/>
  <c r="D82" i="20"/>
  <c r="D78" i="20"/>
  <c r="J74" i="20"/>
  <c r="I78" i="20"/>
  <c r="G86" i="20"/>
  <c r="D96" i="20"/>
  <c r="G96" i="20"/>
  <c r="E92" i="20"/>
  <c r="I92" i="20" s="1"/>
  <c r="G92" i="20"/>
  <c r="D88" i="20"/>
  <c r="F88" i="20"/>
  <c r="C88" i="20"/>
  <c r="G80" i="20"/>
  <c r="E80" i="20"/>
  <c r="I80" i="20" s="1"/>
  <c r="F68" i="20"/>
  <c r="C68" i="20"/>
  <c r="D68" i="20"/>
  <c r="D91" i="20"/>
  <c r="F91" i="20"/>
  <c r="E95" i="20"/>
  <c r="I95" i="20" s="1"/>
  <c r="J91" i="20"/>
  <c r="J72" i="20"/>
  <c r="F100" i="20"/>
  <c r="C99" i="20"/>
  <c r="D99" i="20"/>
  <c r="J99" i="20"/>
  <c r="F99" i="20"/>
  <c r="E87" i="20"/>
  <c r="I87" i="20" s="1"/>
  <c r="D87" i="20"/>
  <c r="J87" i="20"/>
  <c r="G87" i="20"/>
  <c r="G79" i="20"/>
  <c r="E79" i="20"/>
  <c r="I79" i="20" s="1"/>
  <c r="J75" i="20"/>
  <c r="F75" i="20"/>
  <c r="J67" i="20"/>
  <c r="F67" i="20"/>
  <c r="D100" i="20"/>
  <c r="D95" i="20"/>
  <c r="D92" i="20"/>
  <c r="J68" i="20"/>
  <c r="J64" i="20"/>
  <c r="F92" i="20"/>
  <c r="E72" i="20"/>
  <c r="I72" i="20" s="1"/>
  <c r="E64" i="20"/>
  <c r="I64" i="20" s="1"/>
  <c r="C96" i="20"/>
  <c r="EW4" i="52"/>
  <c r="A19" i="52" s="1"/>
  <c r="J80" i="20"/>
  <c r="D76" i="20"/>
  <c r="C72" i="20"/>
  <c r="EY4" i="52"/>
  <c r="J100" i="20"/>
  <c r="J92" i="20"/>
  <c r="D80" i="20"/>
  <c r="J76" i="20"/>
  <c r="J71" i="20"/>
  <c r="G64" i="20"/>
  <c r="F96" i="20"/>
  <c r="C92" i="20"/>
  <c r="C64" i="20"/>
  <c r="FB4" i="52"/>
  <c r="F76" i="20"/>
  <c r="EX4" i="52"/>
  <c r="FA4" i="52"/>
  <c r="EZ4" i="52"/>
  <c r="E101" i="20"/>
  <c r="I101" i="20" s="1"/>
  <c r="G101" i="20"/>
  <c r="J101" i="20"/>
  <c r="D101" i="20"/>
  <c r="G93" i="20"/>
  <c r="D93" i="20"/>
  <c r="J93" i="20"/>
  <c r="E93" i="20"/>
  <c r="I93" i="20" s="1"/>
  <c r="E85" i="20"/>
  <c r="I85" i="20" s="1"/>
  <c r="G85" i="20"/>
  <c r="J85" i="20"/>
  <c r="E77" i="20"/>
  <c r="I77" i="20" s="1"/>
  <c r="G77" i="20"/>
  <c r="E69" i="20"/>
  <c r="I69" i="20" s="1"/>
  <c r="G69" i="20"/>
  <c r="J97" i="20"/>
  <c r="D81" i="20"/>
  <c r="J65" i="20"/>
  <c r="E97" i="20"/>
  <c r="I97" i="20" s="1"/>
  <c r="F73" i="20"/>
  <c r="BX8" i="21"/>
  <c r="BY8" i="21"/>
  <c r="BU8" i="21"/>
  <c r="E99" i="20"/>
  <c r="I99" i="20" s="1"/>
  <c r="G99" i="20"/>
  <c r="C91" i="20"/>
  <c r="E91" i="20"/>
  <c r="I91" i="20" s="1"/>
  <c r="G91" i="20"/>
  <c r="E83" i="20"/>
  <c r="I83" i="20" s="1"/>
  <c r="G83" i="20"/>
  <c r="D83" i="20"/>
  <c r="J83" i="20"/>
  <c r="C75" i="20"/>
  <c r="D75" i="20"/>
  <c r="E75" i="20"/>
  <c r="I75" i="20" s="1"/>
  <c r="G75" i="20"/>
  <c r="E67" i="20"/>
  <c r="I67" i="20" s="1"/>
  <c r="G67" i="20"/>
  <c r="D67" i="20"/>
  <c r="C98" i="20"/>
  <c r="F98" i="20"/>
  <c r="E94" i="20"/>
  <c r="I94" i="20" s="1"/>
  <c r="G94" i="20"/>
  <c r="F90" i="20"/>
  <c r="G90" i="20"/>
  <c r="J90" i="20"/>
  <c r="E86" i="20"/>
  <c r="I86" i="20" s="1"/>
  <c r="G82" i="20"/>
  <c r="J82" i="20"/>
  <c r="F82" i="20"/>
  <c r="F74" i="20"/>
  <c r="D74" i="20"/>
  <c r="E70" i="20"/>
  <c r="I70" i="20" s="1"/>
  <c r="G70" i="20"/>
  <c r="D70" i="20"/>
  <c r="D66" i="20"/>
  <c r="C66" i="20"/>
  <c r="F66" i="20"/>
  <c r="C83" i="20"/>
  <c r="G97" i="20"/>
  <c r="F97" i="20"/>
  <c r="G89" i="20"/>
  <c r="F89" i="20"/>
  <c r="C89" i="20"/>
  <c r="C81" i="20"/>
  <c r="E81" i="20"/>
  <c r="I81" i="20" s="1"/>
  <c r="G81" i="20"/>
  <c r="J81" i="20"/>
  <c r="E73" i="20"/>
  <c r="I73" i="20" s="1"/>
  <c r="G73" i="20"/>
  <c r="C73" i="20"/>
  <c r="D73" i="20"/>
  <c r="C65" i="20"/>
  <c r="D65" i="20"/>
  <c r="E65" i="20"/>
  <c r="I65" i="20" s="1"/>
  <c r="G65" i="20"/>
  <c r="C95" i="20"/>
  <c r="F95" i="20"/>
  <c r="C87" i="20"/>
  <c r="F87" i="20"/>
  <c r="C79" i="20"/>
  <c r="F79" i="20"/>
  <c r="J79" i="20"/>
  <c r="D79" i="20"/>
  <c r="C71" i="20"/>
  <c r="F71" i="20"/>
  <c r="D71" i="20"/>
  <c r="E100" i="20"/>
  <c r="I100" i="20" s="1"/>
  <c r="G100" i="20"/>
  <c r="E96" i="20"/>
  <c r="I96" i="20" s="1"/>
  <c r="J88" i="20"/>
  <c r="E88" i="20"/>
  <c r="I88" i="20" s="1"/>
  <c r="G88" i="20"/>
  <c r="G84" i="20"/>
  <c r="C84" i="20"/>
  <c r="E84" i="20"/>
  <c r="I84" i="20" s="1"/>
  <c r="D84" i="20"/>
  <c r="F80" i="20"/>
  <c r="C80" i="20"/>
  <c r="E76" i="20"/>
  <c r="I76" i="20" s="1"/>
  <c r="G76" i="20"/>
  <c r="D72" i="20"/>
  <c r="F72" i="20"/>
  <c r="G68" i="20"/>
  <c r="E68" i="20"/>
  <c r="I68" i="20" s="1"/>
  <c r="F64" i="20"/>
  <c r="D64" i="20"/>
  <c r="G95" i="20"/>
  <c r="E71" i="20"/>
  <c r="I71" i="20" s="1"/>
  <c r="C67" i="20"/>
  <c r="C101" i="20"/>
  <c r="F101" i="20"/>
  <c r="F93" i="20"/>
  <c r="C93" i="20"/>
  <c r="D85" i="20"/>
  <c r="C85" i="20"/>
  <c r="F85" i="20"/>
  <c r="F77" i="20"/>
  <c r="D77" i="20"/>
  <c r="C77" i="20"/>
  <c r="J77" i="20"/>
  <c r="D69" i="20"/>
  <c r="C69" i="20"/>
  <c r="F69" i="20"/>
  <c r="J69" i="20"/>
  <c r="BT8" i="21"/>
  <c r="BW8" i="21"/>
  <c r="BV8" i="21"/>
  <c r="A18" i="21" l="1"/>
  <c r="A61" i="21" s="1"/>
  <c r="BP22" i="21"/>
  <c r="W5" i="42"/>
  <c r="W5" i="33"/>
  <c r="AN6" i="46"/>
  <c r="L6" i="46"/>
  <c r="J43" i="20"/>
  <c r="D43" i="20"/>
  <c r="BH29" i="57"/>
  <c r="BI29" i="57"/>
  <c r="DG67" i="50"/>
  <c r="CI67" i="50"/>
  <c r="CC67" i="50"/>
  <c r="DA67" i="50"/>
  <c r="AH4" i="50"/>
  <c r="I4" i="50"/>
  <c r="BN51" i="45"/>
  <c r="BZ51" i="45"/>
  <c r="BZ5" i="51"/>
  <c r="CD4" i="51"/>
  <c r="BB10" i="51" s="1"/>
  <c r="BB29" i="51" s="1"/>
  <c r="BF5" i="61"/>
  <c r="BJ4" i="61"/>
  <c r="Q37" i="61" s="1"/>
  <c r="BX6" i="49"/>
  <c r="CB5" i="49"/>
  <c r="BB29" i="49" s="1"/>
  <c r="AL65" i="55"/>
  <c r="AF66" i="55"/>
  <c r="AH37" i="50"/>
  <c r="AJ37" i="50"/>
  <c r="AI37" i="50"/>
  <c r="AG37" i="50"/>
  <c r="DN67" i="48"/>
  <c r="DM67" i="50"/>
  <c r="CO67" i="50"/>
  <c r="BS41" i="48"/>
  <c r="BU41" i="48"/>
  <c r="BT41" i="48"/>
  <c r="BR41" i="48"/>
  <c r="A5" i="52"/>
  <c r="L5" i="52" s="1"/>
  <c r="A6" i="52"/>
  <c r="L6" i="52" s="1"/>
  <c r="AN18" i="61"/>
  <c r="AU18" i="61"/>
  <c r="AQ18" i="61" s="1"/>
  <c r="AV18" i="61"/>
  <c r="AX18" i="61"/>
  <c r="AY18" i="61"/>
  <c r="AM18" i="61"/>
  <c r="AA18" i="44"/>
  <c r="Z18" i="44"/>
  <c r="AC18" i="44"/>
  <c r="AB18" i="44"/>
  <c r="I35" i="20"/>
  <c r="AU26" i="61"/>
  <c r="AQ26" i="61" s="1"/>
  <c r="AO26" i="61" s="1"/>
  <c r="AW26" i="61"/>
  <c r="AX26" i="61"/>
  <c r="AM26" i="61"/>
  <c r="AN26" i="61"/>
  <c r="AV26" i="61"/>
  <c r="BJ4" i="60"/>
  <c r="Q14" i="60" s="1"/>
  <c r="BF5" i="60"/>
  <c r="BB25" i="58"/>
  <c r="BB10" i="58"/>
  <c r="AH37" i="48"/>
  <c r="AG37" i="48"/>
  <c r="AJ37" i="48"/>
  <c r="AI37" i="48"/>
  <c r="CP67" i="48" s="1"/>
  <c r="BS37" i="48"/>
  <c r="BT37" i="48"/>
  <c r="BU37" i="48"/>
  <c r="BR37" i="48"/>
  <c r="AY10" i="61"/>
  <c r="Z59" i="52"/>
  <c r="T60" i="52"/>
  <c r="I5" i="50"/>
  <c r="AH5" i="50"/>
  <c r="BD66" i="46"/>
  <c r="BJ65" i="46"/>
  <c r="X9" i="61"/>
  <c r="AX9" i="61" s="1"/>
  <c r="AT22" i="61"/>
  <c r="I6" i="49"/>
  <c r="AH6" i="49"/>
  <c r="AO33" i="57"/>
  <c r="BG33" i="57" s="1"/>
  <c r="BI33" i="57" s="1"/>
  <c r="AT26" i="61"/>
  <c r="AE9" i="61"/>
  <c r="AY9" i="61" s="1"/>
  <c r="AM14" i="61"/>
  <c r="AQ14" i="61"/>
  <c r="AU14" i="61"/>
  <c r="AW14" i="61"/>
  <c r="AX14" i="61"/>
  <c r="AY14" i="61"/>
  <c r="AN14" i="61"/>
  <c r="AY41" i="60"/>
  <c r="AO41" i="60"/>
  <c r="AV41" i="60"/>
  <c r="AN41" i="60"/>
  <c r="AW33" i="60"/>
  <c r="AW49" i="60"/>
  <c r="AX41" i="60"/>
  <c r="AW37" i="60"/>
  <c r="AU41" i="60"/>
  <c r="AQ41" i="60"/>
  <c r="AM41" i="60"/>
  <c r="AH3" i="49"/>
  <c r="I3" i="49"/>
  <c r="CD47" i="49" s="1"/>
  <c r="AO37" i="60"/>
  <c r="AH5" i="49"/>
  <c r="I5" i="49"/>
  <c r="AJ18" i="48"/>
  <c r="AI18" i="48"/>
  <c r="BX67" i="48" s="1"/>
  <c r="AG18" i="48"/>
  <c r="AH18" i="48"/>
  <c r="AM22" i="61"/>
  <c r="AU22" i="61"/>
  <c r="AV22" i="61"/>
  <c r="AW22" i="61"/>
  <c r="AY22" i="61"/>
  <c r="AQ22" i="61"/>
  <c r="AN22" i="61"/>
  <c r="BZ4" i="58"/>
  <c r="BV5" i="58"/>
  <c r="DH67" i="48"/>
  <c r="CJ67" i="48"/>
  <c r="AO18" i="57"/>
  <c r="BG18" i="57" s="1"/>
  <c r="A22" i="60"/>
  <c r="B18" i="60"/>
  <c r="Q9" i="60" s="1"/>
  <c r="AQ37" i="60"/>
  <c r="I3" i="50"/>
  <c r="CC47" i="50" s="1"/>
  <c r="AH3" i="50"/>
  <c r="AX33" i="60"/>
  <c r="AW45" i="60"/>
  <c r="AN45" i="60"/>
  <c r="AU45" i="60"/>
  <c r="AQ45" i="60"/>
  <c r="AY45" i="60"/>
  <c r="AV45" i="60"/>
  <c r="AO45" i="60"/>
  <c r="AM45" i="60"/>
  <c r="AX37" i="60"/>
  <c r="BT14" i="50"/>
  <c r="AX10" i="61"/>
  <c r="AQ10" i="61" s="1"/>
  <c r="AO10" i="61" s="1"/>
  <c r="I39" i="20"/>
  <c r="I9" i="20"/>
  <c r="I24" i="20"/>
  <c r="I27" i="20"/>
  <c r="I52" i="20"/>
  <c r="I42" i="20"/>
  <c r="I57" i="20"/>
  <c r="I23" i="20"/>
  <c r="I25" i="20"/>
  <c r="I30" i="20"/>
  <c r="I48" i="20"/>
  <c r="I50" i="20"/>
  <c r="I54" i="20"/>
  <c r="I8" i="20"/>
  <c r="I18" i="20"/>
  <c r="I41" i="20"/>
  <c r="I46" i="20"/>
  <c r="I44" i="20"/>
  <c r="I45" i="20"/>
  <c r="I51" i="20"/>
  <c r="I47" i="20"/>
  <c r="I53" i="20"/>
  <c r="I49" i="20"/>
  <c r="I55" i="20"/>
  <c r="I5" i="20"/>
  <c r="I4" i="20"/>
  <c r="I58" i="20"/>
  <c r="I15" i="20"/>
  <c r="I61" i="20"/>
  <c r="I22" i="20"/>
  <c r="I56" i="20"/>
  <c r="I14" i="20"/>
  <c r="I19" i="20"/>
  <c r="I40" i="20"/>
  <c r="I37" i="20"/>
  <c r="P197" i="29"/>
  <c r="T66" i="53"/>
  <c r="Z65" i="53"/>
  <c r="Y18" i="57"/>
  <c r="BQ10" i="57" s="1"/>
  <c r="G18" i="57"/>
  <c r="A5" i="61"/>
  <c r="CU67" i="50"/>
  <c r="BK29" i="57"/>
  <c r="BP33" i="57"/>
  <c r="BI25" i="57"/>
  <c r="BK25" i="57" s="1"/>
  <c r="BK33" i="57"/>
  <c r="BH33" i="57"/>
  <c r="AA29" i="57"/>
  <c r="Z29" i="57"/>
  <c r="BP25" i="57"/>
  <c r="AH33" i="57"/>
  <c r="BQ25" i="57"/>
  <c r="AI25" i="57"/>
  <c r="AA33" i="57"/>
  <c r="AC33" i="57" s="1"/>
  <c r="BQ29" i="57"/>
  <c r="AG33" i="57"/>
  <c r="Z25" i="57"/>
  <c r="AC25" i="57" s="1"/>
  <c r="BO33" i="57"/>
  <c r="AI29" i="57"/>
  <c r="AA25" i="57"/>
  <c r="BO29" i="57"/>
  <c r="AG29" i="57"/>
  <c r="AH25" i="57"/>
  <c r="BI10" i="57"/>
  <c r="BH10" i="57"/>
  <c r="BG14" i="57"/>
  <c r="Z10" i="57"/>
  <c r="AC10" i="57" s="1"/>
  <c r="AH10" i="57"/>
  <c r="BP10" i="57"/>
  <c r="BX10" i="57" s="1"/>
  <c r="AG14" i="57"/>
  <c r="Z14" i="57"/>
  <c r="AA14" i="57"/>
  <c r="AX72" i="21"/>
  <c r="AX41" i="21" s="1"/>
  <c r="BF28" i="21" s="1"/>
  <c r="AX14" i="21" s="1"/>
  <c r="BJ22" i="21" s="1"/>
  <c r="A35" i="52"/>
  <c r="A20" i="52"/>
  <c r="A77" i="52" s="1"/>
  <c r="A76" i="52"/>
  <c r="A44" i="52"/>
  <c r="A45" i="52" s="1"/>
  <c r="C9" i="41" l="1"/>
  <c r="Z10" i="33"/>
  <c r="Z23" i="33" s="1"/>
  <c r="I10" i="41"/>
  <c r="D29" i="41" s="1"/>
  <c r="I10" i="32"/>
  <c r="D29" i="32" s="1"/>
  <c r="Z10" i="42"/>
  <c r="B10" i="42" s="1"/>
  <c r="AU18" i="33"/>
  <c r="Z13" i="33" s="1"/>
  <c r="G4" i="21"/>
  <c r="A33" i="21"/>
  <c r="C9" i="31" s="1"/>
  <c r="C9" i="32"/>
  <c r="AU18" i="42"/>
  <c r="Z13" i="42" s="1"/>
  <c r="AU17" i="42"/>
  <c r="AW18" i="42" s="1"/>
  <c r="S38" i="42" s="1"/>
  <c r="B18" i="21"/>
  <c r="AG3" i="61"/>
  <c r="AO14" i="61"/>
  <c r="H4" i="61" s="1"/>
  <c r="AG4" i="61" s="1"/>
  <c r="AO22" i="61"/>
  <c r="BH18" i="57"/>
  <c r="BP18" i="57"/>
  <c r="BX18" i="57" s="1"/>
  <c r="BO18" i="57"/>
  <c r="BI18" i="57"/>
  <c r="AO18" i="61"/>
  <c r="J23" i="20"/>
  <c r="D23" i="20" s="1"/>
  <c r="A26" i="60"/>
  <c r="B26" i="60" s="1"/>
  <c r="AE9" i="60" s="1"/>
  <c r="B22" i="60"/>
  <c r="X9" i="60" s="1"/>
  <c r="CD5" i="51"/>
  <c r="BI14" i="51" s="1"/>
  <c r="BZ6" i="51"/>
  <c r="CV67" i="48"/>
  <c r="AH18" i="57"/>
  <c r="AF65" i="53"/>
  <c r="Z66" i="53"/>
  <c r="Z38" i="53" s="1"/>
  <c r="AA106" i="53" s="1"/>
  <c r="J18" i="20"/>
  <c r="J19" i="20" s="1"/>
  <c r="D19" i="20" s="1"/>
  <c r="BJ29" i="57"/>
  <c r="Z18" i="57"/>
  <c r="AC18" i="57" s="1"/>
  <c r="BJ33" i="57"/>
  <c r="D22" i="20"/>
  <c r="J22" i="20"/>
  <c r="D8" i="20"/>
  <c r="J8" i="20"/>
  <c r="J42" i="20"/>
  <c r="D42" i="20" s="1"/>
  <c r="BJ66" i="46"/>
  <c r="BP65" i="46"/>
  <c r="AL66" i="55"/>
  <c r="AR65" i="55"/>
  <c r="J61" i="20"/>
  <c r="D61" i="20"/>
  <c r="CD67" i="48"/>
  <c r="DB67" i="48"/>
  <c r="BJ5" i="60"/>
  <c r="AE22" i="60" s="1"/>
  <c r="BF6" i="60"/>
  <c r="AA18" i="57"/>
  <c r="P218" i="29"/>
  <c r="C197" i="29"/>
  <c r="J15" i="20"/>
  <c r="D15" i="20"/>
  <c r="D27" i="20"/>
  <c r="J27" i="20"/>
  <c r="BV6" i="58"/>
  <c r="BZ5" i="58"/>
  <c r="H4" i="60"/>
  <c r="AG4" i="60" s="1"/>
  <c r="H5" i="60"/>
  <c r="AG5" i="60" s="1"/>
  <c r="H3" i="60"/>
  <c r="AG3" i="60" s="1"/>
  <c r="CB6" i="49"/>
  <c r="BI33" i="49" s="1"/>
  <c r="BX7" i="49"/>
  <c r="J14" i="20"/>
  <c r="D14" i="20" s="1"/>
  <c r="AI10" i="57"/>
  <c r="D37" i="20"/>
  <c r="J37" i="20"/>
  <c r="D58" i="20"/>
  <c r="J58" i="20"/>
  <c r="J45" i="20"/>
  <c r="D45" i="20"/>
  <c r="J24" i="20"/>
  <c r="D24" i="20"/>
  <c r="R14" i="58"/>
  <c r="R29" i="58"/>
  <c r="D41" i="20"/>
  <c r="J41" i="20"/>
  <c r="AI14" i="57"/>
  <c r="AG18" i="57"/>
  <c r="D40" i="20"/>
  <c r="J40" i="20"/>
  <c r="J4" i="20"/>
  <c r="J5" i="20" s="1"/>
  <c r="D5" i="20" s="1"/>
  <c r="J44" i="20"/>
  <c r="D44" i="20"/>
  <c r="J30" i="20"/>
  <c r="D30" i="20"/>
  <c r="J9" i="20"/>
  <c r="D9" i="20"/>
  <c r="J35" i="20"/>
  <c r="D35" i="20"/>
  <c r="BJ5" i="61"/>
  <c r="AE45" i="61" s="1"/>
  <c r="BF6" i="61"/>
  <c r="J46" i="20"/>
  <c r="J47" i="20" s="1"/>
  <c r="J25" i="20"/>
  <c r="D25" i="20"/>
  <c r="J39" i="20"/>
  <c r="D39" i="20"/>
  <c r="AF59" i="52"/>
  <c r="Z60" i="52"/>
  <c r="CG51" i="44"/>
  <c r="BU51" i="44"/>
  <c r="BJ25" i="57"/>
  <c r="AC29" i="57"/>
  <c r="AB29" i="57" s="1"/>
  <c r="AB33" i="57"/>
  <c r="AB25" i="57"/>
  <c r="BK10" i="57"/>
  <c r="BI14" i="57"/>
  <c r="BH14" i="57"/>
  <c r="BK14" i="57" s="1"/>
  <c r="BO14" i="57"/>
  <c r="BX14" i="57" s="1"/>
  <c r="BQ14" i="57"/>
  <c r="AC14" i="57"/>
  <c r="BB72" i="21"/>
  <c r="BF72" i="21"/>
  <c r="BJ41" i="21" s="1"/>
  <c r="AX73" i="21"/>
  <c r="A83" i="52"/>
  <c r="A36" i="52"/>
  <c r="A84" i="52" s="1"/>
  <c r="B10" i="33" l="1"/>
  <c r="Z33" i="33"/>
  <c r="Z20" i="33"/>
  <c r="Z19" i="33"/>
  <c r="Z27" i="33"/>
  <c r="Z34" i="33"/>
  <c r="Z35" i="33"/>
  <c r="Z26" i="33"/>
  <c r="Z24" i="33"/>
  <c r="Z27" i="42"/>
  <c r="Z30" i="33"/>
  <c r="Z29" i="33"/>
  <c r="Z36" i="33"/>
  <c r="Z21" i="33"/>
  <c r="Z32" i="33"/>
  <c r="Z24" i="42"/>
  <c r="Z29" i="42"/>
  <c r="AU17" i="33"/>
  <c r="AW32" i="33" s="1"/>
  <c r="Z31" i="33"/>
  <c r="Z25" i="33"/>
  <c r="Z25" i="42"/>
  <c r="Z20" i="42"/>
  <c r="Z36" i="42"/>
  <c r="Z30" i="42"/>
  <c r="Z23" i="42"/>
  <c r="Z28" i="33"/>
  <c r="Z22" i="33"/>
  <c r="Z34" i="42"/>
  <c r="Z31" i="42"/>
  <c r="Z22" i="42"/>
  <c r="Z35" i="42"/>
  <c r="Z21" i="42"/>
  <c r="Z19" i="42"/>
  <c r="Z33" i="42"/>
  <c r="Z32" i="42"/>
  <c r="Z26" i="42"/>
  <c r="Z28" i="42"/>
  <c r="AV19" i="42"/>
  <c r="C9" i="30"/>
  <c r="F9" i="32"/>
  <c r="F9" i="41"/>
  <c r="B33" i="21"/>
  <c r="F9" i="30" s="1"/>
  <c r="AU26" i="42"/>
  <c r="AW31" i="42"/>
  <c r="AV27" i="42"/>
  <c r="AU34" i="42"/>
  <c r="AU25" i="42"/>
  <c r="AV28" i="42"/>
  <c r="AU32" i="42"/>
  <c r="AV30" i="42"/>
  <c r="Z9" i="42"/>
  <c r="AV20" i="42"/>
  <c r="AW20" i="42"/>
  <c r="AU19" i="42"/>
  <c r="AV33" i="42"/>
  <c r="AW21" i="42"/>
  <c r="AW32" i="42"/>
  <c r="AV29" i="42"/>
  <c r="AU22" i="42"/>
  <c r="AU27" i="42"/>
  <c r="AW22" i="42"/>
  <c r="AU30" i="42"/>
  <c r="AV35" i="42"/>
  <c r="AU36" i="42"/>
  <c r="AW34" i="42"/>
  <c r="AW26" i="42"/>
  <c r="AU35" i="42"/>
  <c r="AU20" i="42"/>
  <c r="AW36" i="42"/>
  <c r="AW23" i="42"/>
  <c r="AW27" i="42"/>
  <c r="AV34" i="42"/>
  <c r="AW33" i="42"/>
  <c r="AW35" i="42"/>
  <c r="AV21" i="42"/>
  <c r="AV36" i="42"/>
  <c r="AU21" i="42"/>
  <c r="AW30" i="42"/>
  <c r="AU31" i="42"/>
  <c r="AW24" i="42"/>
  <c r="AU28" i="42"/>
  <c r="AU33" i="42"/>
  <c r="AW25" i="42"/>
  <c r="AV26" i="42"/>
  <c r="AV22" i="42"/>
  <c r="AW19" i="42"/>
  <c r="AV31" i="42"/>
  <c r="Z11" i="42"/>
  <c r="AV32" i="42"/>
  <c r="AU24" i="42"/>
  <c r="AV24" i="42"/>
  <c r="AU23" i="42"/>
  <c r="AV25" i="42"/>
  <c r="AV23" i="42"/>
  <c r="AU29" i="42"/>
  <c r="AW28" i="42"/>
  <c r="AW29" i="42"/>
  <c r="AV30" i="33"/>
  <c r="J48" i="20"/>
  <c r="D47" i="20"/>
  <c r="AB18" i="57"/>
  <c r="AB10" i="57"/>
  <c r="CB63" i="57" s="1"/>
  <c r="CC49" i="57" s="1"/>
  <c r="AB14" i="57"/>
  <c r="BF7" i="61"/>
  <c r="BJ6" i="61"/>
  <c r="X33" i="61" s="1"/>
  <c r="BJ18" i="57"/>
  <c r="AO45" i="61"/>
  <c r="AQ45" i="61"/>
  <c r="AU10" i="58"/>
  <c r="AU25" i="58"/>
  <c r="BF7" i="60"/>
  <c r="BJ6" i="60"/>
  <c r="X10" i="60" s="1"/>
  <c r="BP66" i="46"/>
  <c r="BV65" i="46"/>
  <c r="D18" i="20"/>
  <c r="BK18" i="57"/>
  <c r="D46" i="20"/>
  <c r="D4" i="20"/>
  <c r="BZ6" i="58"/>
  <c r="BV7" i="58"/>
  <c r="AO22" i="60"/>
  <c r="AQ22" i="60"/>
  <c r="BZ7" i="51"/>
  <c r="CD6" i="51"/>
  <c r="R14" i="51" s="1"/>
  <c r="BT14" i="51"/>
  <c r="BS14" i="51"/>
  <c r="BI33" i="51"/>
  <c r="AJ29" i="58"/>
  <c r="AI29" i="58"/>
  <c r="BU33" i="49"/>
  <c r="BT33" i="49"/>
  <c r="AI14" i="58"/>
  <c r="AJ14" i="58"/>
  <c r="BX8" i="49"/>
  <c r="CB7" i="49"/>
  <c r="AL59" i="52"/>
  <c r="AF60" i="52"/>
  <c r="DF63" i="57"/>
  <c r="CH63" i="57"/>
  <c r="H5" i="61"/>
  <c r="AG5" i="61" s="1"/>
  <c r="C218" i="29"/>
  <c r="P239" i="29"/>
  <c r="AX65" i="55"/>
  <c r="AR66" i="55"/>
  <c r="AF66" i="53"/>
  <c r="AG38" i="53" s="1"/>
  <c r="AL65" i="53"/>
  <c r="DR63" i="57"/>
  <c r="CT63" i="57"/>
  <c r="CS49" i="57" s="1"/>
  <c r="BJ10" i="57"/>
  <c r="BJ14" i="57"/>
  <c r="CZ63" i="57"/>
  <c r="DA49" i="57" s="1"/>
  <c r="BF73" i="21"/>
  <c r="AW18" i="33" l="1"/>
  <c r="S38" i="33" s="1"/>
  <c r="AV25" i="33"/>
  <c r="AW30" i="33"/>
  <c r="AV23" i="33"/>
  <c r="AU21" i="33"/>
  <c r="AU31" i="33"/>
  <c r="AU33" i="33"/>
  <c r="AU28" i="33"/>
  <c r="AU29" i="33"/>
  <c r="AV28" i="33"/>
  <c r="AV26" i="33"/>
  <c r="Z9" i="33"/>
  <c r="AV36" i="33"/>
  <c r="AU27" i="33"/>
  <c r="AU20" i="33"/>
  <c r="AV20" i="33"/>
  <c r="AU26" i="33"/>
  <c r="AV32" i="33"/>
  <c r="AW26" i="33"/>
  <c r="AW27" i="33"/>
  <c r="AU30" i="33"/>
  <c r="AV35" i="33"/>
  <c r="AW35" i="33"/>
  <c r="AW22" i="33"/>
  <c r="AV34" i="33"/>
  <c r="AU23" i="33"/>
  <c r="AU22" i="33"/>
  <c r="AW34" i="33"/>
  <c r="AV29" i="33"/>
  <c r="AW21" i="33"/>
  <c r="AW31" i="33"/>
  <c r="AU35" i="33"/>
  <c r="Z11" i="33"/>
  <c r="AU19" i="33"/>
  <c r="AW28" i="33"/>
  <c r="AW36" i="33"/>
  <c r="AU32" i="33"/>
  <c r="AV27" i="33"/>
  <c r="AU25" i="33"/>
  <c r="AV31" i="33"/>
  <c r="AU34" i="33"/>
  <c r="AW29" i="33"/>
  <c r="AV19" i="33"/>
  <c r="AV33" i="33"/>
  <c r="AW23" i="33"/>
  <c r="AW33" i="33"/>
  <c r="AW19" i="33"/>
  <c r="AU36" i="33"/>
  <c r="AV21" i="33"/>
  <c r="AU24" i="33"/>
  <c r="AW25" i="33"/>
  <c r="AW20" i="33"/>
  <c r="AW24" i="33"/>
  <c r="AV22" i="33"/>
  <c r="AV24" i="33"/>
  <c r="F9" i="31"/>
  <c r="DL63" i="57"/>
  <c r="DQ49" i="57" s="1"/>
  <c r="A6" i="57" s="1"/>
  <c r="CN63" i="57"/>
  <c r="CD7" i="51"/>
  <c r="AU10" i="51" s="1"/>
  <c r="BZ8" i="51"/>
  <c r="CB65" i="46"/>
  <c r="BV66" i="46"/>
  <c r="AX28" i="53"/>
  <c r="DA23" i="53" s="1"/>
  <c r="DF10" i="53" s="1"/>
  <c r="J49" i="20"/>
  <c r="D48" i="20"/>
  <c r="AR65" i="53"/>
  <c r="AL66" i="53"/>
  <c r="AR48" i="53" s="1"/>
  <c r="AO106" i="53" s="1"/>
  <c r="BB88" i="53" s="1"/>
  <c r="AR59" i="52"/>
  <c r="AL60" i="52"/>
  <c r="BV8" i="58"/>
  <c r="BZ7" i="58"/>
  <c r="BJ7" i="61"/>
  <c r="AE41" i="61" s="1"/>
  <c r="AO41" i="61" s="1"/>
  <c r="BF8" i="61"/>
  <c r="AX66" i="55"/>
  <c r="BD65" i="55"/>
  <c r="R14" i="49"/>
  <c r="R33" i="49"/>
  <c r="BT33" i="51"/>
  <c r="BS33" i="51"/>
  <c r="K25" i="58"/>
  <c r="K10" i="58"/>
  <c r="BF8" i="60"/>
  <c r="BJ7" i="60"/>
  <c r="AE18" i="60" s="1"/>
  <c r="AO18" i="60" s="1"/>
  <c r="P260" i="29"/>
  <c r="C239" i="29"/>
  <c r="BX9" i="49"/>
  <c r="CB8" i="49"/>
  <c r="BR25" i="58"/>
  <c r="BS25" i="58"/>
  <c r="A2" i="57"/>
  <c r="A51" i="57"/>
  <c r="A4" i="57" s="1"/>
  <c r="A5" i="57"/>
  <c r="BR10" i="58"/>
  <c r="BS10" i="58"/>
  <c r="A52" i="57"/>
  <c r="A3" i="57"/>
  <c r="AI14" i="51"/>
  <c r="AJ14" i="51"/>
  <c r="R33" i="51"/>
  <c r="BV9" i="58" l="1"/>
  <c r="BZ8" i="58"/>
  <c r="AA5" i="57"/>
  <c r="C15" i="6"/>
  <c r="I5" i="57"/>
  <c r="C13" i="6"/>
  <c r="I3" i="57"/>
  <c r="CH43" i="57" s="1"/>
  <c r="AA3" i="57"/>
  <c r="AJ33" i="49"/>
  <c r="AI33" i="49"/>
  <c r="AJ25" i="58"/>
  <c r="AI25" i="58"/>
  <c r="J50" i="20"/>
  <c r="D49" i="20"/>
  <c r="P281" i="29"/>
  <c r="C260" i="29"/>
  <c r="AI14" i="49"/>
  <c r="AJ14" i="49"/>
  <c r="AR60" i="52"/>
  <c r="AX59" i="52"/>
  <c r="CH65" i="46"/>
  <c r="CB66" i="46"/>
  <c r="I6" i="57"/>
  <c r="C16" i="6"/>
  <c r="AA6" i="57"/>
  <c r="AJ33" i="51"/>
  <c r="AI33" i="51"/>
  <c r="AA4" i="57"/>
  <c r="C14" i="6"/>
  <c r="I4" i="57"/>
  <c r="BD66" i="55"/>
  <c r="BJ65" i="55"/>
  <c r="BZ9" i="51"/>
  <c r="CD9" i="51" s="1"/>
  <c r="K10" i="51" s="1"/>
  <c r="CD8" i="51"/>
  <c r="BI18" i="51" s="1"/>
  <c r="AQ3" i="57"/>
  <c r="DF43" i="57" s="1"/>
  <c r="C17" i="6"/>
  <c r="BI3" i="57"/>
  <c r="AU10" i="49"/>
  <c r="AU29" i="49"/>
  <c r="BJ8" i="60"/>
  <c r="X14" i="60" s="1"/>
  <c r="BF9" i="60"/>
  <c r="AX65" i="53"/>
  <c r="AR66" i="53"/>
  <c r="BS10" i="51"/>
  <c r="BT10" i="51"/>
  <c r="AU29" i="51"/>
  <c r="CB9" i="49"/>
  <c r="BI37" i="49" s="1"/>
  <c r="BX10" i="49"/>
  <c r="CB10" i="49" s="1"/>
  <c r="AI10" i="58"/>
  <c r="AJ10" i="58"/>
  <c r="BF9" i="61"/>
  <c r="BJ8" i="61"/>
  <c r="X37" i="61" s="1"/>
  <c r="BJ9" i="61" l="1"/>
  <c r="Q33" i="61" s="1"/>
  <c r="BF10" i="61"/>
  <c r="BJ10" i="61" s="1"/>
  <c r="AE37" i="61" s="1"/>
  <c r="BV63" i="58"/>
  <c r="CT63" i="58"/>
  <c r="BJ9" i="60"/>
  <c r="Q10" i="60" s="1"/>
  <c r="BF10" i="60"/>
  <c r="BJ10" i="60" s="1"/>
  <c r="AE14" i="60" s="1"/>
  <c r="AO14" i="60" s="1"/>
  <c r="BT29" i="49"/>
  <c r="BU29" i="49"/>
  <c r="P302" i="29"/>
  <c r="C281" i="29"/>
  <c r="K29" i="51"/>
  <c r="AJ10" i="51"/>
  <c r="AI10" i="51"/>
  <c r="K10" i="49"/>
  <c r="K29" i="49"/>
  <c r="BJ66" i="55"/>
  <c r="BP65" i="55"/>
  <c r="BU37" i="49"/>
  <c r="BT37" i="49"/>
  <c r="BS29" i="51"/>
  <c r="BT29" i="51"/>
  <c r="BT10" i="49"/>
  <c r="BR10" i="49"/>
  <c r="BU10" i="49"/>
  <c r="F13" i="6"/>
  <c r="E13" i="6"/>
  <c r="I13" i="6" s="1"/>
  <c r="D13" i="6"/>
  <c r="E16" i="6"/>
  <c r="I16" i="6" s="1"/>
  <c r="D16" i="6"/>
  <c r="F16" i="6"/>
  <c r="CH66" i="46"/>
  <c r="CN65" i="46"/>
  <c r="BV10" i="58"/>
  <c r="BZ10" i="58" s="1"/>
  <c r="BZ9" i="58"/>
  <c r="E14" i="6"/>
  <c r="I14" i="6" s="1"/>
  <c r="F14" i="6"/>
  <c r="D14" i="6"/>
  <c r="J51" i="20"/>
  <c r="D50" i="20"/>
  <c r="AO37" i="61"/>
  <c r="CI66" i="51"/>
  <c r="F17" i="6"/>
  <c r="D17" i="6"/>
  <c r="E17" i="6"/>
  <c r="I17" i="6" s="1"/>
  <c r="BD59" i="52"/>
  <c r="AX60" i="52"/>
  <c r="DL63" i="58"/>
  <c r="CN63" i="58"/>
  <c r="E15" i="6"/>
  <c r="I15" i="6" s="1"/>
  <c r="F15" i="6"/>
  <c r="D15" i="6"/>
  <c r="BD65" i="53"/>
  <c r="AX66" i="53"/>
  <c r="AX48" i="53" s="1"/>
  <c r="BI37" i="51"/>
  <c r="BT18" i="51"/>
  <c r="BS18" i="51"/>
  <c r="DG66" i="51" s="1"/>
  <c r="BS37" i="51" l="1"/>
  <c r="CC66" i="51" s="1"/>
  <c r="BT37" i="51"/>
  <c r="AJ29" i="49"/>
  <c r="AI29" i="49"/>
  <c r="AO33" i="61"/>
  <c r="AQ33" i="61"/>
  <c r="CD67" i="49"/>
  <c r="DB67" i="49"/>
  <c r="BJ59" i="52"/>
  <c r="BD60" i="52"/>
  <c r="D51" i="20"/>
  <c r="J52" i="20"/>
  <c r="BJ65" i="53"/>
  <c r="BD66" i="53"/>
  <c r="CU66" i="51"/>
  <c r="BW66" i="51"/>
  <c r="AJ29" i="51"/>
  <c r="AI29" i="51"/>
  <c r="BP66" i="55"/>
  <c r="BV65" i="55"/>
  <c r="AQ10" i="60"/>
  <c r="AO10" i="60"/>
  <c r="CT65" i="46"/>
  <c r="CN66" i="46"/>
  <c r="AI10" i="49"/>
  <c r="AJ10" i="49"/>
  <c r="P323" i="29"/>
  <c r="C302" i="29"/>
  <c r="DA66" i="51" l="1"/>
  <c r="BJ66" i="53"/>
  <c r="BI38" i="53" s="1"/>
  <c r="BC106" i="53" s="1"/>
  <c r="BP65" i="53"/>
  <c r="P344" i="29"/>
  <c r="C323" i="29"/>
  <c r="U2" i="29"/>
  <c r="U4" i="29" a="1"/>
  <c r="U4" i="29" s="1"/>
  <c r="U3" i="29" a="1"/>
  <c r="U3" i="29" s="1"/>
  <c r="CZ65" i="46"/>
  <c r="CT66" i="46"/>
  <c r="BV66" i="55"/>
  <c r="CB65" i="55"/>
  <c r="J53" i="20"/>
  <c r="D52" i="20"/>
  <c r="DM66" i="51"/>
  <c r="CO66" i="51"/>
  <c r="CP67" i="49"/>
  <c r="DN67" i="49"/>
  <c r="BX67" i="49"/>
  <c r="CV67" i="49"/>
  <c r="BP59" i="52"/>
  <c r="BJ60" i="52"/>
  <c r="CH65" i="55" l="1"/>
  <c r="CB66" i="55"/>
  <c r="P365" i="29"/>
  <c r="C365" i="29" s="1"/>
  <c r="C344" i="29"/>
  <c r="J54" i="20"/>
  <c r="D53" i="20"/>
  <c r="BP66" i="53"/>
  <c r="BQ38" i="53" s="1"/>
  <c r="BV65" i="53"/>
  <c r="BV59" i="52"/>
  <c r="BP60" i="52"/>
  <c r="DF65" i="46"/>
  <c r="CZ66" i="46"/>
  <c r="CB28" i="53" l="1"/>
  <c r="CW16" i="53" s="1"/>
  <c r="A3" i="53" s="1"/>
  <c r="BV66" i="53"/>
  <c r="CB65" i="53"/>
  <c r="DF66" i="46"/>
  <c r="DL65" i="46"/>
  <c r="D54" i="20"/>
  <c r="J55" i="20"/>
  <c r="CB59" i="52"/>
  <c r="BV60" i="52"/>
  <c r="CN65" i="55"/>
  <c r="CH66" i="55"/>
  <c r="A9" i="53" l="1"/>
  <c r="D55" i="20"/>
  <c r="J56" i="20"/>
  <c r="DL66" i="46"/>
  <c r="DR65" i="46"/>
  <c r="CH65" i="53"/>
  <c r="CB66" i="53"/>
  <c r="CB48" i="53" s="1"/>
  <c r="BQ106" i="53" s="1"/>
  <c r="BX88" i="53" s="1"/>
  <c r="CT65" i="55"/>
  <c r="CN66" i="55"/>
  <c r="AP3" i="53"/>
  <c r="A4" i="53"/>
  <c r="L3" i="53"/>
  <c r="AT9" i="53" s="1"/>
  <c r="B109" i="53" s="1"/>
  <c r="A5" i="53"/>
  <c r="C4" i="6"/>
  <c r="B72" i="21" s="1"/>
  <c r="B41" i="21" s="1"/>
  <c r="F28" i="21" s="1"/>
  <c r="CH59" i="52"/>
  <c r="CB60" i="52"/>
  <c r="N14" i="21" l="1"/>
  <c r="BC22" i="21" s="1"/>
  <c r="BF8" i="21" s="1"/>
  <c r="E10" i="30"/>
  <c r="D27" i="30" s="1"/>
  <c r="CZ65" i="55"/>
  <c r="CT66" i="55"/>
  <c r="CH66" i="53"/>
  <c r="CN65" i="53"/>
  <c r="DR66" i="46"/>
  <c r="DX65" i="46"/>
  <c r="C5" i="6"/>
  <c r="F72" i="21" s="1"/>
  <c r="L4" i="53"/>
  <c r="AP4" i="53"/>
  <c r="E4" i="6"/>
  <c r="D4" i="6"/>
  <c r="F4" i="6"/>
  <c r="C6" i="6"/>
  <c r="L5" i="53"/>
  <c r="AP5" i="53"/>
  <c r="CN59" i="52"/>
  <c r="CH60" i="52"/>
  <c r="J57" i="20"/>
  <c r="D57" i="20" s="1"/>
  <c r="D56" i="20"/>
  <c r="A8" i="53"/>
  <c r="B63" i="20" l="1"/>
  <c r="C63" i="20" s="1"/>
  <c r="G3" i="21"/>
  <c r="E10" i="32"/>
  <c r="D27" i="32" s="1"/>
  <c r="A10" i="33"/>
  <c r="I27" i="33" s="1"/>
  <c r="AQ18" i="33"/>
  <c r="A13" i="33" s="1"/>
  <c r="E10" i="41"/>
  <c r="AQ17" i="42" s="1"/>
  <c r="A10" i="42"/>
  <c r="I24" i="42" s="1"/>
  <c r="AQ18" i="42"/>
  <c r="A13" i="42" s="1"/>
  <c r="I4" i="6"/>
  <c r="C8" i="29"/>
  <c r="B73" i="21"/>
  <c r="W8" i="21" s="1"/>
  <c r="D5" i="6"/>
  <c r="E5" i="6"/>
  <c r="F5" i="6"/>
  <c r="D6" i="6"/>
  <c r="E6" i="6"/>
  <c r="F6" i="6"/>
  <c r="ED65" i="46"/>
  <c r="DX66" i="46"/>
  <c r="C10" i="6"/>
  <c r="BO5" i="53"/>
  <c r="CS5" i="53"/>
  <c r="CT65" i="53"/>
  <c r="CN66" i="53"/>
  <c r="CH48" i="53" s="1"/>
  <c r="CS4" i="53"/>
  <c r="BO4" i="53"/>
  <c r="C9" i="6"/>
  <c r="V72" i="21" s="1"/>
  <c r="CT59" i="52"/>
  <c r="CN60" i="52"/>
  <c r="CZ66" i="55"/>
  <c r="DF65" i="55"/>
  <c r="AX78" i="21" l="1"/>
  <c r="AX77" i="21"/>
  <c r="AD78" i="21"/>
  <c r="AD77" i="21"/>
  <c r="J78" i="21"/>
  <c r="J77" i="21"/>
  <c r="E63" i="20"/>
  <c r="I63" i="20" s="1"/>
  <c r="J63" i="20" s="1"/>
  <c r="AQ17" i="33"/>
  <c r="AS28" i="33" s="1"/>
  <c r="I31" i="33"/>
  <c r="I20" i="33"/>
  <c r="I28" i="33"/>
  <c r="I22" i="33"/>
  <c r="I22" i="42"/>
  <c r="I30" i="42"/>
  <c r="I26" i="33"/>
  <c r="I30" i="33"/>
  <c r="I23" i="33"/>
  <c r="I25" i="33"/>
  <c r="I32" i="33"/>
  <c r="I31" i="42"/>
  <c r="I21" i="42"/>
  <c r="I27" i="42"/>
  <c r="I20" i="42"/>
  <c r="I35" i="42"/>
  <c r="I34" i="33"/>
  <c r="I36" i="33"/>
  <c r="I33" i="42"/>
  <c r="I34" i="42"/>
  <c r="I29" i="42"/>
  <c r="D27" i="41"/>
  <c r="I24" i="33"/>
  <c r="I19" i="33"/>
  <c r="I35" i="33"/>
  <c r="I29" i="33"/>
  <c r="I33" i="33"/>
  <c r="I21" i="33"/>
  <c r="I28" i="42"/>
  <c r="I32" i="42"/>
  <c r="I19" i="42"/>
  <c r="I23" i="42"/>
  <c r="I26" i="42"/>
  <c r="I25" i="42"/>
  <c r="I36" i="42"/>
  <c r="A1" i="21"/>
  <c r="G77" i="21"/>
  <c r="Y4" i="21"/>
  <c r="AQ8" i="21"/>
  <c r="Y3" i="21"/>
  <c r="H3" i="21"/>
  <c r="AE3" i="21" s="1"/>
  <c r="AQ35" i="42"/>
  <c r="AQ24" i="42"/>
  <c r="AQ26" i="42"/>
  <c r="AR21" i="42"/>
  <c r="AR24" i="42"/>
  <c r="AQ36" i="42"/>
  <c r="AR26" i="42"/>
  <c r="AQ27" i="42"/>
  <c r="AQ25" i="42"/>
  <c r="AQ33" i="42"/>
  <c r="AR36" i="42"/>
  <c r="AQ29" i="42"/>
  <c r="AS29" i="42"/>
  <c r="AR32" i="42"/>
  <c r="AR30" i="42"/>
  <c r="AS35" i="42"/>
  <c r="AQ28" i="42"/>
  <c r="AS27" i="42"/>
  <c r="AS32" i="42"/>
  <c r="AR22" i="42"/>
  <c r="AR28" i="42"/>
  <c r="AQ31" i="42"/>
  <c r="AR31" i="42"/>
  <c r="AS30" i="42"/>
  <c r="AQ23" i="42"/>
  <c r="AQ22" i="42"/>
  <c r="AS33" i="42"/>
  <c r="AS19" i="42"/>
  <c r="AS21" i="42"/>
  <c r="AS18" i="42"/>
  <c r="K38" i="42" s="1"/>
  <c r="AQ19" i="42"/>
  <c r="AR34" i="42"/>
  <c r="AR29" i="42"/>
  <c r="AS34" i="42"/>
  <c r="AS31" i="42"/>
  <c r="AS36" i="42"/>
  <c r="AQ20" i="42"/>
  <c r="AR20" i="42"/>
  <c r="AR33" i="42"/>
  <c r="A11" i="42"/>
  <c r="AR25" i="42"/>
  <c r="AS25" i="42"/>
  <c r="AR19" i="42"/>
  <c r="AR35" i="42"/>
  <c r="AS23" i="42"/>
  <c r="AR27" i="42"/>
  <c r="AQ21" i="42"/>
  <c r="AS24" i="42"/>
  <c r="A9" i="42"/>
  <c r="AQ32" i="42"/>
  <c r="AS26" i="42"/>
  <c r="AS20" i="42"/>
  <c r="AS22" i="42"/>
  <c r="AS28" i="42"/>
  <c r="AQ30" i="42"/>
  <c r="AQ34" i="42"/>
  <c r="AR23" i="42"/>
  <c r="I6" i="6"/>
  <c r="J73" i="21" s="1"/>
  <c r="I5" i="6"/>
  <c r="F73" i="21" s="1"/>
  <c r="C29" i="29"/>
  <c r="EJ65" i="46"/>
  <c r="ED66" i="46"/>
  <c r="E9" i="6"/>
  <c r="I9" i="6" s="1"/>
  <c r="F9" i="6"/>
  <c r="D9" i="6"/>
  <c r="DF66" i="55"/>
  <c r="DL65" i="55"/>
  <c r="CZ65" i="53"/>
  <c r="CT66" i="53"/>
  <c r="CS38" i="53" s="1"/>
  <c r="CZ59" i="52"/>
  <c r="CT60" i="52"/>
  <c r="Z72" i="21"/>
  <c r="AD41" i="21" s="1"/>
  <c r="D10" i="6"/>
  <c r="F10" i="6"/>
  <c r="E10" i="6"/>
  <c r="I10" i="6" s="1"/>
  <c r="AS31" i="33" l="1"/>
  <c r="AQ22" i="33"/>
  <c r="AS29" i="33"/>
  <c r="AR36" i="33"/>
  <c r="AR30" i="33"/>
  <c r="AR25" i="33"/>
  <c r="AQ30" i="33"/>
  <c r="AQ27" i="33"/>
  <c r="AS23" i="33"/>
  <c r="AQ19" i="33"/>
  <c r="AS27" i="33"/>
  <c r="AQ29" i="33"/>
  <c r="AS22" i="33"/>
  <c r="AQ20" i="33"/>
  <c r="AR35" i="33"/>
  <c r="AS30" i="33"/>
  <c r="AQ36" i="33"/>
  <c r="AS21" i="33"/>
  <c r="AR22" i="33"/>
  <c r="AQ31" i="33"/>
  <c r="AR28" i="33"/>
  <c r="AS25" i="33"/>
  <c r="AQ33" i="33"/>
  <c r="AS20" i="33"/>
  <c r="AS34" i="33"/>
  <c r="AR21" i="33"/>
  <c r="AR23" i="33"/>
  <c r="AR33" i="33"/>
  <c r="AQ26" i="33"/>
  <c r="A11" i="33"/>
  <c r="AQ25" i="33"/>
  <c r="AQ32" i="33"/>
  <c r="AR32" i="33"/>
  <c r="A9" i="33"/>
  <c r="AQ21" i="33"/>
  <c r="AQ24" i="33"/>
  <c r="AS24" i="33"/>
  <c r="AS19" i="33"/>
  <c r="AS18" i="33"/>
  <c r="K38" i="33" s="1"/>
  <c r="AQ34" i="33"/>
  <c r="AR34" i="33"/>
  <c r="AS35" i="33"/>
  <c r="AS32" i="33"/>
  <c r="AQ28" i="33"/>
  <c r="AR19" i="33"/>
  <c r="AS33" i="33"/>
  <c r="G63" i="20"/>
  <c r="F63" i="20"/>
  <c r="D63" i="20" s="1"/>
  <c r="AL10" i="21" s="1"/>
  <c r="AR26" i="33"/>
  <c r="AQ23" i="33"/>
  <c r="AS36" i="33"/>
  <c r="AR20" i="33"/>
  <c r="AR24" i="33"/>
  <c r="AQ35" i="33"/>
  <c r="AR27" i="33"/>
  <c r="AS26" i="33"/>
  <c r="AR31" i="33"/>
  <c r="AR29" i="33"/>
  <c r="V73" i="21"/>
  <c r="C113" i="29"/>
  <c r="C134" i="29"/>
  <c r="Z73" i="21"/>
  <c r="DR65" i="55"/>
  <c r="DL66" i="55"/>
  <c r="CZ66" i="53"/>
  <c r="CZ38" i="53" s="1"/>
  <c r="DF65" i="53"/>
  <c r="CZ60" i="52"/>
  <c r="DF59" i="52"/>
  <c r="CE106" i="53"/>
  <c r="A7" i="53"/>
  <c r="EJ66" i="46"/>
  <c r="EP65" i="46"/>
  <c r="EP66" i="46" s="1"/>
  <c r="DF60" i="52" l="1"/>
  <c r="DL59" i="52"/>
  <c r="DF66" i="53"/>
  <c r="CS106" i="53" s="1"/>
  <c r="DL65" i="53"/>
  <c r="BO3" i="53"/>
  <c r="CS3" i="53"/>
  <c r="C8" i="6"/>
  <c r="R72" i="21" s="1"/>
  <c r="R41" i="21" s="1"/>
  <c r="Z28" i="21" s="1"/>
  <c r="DR66" i="55"/>
  <c r="DX65" i="55"/>
  <c r="DX66" i="55" s="1"/>
  <c r="I10" i="30" l="1"/>
  <c r="D29" i="30" s="1"/>
  <c r="E8" i="6"/>
  <c r="I8" i="6" s="1"/>
  <c r="F8" i="6"/>
  <c r="D8" i="6"/>
  <c r="DL66" i="53"/>
  <c r="DL48" i="53" s="1"/>
  <c r="DR65" i="53"/>
  <c r="DL60" i="52"/>
  <c r="DR59" i="52"/>
  <c r="R73" i="21" l="1"/>
  <c r="C92" i="29"/>
  <c r="DX59" i="52"/>
  <c r="DR60" i="52"/>
  <c r="DR66" i="53"/>
  <c r="DX65" i="53"/>
  <c r="DX66" i="53" s="1"/>
  <c r="DW38" i="53" s="1"/>
  <c r="DG106" i="53" l="1"/>
  <c r="DF88" i="53" s="1"/>
  <c r="CR76" i="53" s="1"/>
  <c r="A11" i="53" s="1"/>
  <c r="DO28" i="53"/>
  <c r="DO23" i="53" s="1"/>
  <c r="A6" i="53" s="1"/>
  <c r="ED59" i="52"/>
  <c r="DX60" i="52"/>
  <c r="EJ59" i="52" l="1"/>
  <c r="ED60" i="52"/>
  <c r="AP6" i="53"/>
  <c r="L6" i="53"/>
  <c r="C7" i="6"/>
  <c r="N72" i="21" s="1"/>
  <c r="A10" i="53"/>
  <c r="BH69" i="53"/>
  <c r="CS7" i="53"/>
  <c r="BO7" i="53"/>
  <c r="C12" i="6"/>
  <c r="AH72" i="21" s="1"/>
  <c r="AH41" i="21" s="1"/>
  <c r="AL28" i="21" s="1"/>
  <c r="G6" i="21" s="1"/>
  <c r="H6" i="21" l="1"/>
  <c r="Y6" i="21"/>
  <c r="E10" i="31"/>
  <c r="D27" i="31" s="1"/>
  <c r="G5" i="21"/>
  <c r="C11" i="6"/>
  <c r="AD72" i="21" s="1"/>
  <c r="BO6" i="53"/>
  <c r="CS6" i="53"/>
  <c r="F7" i="6"/>
  <c r="E7" i="6"/>
  <c r="I7" i="6" s="1"/>
  <c r="D7" i="6"/>
  <c r="J72" i="21"/>
  <c r="N41" i="21" s="1"/>
  <c r="F12" i="6"/>
  <c r="E12" i="6"/>
  <c r="I12" i="6" s="1"/>
  <c r="D12" i="6"/>
  <c r="EP59" i="52"/>
  <c r="EP60" i="52" s="1"/>
  <c r="EJ60" i="52"/>
  <c r="H5" i="21" l="1"/>
  <c r="AE5" i="21" s="1"/>
  <c r="Y5" i="21"/>
  <c r="H4" i="21"/>
  <c r="AE4" i="21" s="1"/>
  <c r="BB73" i="21"/>
  <c r="N73" i="21"/>
  <c r="C71" i="29"/>
  <c r="C50" i="29"/>
  <c r="AH73" i="21"/>
  <c r="C176" i="29"/>
  <c r="D11" i="6"/>
  <c r="E11" i="6"/>
  <c r="I11" i="6" s="1"/>
  <c r="F11" i="6"/>
  <c r="C155" i="29" l="1"/>
  <c r="AD73" i="21"/>
  <c r="E5" i="33"/>
  <c r="E5" i="42"/>
  <c r="A62" i="21"/>
  <c r="M8" i="29"/>
  <c r="M197" i="29" s="1"/>
  <c r="M302" i="29" l="1"/>
  <c r="M71" i="29"/>
  <c r="M155" i="29"/>
  <c r="M239" i="29"/>
  <c r="M50" i="29"/>
  <c r="M176" i="29"/>
  <c r="M113" i="29"/>
  <c r="M218" i="29"/>
  <c r="M260" i="29"/>
  <c r="M281" i="29"/>
  <c r="M344" i="29"/>
  <c r="M92" i="29"/>
  <c r="M323" i="29"/>
  <c r="M134" i="29"/>
  <c r="M365" i="29"/>
  <c r="M29" i="29"/>
</calcChain>
</file>

<file path=xl/sharedStrings.xml><?xml version="1.0" encoding="utf-8"?>
<sst xmlns="http://schemas.openxmlformats.org/spreadsheetml/2006/main" count="2872" uniqueCount="746">
  <si>
    <t>北加賀ブロック</t>
    <rPh sb="0" eb="1">
      <t>キタ</t>
    </rPh>
    <rPh sb="1" eb="3">
      <t>カガ</t>
    </rPh>
    <phoneticPr fontId="2"/>
  </si>
  <si>
    <t>南加賀ブロック</t>
    <rPh sb="0" eb="1">
      <t>ナン</t>
    </rPh>
    <rPh sb="1" eb="3">
      <t>カガ</t>
    </rPh>
    <phoneticPr fontId="2"/>
  </si>
  <si>
    <t>くじ引き</t>
    <rPh sb="2" eb="3">
      <t>ビ</t>
    </rPh>
    <phoneticPr fontId="2"/>
  </si>
  <si>
    <t>学校名</t>
    <rPh sb="0" eb="3">
      <t>ガッコウメイ</t>
    </rPh>
    <phoneticPr fontId="2"/>
  </si>
  <si>
    <t>郡市名</t>
    <rPh sb="0" eb="1">
      <t>グン</t>
    </rPh>
    <rPh sb="1" eb="2">
      <t>シ</t>
    </rPh>
    <rPh sb="2" eb="3">
      <t>メイ</t>
    </rPh>
    <phoneticPr fontId="2"/>
  </si>
  <si>
    <t>～立など</t>
    <rPh sb="1" eb="2">
      <t>リツ</t>
    </rPh>
    <phoneticPr fontId="2"/>
  </si>
  <si>
    <t>泉</t>
    <rPh sb="0" eb="1">
      <t>イズミ</t>
    </rPh>
    <phoneticPr fontId="2"/>
  </si>
  <si>
    <t>金沢市</t>
    <rPh sb="0" eb="3">
      <t>カナザワシ</t>
    </rPh>
    <phoneticPr fontId="2"/>
  </si>
  <si>
    <t>合同</t>
    <rPh sb="0" eb="2">
      <t>ゴウドウ</t>
    </rPh>
    <phoneticPr fontId="2"/>
  </si>
  <si>
    <t>丸内</t>
    <rPh sb="0" eb="2">
      <t>マルノウチ</t>
    </rPh>
    <phoneticPr fontId="2"/>
  </si>
  <si>
    <t>小松市</t>
    <rPh sb="0" eb="3">
      <t>コマツシ</t>
    </rPh>
    <phoneticPr fontId="2"/>
  </si>
  <si>
    <t>野田</t>
    <rPh sb="0" eb="2">
      <t>ノダ</t>
    </rPh>
    <phoneticPr fontId="2"/>
  </si>
  <si>
    <t>松陽</t>
    <rPh sb="0" eb="2">
      <t>ショウヨウ</t>
    </rPh>
    <phoneticPr fontId="2"/>
  </si>
  <si>
    <t>城南</t>
    <rPh sb="0" eb="2">
      <t>ジョウナン</t>
    </rPh>
    <phoneticPr fontId="2"/>
  </si>
  <si>
    <t>南部</t>
    <rPh sb="0" eb="2">
      <t>ナンブ</t>
    </rPh>
    <phoneticPr fontId="2"/>
  </si>
  <si>
    <t>紫錦台</t>
    <rPh sb="0" eb="1">
      <t>シ</t>
    </rPh>
    <rPh sb="1" eb="2">
      <t>キン</t>
    </rPh>
    <rPh sb="2" eb="3">
      <t>ダイ</t>
    </rPh>
    <phoneticPr fontId="2"/>
  </si>
  <si>
    <t>寺井</t>
    <rPh sb="0" eb="2">
      <t>テライ</t>
    </rPh>
    <phoneticPr fontId="2"/>
  </si>
  <si>
    <t>能美市</t>
    <rPh sb="0" eb="2">
      <t>ノミ</t>
    </rPh>
    <rPh sb="2" eb="3">
      <t>シ</t>
    </rPh>
    <phoneticPr fontId="2"/>
  </si>
  <si>
    <t>能美市</t>
    <rPh sb="0" eb="3">
      <t>ノミシ</t>
    </rPh>
    <phoneticPr fontId="2"/>
  </si>
  <si>
    <t>兼六</t>
    <rPh sb="0" eb="2">
      <t>ケンロク</t>
    </rPh>
    <phoneticPr fontId="2"/>
  </si>
  <si>
    <t>辰口</t>
    <rPh sb="0" eb="2">
      <t>タツノクチ</t>
    </rPh>
    <phoneticPr fontId="2"/>
  </si>
  <si>
    <t>廃部</t>
    <rPh sb="0" eb="2">
      <t>ハイブ</t>
    </rPh>
    <phoneticPr fontId="2"/>
  </si>
  <si>
    <t>高岡</t>
    <rPh sb="0" eb="2">
      <t>タカオカ</t>
    </rPh>
    <phoneticPr fontId="2"/>
  </si>
  <si>
    <t>根上</t>
    <rPh sb="0" eb="2">
      <t>ネアガリ</t>
    </rPh>
    <phoneticPr fontId="2"/>
  </si>
  <si>
    <t>鳴和</t>
    <rPh sb="0" eb="2">
      <t>ナルワ</t>
    </rPh>
    <phoneticPr fontId="2"/>
  </si>
  <si>
    <t>美川</t>
    <rPh sb="0" eb="2">
      <t>ミカワ</t>
    </rPh>
    <phoneticPr fontId="2"/>
  </si>
  <si>
    <t>白山市</t>
    <rPh sb="0" eb="3">
      <t>ハクサンシ</t>
    </rPh>
    <phoneticPr fontId="2"/>
  </si>
  <si>
    <t>長田</t>
    <rPh sb="0" eb="2">
      <t>ナガタ</t>
    </rPh>
    <phoneticPr fontId="2"/>
  </si>
  <si>
    <t>笠間</t>
    <rPh sb="0" eb="2">
      <t>カサマ</t>
    </rPh>
    <phoneticPr fontId="2"/>
  </si>
  <si>
    <t>浅野川</t>
    <rPh sb="0" eb="2">
      <t>アサノ</t>
    </rPh>
    <rPh sb="2" eb="3">
      <t>ガワ</t>
    </rPh>
    <phoneticPr fontId="2"/>
  </si>
  <si>
    <t>北星</t>
    <rPh sb="0" eb="2">
      <t>ホクセイ</t>
    </rPh>
    <phoneticPr fontId="2"/>
  </si>
  <si>
    <t>金石</t>
    <rPh sb="0" eb="1">
      <t>キン</t>
    </rPh>
    <rPh sb="1" eb="2">
      <t>イシ</t>
    </rPh>
    <phoneticPr fontId="2"/>
  </si>
  <si>
    <t>松任</t>
    <rPh sb="0" eb="2">
      <t>マットウ</t>
    </rPh>
    <phoneticPr fontId="2"/>
  </si>
  <si>
    <t>西南部</t>
    <rPh sb="0" eb="3">
      <t>セイナンブ</t>
    </rPh>
    <phoneticPr fontId="2"/>
  </si>
  <si>
    <t>光野</t>
    <rPh sb="0" eb="1">
      <t>ヒカリ</t>
    </rPh>
    <rPh sb="1" eb="2">
      <t>ノ</t>
    </rPh>
    <phoneticPr fontId="2"/>
  </si>
  <si>
    <t>森本</t>
    <rPh sb="0" eb="2">
      <t>モリモト</t>
    </rPh>
    <phoneticPr fontId="2"/>
  </si>
  <si>
    <t>北辰</t>
    <rPh sb="0" eb="2">
      <t>ホクシン</t>
    </rPh>
    <phoneticPr fontId="2"/>
  </si>
  <si>
    <t>額</t>
    <rPh sb="0" eb="1">
      <t>ヌカ</t>
    </rPh>
    <phoneticPr fontId="2"/>
  </si>
  <si>
    <t>野々市</t>
    <rPh sb="0" eb="3">
      <t>ノノイチ</t>
    </rPh>
    <phoneticPr fontId="2"/>
  </si>
  <si>
    <t>野々市市</t>
    <rPh sb="0" eb="3">
      <t>ノノイチ</t>
    </rPh>
    <rPh sb="3" eb="4">
      <t>シ</t>
    </rPh>
    <phoneticPr fontId="2"/>
  </si>
  <si>
    <t>高尾台</t>
    <rPh sb="0" eb="3">
      <t>タカオダイ</t>
    </rPh>
    <phoneticPr fontId="2"/>
  </si>
  <si>
    <t>布水</t>
    <rPh sb="0" eb="2">
      <t>フスイ</t>
    </rPh>
    <phoneticPr fontId="2"/>
  </si>
  <si>
    <t>緑</t>
    <rPh sb="0" eb="1">
      <t>ミドリ</t>
    </rPh>
    <phoneticPr fontId="2"/>
  </si>
  <si>
    <t>港</t>
    <rPh sb="0" eb="1">
      <t>ミナト</t>
    </rPh>
    <phoneticPr fontId="2"/>
  </si>
  <si>
    <t>北鳴</t>
    <rPh sb="0" eb="1">
      <t>ホク</t>
    </rPh>
    <rPh sb="1" eb="2">
      <t>メイ</t>
    </rPh>
    <phoneticPr fontId="2"/>
  </si>
  <si>
    <t>大徳</t>
    <rPh sb="0" eb="2">
      <t>ダイトク</t>
    </rPh>
    <phoneticPr fontId="2"/>
  </si>
  <si>
    <t>能登ブロック</t>
    <rPh sb="0" eb="2">
      <t>ノト</t>
    </rPh>
    <phoneticPr fontId="2"/>
  </si>
  <si>
    <t>清泉</t>
    <rPh sb="0" eb="1">
      <t>キヨシ</t>
    </rPh>
    <rPh sb="1" eb="2">
      <t>イズミ</t>
    </rPh>
    <phoneticPr fontId="2"/>
  </si>
  <si>
    <t>金大附属</t>
    <rPh sb="0" eb="2">
      <t>キンダイ</t>
    </rPh>
    <rPh sb="2" eb="4">
      <t>フゾク</t>
    </rPh>
    <phoneticPr fontId="2"/>
  </si>
  <si>
    <t>金沢大学人間社会学域学校教育学類</t>
    <rPh sb="0" eb="2">
      <t>カナザワ</t>
    </rPh>
    <rPh sb="2" eb="4">
      <t>ダイガク</t>
    </rPh>
    <rPh sb="4" eb="6">
      <t>ニンゲン</t>
    </rPh>
    <rPh sb="6" eb="9">
      <t>シャカイガク</t>
    </rPh>
    <rPh sb="9" eb="10">
      <t>イキ</t>
    </rPh>
    <rPh sb="10" eb="12">
      <t>ガッコウ</t>
    </rPh>
    <rPh sb="12" eb="15">
      <t>キョウイクガク</t>
    </rPh>
    <rPh sb="15" eb="16">
      <t>タグイ</t>
    </rPh>
    <phoneticPr fontId="2"/>
  </si>
  <si>
    <t>宝達</t>
    <rPh sb="0" eb="2">
      <t>ホウダツ</t>
    </rPh>
    <phoneticPr fontId="2"/>
  </si>
  <si>
    <t>羽咋郡</t>
    <rPh sb="0" eb="3">
      <t>ハクイグン</t>
    </rPh>
    <phoneticPr fontId="2"/>
  </si>
  <si>
    <t>宝達志水町</t>
    <rPh sb="0" eb="2">
      <t>ホウダツ</t>
    </rPh>
    <rPh sb="2" eb="5">
      <t>シミズチョウ</t>
    </rPh>
    <phoneticPr fontId="2"/>
  </si>
  <si>
    <t>星稜</t>
    <rPh sb="0" eb="1">
      <t>セイ</t>
    </rPh>
    <rPh sb="1" eb="2">
      <t>リョウ</t>
    </rPh>
    <phoneticPr fontId="2"/>
  </si>
  <si>
    <t>志賀</t>
    <rPh sb="0" eb="2">
      <t>シガ</t>
    </rPh>
    <phoneticPr fontId="2"/>
  </si>
  <si>
    <t>志賀町</t>
    <rPh sb="0" eb="3">
      <t>シカマチ</t>
    </rPh>
    <phoneticPr fontId="2"/>
  </si>
  <si>
    <t>金沢錦丘</t>
    <rPh sb="0" eb="2">
      <t>カナザワ</t>
    </rPh>
    <rPh sb="2" eb="3">
      <t>ニシキ</t>
    </rPh>
    <rPh sb="3" eb="4">
      <t>オカ</t>
    </rPh>
    <phoneticPr fontId="2"/>
  </si>
  <si>
    <t>石川県</t>
    <rPh sb="0" eb="3">
      <t>イシカワケン</t>
    </rPh>
    <phoneticPr fontId="2"/>
  </si>
  <si>
    <t>中能登</t>
    <rPh sb="0" eb="3">
      <t>ナカノト</t>
    </rPh>
    <phoneticPr fontId="2"/>
  </si>
  <si>
    <t>鹿島郡</t>
    <rPh sb="0" eb="3">
      <t>カシマグン</t>
    </rPh>
    <phoneticPr fontId="2"/>
  </si>
  <si>
    <t>中能登町</t>
    <rPh sb="0" eb="1">
      <t>ナカ</t>
    </rPh>
    <rPh sb="1" eb="4">
      <t>ノトチョウ</t>
    </rPh>
    <phoneticPr fontId="2"/>
  </si>
  <si>
    <t>北陸学院</t>
    <rPh sb="0" eb="2">
      <t>ホクリク</t>
    </rPh>
    <rPh sb="2" eb="4">
      <t>ガクイン</t>
    </rPh>
    <phoneticPr fontId="2"/>
  </si>
  <si>
    <t>七尾東部</t>
    <rPh sb="0" eb="2">
      <t>ナナオ</t>
    </rPh>
    <rPh sb="2" eb="4">
      <t>トウブ</t>
    </rPh>
    <phoneticPr fontId="2"/>
  </si>
  <si>
    <t>七尾市</t>
    <rPh sb="0" eb="3">
      <t>ナナオシ</t>
    </rPh>
    <phoneticPr fontId="2"/>
  </si>
  <si>
    <t>学院附属</t>
    <rPh sb="0" eb="2">
      <t>ガクイン</t>
    </rPh>
    <rPh sb="2" eb="4">
      <t>フゾク</t>
    </rPh>
    <phoneticPr fontId="2"/>
  </si>
  <si>
    <t>七尾</t>
    <rPh sb="0" eb="2">
      <t>ナナオ</t>
    </rPh>
    <phoneticPr fontId="2"/>
  </si>
  <si>
    <t>高松</t>
    <rPh sb="0" eb="2">
      <t>タカマツ</t>
    </rPh>
    <phoneticPr fontId="2"/>
  </si>
  <si>
    <t>かほく市</t>
    <rPh sb="3" eb="4">
      <t>シ</t>
    </rPh>
    <phoneticPr fontId="2"/>
  </si>
  <si>
    <t>中島</t>
    <rPh sb="0" eb="2">
      <t>ナカジマ</t>
    </rPh>
    <phoneticPr fontId="2"/>
  </si>
  <si>
    <t>内灘</t>
    <rPh sb="0" eb="2">
      <t>ウチナダ</t>
    </rPh>
    <phoneticPr fontId="2"/>
  </si>
  <si>
    <t>河北郡</t>
    <rPh sb="0" eb="3">
      <t>カホクグン</t>
    </rPh>
    <phoneticPr fontId="2"/>
  </si>
  <si>
    <t>内灘町</t>
    <rPh sb="0" eb="3">
      <t>ウチナダマチ</t>
    </rPh>
    <phoneticPr fontId="2"/>
  </si>
  <si>
    <t>輪島</t>
    <rPh sb="0" eb="2">
      <t>ワジマ</t>
    </rPh>
    <phoneticPr fontId="2"/>
  </si>
  <si>
    <t>輪島市</t>
    <rPh sb="0" eb="3">
      <t>ワジマシ</t>
    </rPh>
    <phoneticPr fontId="2"/>
  </si>
  <si>
    <t>津幡</t>
    <rPh sb="0" eb="2">
      <t>ツバタ</t>
    </rPh>
    <phoneticPr fontId="2"/>
  </si>
  <si>
    <t>津幡町</t>
    <rPh sb="0" eb="3">
      <t>ツバタマチ</t>
    </rPh>
    <phoneticPr fontId="2"/>
  </si>
  <si>
    <t>津幡南</t>
    <rPh sb="0" eb="2">
      <t>ツバタ</t>
    </rPh>
    <rPh sb="2" eb="3">
      <t>ミナミ</t>
    </rPh>
    <phoneticPr fontId="2"/>
  </si>
  <si>
    <t>1位</t>
    <rPh sb="1" eb="2">
      <t>イ</t>
    </rPh>
    <phoneticPr fontId="2"/>
  </si>
  <si>
    <t>【代表】</t>
    <rPh sb="1" eb="3">
      <t>ダイヒョウ</t>
    </rPh>
    <phoneticPr fontId="2"/>
  </si>
  <si>
    <t>2位</t>
    <rPh sb="1" eb="2">
      <t>イ</t>
    </rPh>
    <phoneticPr fontId="2"/>
  </si>
  <si>
    <t>3位</t>
    <rPh sb="1" eb="2">
      <t>イ</t>
    </rPh>
    <phoneticPr fontId="2"/>
  </si>
  <si>
    <t>Aリーグ</t>
    <phoneticPr fontId="2"/>
  </si>
  <si>
    <t>Bリーグ</t>
    <phoneticPr fontId="2"/>
  </si>
  <si>
    <t>B②</t>
  </si>
  <si>
    <t>日</t>
    <rPh sb="0" eb="1">
      <t>ニチ</t>
    </rPh>
    <phoneticPr fontId="2"/>
  </si>
  <si>
    <t xml:space="preserve">
</t>
  </si>
  <si>
    <t>12:30</t>
  </si>
  <si>
    <t>10日
12:30</t>
  </si>
  <si>
    <t>勝点</t>
    <rPh sb="0" eb="1">
      <t>カ</t>
    </rPh>
    <rPh sb="1" eb="2">
      <t>テン</t>
    </rPh>
    <phoneticPr fontId="2"/>
  </si>
  <si>
    <t>得失
点差</t>
    <rPh sb="0" eb="2">
      <t>トクシツ</t>
    </rPh>
    <rPh sb="3" eb="4">
      <t>テン</t>
    </rPh>
    <rPh sb="4" eb="5">
      <t>サ</t>
    </rPh>
    <phoneticPr fontId="2"/>
  </si>
  <si>
    <t>得点</t>
    <rPh sb="0" eb="2">
      <t>トクテン</t>
    </rPh>
    <phoneticPr fontId="2"/>
  </si>
  <si>
    <t>順位</t>
    <rPh sb="0" eb="2">
      <t>ジュンイ</t>
    </rPh>
    <phoneticPr fontId="2"/>
  </si>
  <si>
    <t>－</t>
    <phoneticPr fontId="2"/>
  </si>
  <si>
    <t>【入力はこちらに】</t>
    <rPh sb="1" eb="3">
      <t>ニュウリョク</t>
    </rPh>
    <phoneticPr fontId="2"/>
  </si>
  <si>
    <t>【決勝トーナメント】</t>
    <rPh sb="1" eb="3">
      <t>ケッショウ</t>
    </rPh>
    <phoneticPr fontId="2"/>
  </si>
  <si>
    <t>優勝：</t>
    <rPh sb="0" eb="2">
      <t>ユウショウ</t>
    </rPh>
    <phoneticPr fontId="2"/>
  </si>
  <si>
    <t>【第3代表決定戦】</t>
    <rPh sb="1" eb="2">
      <t>ダイ</t>
    </rPh>
    <rPh sb="3" eb="5">
      <t>ダイヒョウ</t>
    </rPh>
    <rPh sb="5" eb="7">
      <t>ケッテイ</t>
    </rPh>
    <rPh sb="7" eb="8">
      <t>セン</t>
    </rPh>
    <phoneticPr fontId="2"/>
  </si>
  <si>
    <t>A①</t>
  </si>
  <si>
    <t>9：00</t>
  </si>
  <si>
    <t>A②</t>
  </si>
  <si>
    <t>11:00</t>
  </si>
  <si>
    <t>A③</t>
  </si>
  <si>
    <t>13:30</t>
  </si>
  <si>
    <t>B①</t>
  </si>
  <si>
    <t>9:00</t>
  </si>
  <si>
    <t>B③</t>
  </si>
  <si>
    <t>B④</t>
  </si>
  <si>
    <t>14:30</t>
  </si>
  <si>
    <t>１位</t>
    <rPh sb="1" eb="2">
      <t>イ</t>
    </rPh>
    <phoneticPr fontId="2"/>
  </si>
  <si>
    <t>代表</t>
    <rPh sb="0" eb="2">
      <t>ダイヒョウ</t>
    </rPh>
    <phoneticPr fontId="2"/>
  </si>
  <si>
    <t>２位</t>
    <rPh sb="1" eb="2">
      <t>イ</t>
    </rPh>
    <phoneticPr fontId="2"/>
  </si>
  <si>
    <t>３位</t>
    <rPh sb="1" eb="2">
      <t>イ</t>
    </rPh>
    <phoneticPr fontId="2"/>
  </si>
  <si>
    <t>優勝:</t>
    <rPh sb="0" eb="2">
      <t>ユウショウ</t>
    </rPh>
    <phoneticPr fontId="2"/>
  </si>
  <si>
    <t>第3代表決定戦</t>
    <rPh sb="0" eb="1">
      <t>ダイ</t>
    </rPh>
    <rPh sb="2" eb="4">
      <t>ダイヒョウ</t>
    </rPh>
    <rPh sb="4" eb="7">
      <t>ケッテイセン</t>
    </rPh>
    <phoneticPr fontId="2"/>
  </si>
  <si>
    <t>－</t>
  </si>
  <si>
    <t>第５～第８代表決定戦</t>
    <rPh sb="0" eb="1">
      <t>ダイ</t>
    </rPh>
    <rPh sb="3" eb="4">
      <t>ダイ</t>
    </rPh>
    <rPh sb="5" eb="7">
      <t>ダイヒョウ</t>
    </rPh>
    <rPh sb="7" eb="10">
      <t>ケッテイセン</t>
    </rPh>
    <phoneticPr fontId="2"/>
  </si>
  <si>
    <t>金沢市民サッカー場</t>
    <rPh sb="0" eb="4">
      <t>カナザワシミン</t>
    </rPh>
    <rPh sb="8" eb="9">
      <t>ジョウ</t>
    </rPh>
    <phoneticPr fontId="2"/>
  </si>
  <si>
    <t>交流広場</t>
    <phoneticPr fontId="2"/>
  </si>
  <si>
    <t>金沢市スポーツ交流広場</t>
    <phoneticPr fontId="2"/>
  </si>
  <si>
    <t>Ａ</t>
    <phoneticPr fontId="2"/>
  </si>
  <si>
    <t>Ｂ</t>
    <phoneticPr fontId="2"/>
  </si>
  <si>
    <t>Ｃ</t>
    <phoneticPr fontId="2"/>
  </si>
  <si>
    <t>Ｄ</t>
    <phoneticPr fontId="2"/>
  </si>
  <si>
    <t>かほく市ｻｯｶｰ･ﾗｸﾞﾋﾞｰ場</t>
    <rPh sb="3" eb="4">
      <t>シ</t>
    </rPh>
    <rPh sb="15" eb="16">
      <t>ジョウ</t>
    </rPh>
    <phoneticPr fontId="2"/>
  </si>
  <si>
    <t>内灘町サッカー場</t>
    <rPh sb="0" eb="3">
      <t>ウチナダマチ</t>
    </rPh>
    <rPh sb="7" eb="8">
      <t>ジョウ</t>
    </rPh>
    <phoneticPr fontId="2"/>
  </si>
  <si>
    <t>かほく市ｻｯｶｰ・ﾗｸﾞﾋﾞｰ競技場</t>
    <rPh sb="3" eb="4">
      <t>シ</t>
    </rPh>
    <rPh sb="15" eb="18">
      <t>キョウギジョウ</t>
    </rPh>
    <phoneticPr fontId="2"/>
  </si>
  <si>
    <t>ア</t>
    <phoneticPr fontId="2"/>
  </si>
  <si>
    <t>イ</t>
    <phoneticPr fontId="2"/>
  </si>
  <si>
    <t>ウ</t>
    <phoneticPr fontId="2"/>
  </si>
  <si>
    <t>エ</t>
    <phoneticPr fontId="2"/>
  </si>
  <si>
    <t>オ</t>
    <phoneticPr fontId="2"/>
  </si>
  <si>
    <t>カ</t>
    <phoneticPr fontId="2"/>
  </si>
  <si>
    <t>キ</t>
    <phoneticPr fontId="2"/>
  </si>
  <si>
    <t>ク</t>
    <phoneticPr fontId="2"/>
  </si>
  <si>
    <t>かほく</t>
  </si>
  <si>
    <t>市営</t>
    <rPh sb="0" eb="2">
      <t>シエイ</t>
    </rPh>
    <phoneticPr fontId="2"/>
  </si>
  <si>
    <t>かほく</t>
    <phoneticPr fontId="2"/>
  </si>
  <si>
    <t>*</t>
    <phoneticPr fontId="2"/>
  </si>
  <si>
    <t>金沢市民サッカー場</t>
    <rPh sb="0" eb="2">
      <t>カナザワ</t>
    </rPh>
    <rPh sb="2" eb="4">
      <t>シミン</t>
    </rPh>
    <rPh sb="8" eb="9">
      <t>ジョウ</t>
    </rPh>
    <phoneticPr fontId="2"/>
  </si>
  <si>
    <t>金沢市ｽﾎﾟｰﾂ交流広場</t>
    <rPh sb="0" eb="2">
      <t>カナザワ</t>
    </rPh>
    <rPh sb="2" eb="3">
      <t>シ</t>
    </rPh>
    <rPh sb="7" eb="9">
      <t>コウリュウ</t>
    </rPh>
    <rPh sb="9" eb="11">
      <t>ヒロバ</t>
    </rPh>
    <phoneticPr fontId="2"/>
  </si>
  <si>
    <t>＊試合球は、津幡・市営【ミカサ】、交流広場・かほく・市民【モルテン】</t>
    <rPh sb="1" eb="4">
      <t>シアイキュウ</t>
    </rPh>
    <rPh sb="6" eb="8">
      <t>ツバタ</t>
    </rPh>
    <rPh sb="9" eb="11">
      <t>シエイ</t>
    </rPh>
    <rPh sb="17" eb="19">
      <t>コウリュウ</t>
    </rPh>
    <rPh sb="19" eb="21">
      <t>ヒロバ</t>
    </rPh>
    <rPh sb="26" eb="28">
      <t>シミン</t>
    </rPh>
    <phoneticPr fontId="2"/>
  </si>
  <si>
    <t>サッカー競技　－１－</t>
    <rPh sb="4" eb="6">
      <t>キョウギ</t>
    </rPh>
    <phoneticPr fontId="2"/>
  </si>
  <si>
    <t>Cリーグ</t>
    <phoneticPr fontId="2"/>
  </si>
  <si>
    <t>得失点差</t>
    <rPh sb="0" eb="2">
      <t>トクシツ</t>
    </rPh>
    <rPh sb="2" eb="3">
      <t>テン</t>
    </rPh>
    <rPh sb="3" eb="4">
      <t>サ</t>
    </rPh>
    <phoneticPr fontId="2"/>
  </si>
  <si>
    <t>得失
点差</t>
    <rPh sb="0" eb="2">
      <t>トクシツ</t>
    </rPh>
    <rPh sb="3" eb="5">
      <t>テンサ</t>
    </rPh>
    <phoneticPr fontId="2"/>
  </si>
  <si>
    <t>Dリーグ</t>
    <phoneticPr fontId="2"/>
  </si>
  <si>
    <t>【決勝トーナメント】(県体出場決定)</t>
    <rPh sb="1" eb="3">
      <t>ケッショウ</t>
    </rPh>
    <rPh sb="11" eb="13">
      <t>ケンタイ</t>
    </rPh>
    <rPh sb="13" eb="15">
      <t>シュツジョウ</t>
    </rPh>
    <rPh sb="15" eb="17">
      <t>ケッテイ</t>
    </rPh>
    <phoneticPr fontId="2"/>
  </si>
  <si>
    <t>【第5代表決定トーナメント】</t>
    <rPh sb="1" eb="2">
      <t>ダイ</t>
    </rPh>
    <rPh sb="3" eb="5">
      <t>ダイヒョウ</t>
    </rPh>
    <rPh sb="5" eb="7">
      <t>ケッテイ</t>
    </rPh>
    <phoneticPr fontId="2"/>
  </si>
  <si>
    <t>代表：</t>
    <rPh sb="0" eb="2">
      <t>ダイヒョウ</t>
    </rPh>
    <phoneticPr fontId="2"/>
  </si>
  <si>
    <t>①</t>
  </si>
  <si>
    <t>日</t>
  </si>
  <si>
    <t>②</t>
  </si>
  <si>
    <t>10:15</t>
  </si>
  <si>
    <t>③</t>
  </si>
  <si>
    <t>11:30</t>
  </si>
  <si>
    <t>④</t>
  </si>
  <si>
    <t>12:45</t>
  </si>
  <si>
    <t>⑤</t>
  </si>
  <si>
    <t>14:00</t>
  </si>
  <si>
    <t>⑥</t>
  </si>
  <si>
    <t>15:15</t>
  </si>
  <si>
    <t>⑦</t>
  </si>
  <si>
    <t>⑧</t>
  </si>
  <si>
    <t>⑨</t>
  </si>
  <si>
    <t>⑩</t>
  </si>
  <si>
    <t>⑩</t>
    <phoneticPr fontId="2"/>
  </si>
  <si>
    <t>⑧</t>
    <phoneticPr fontId="2"/>
  </si>
  <si>
    <t>②</t>
    <phoneticPr fontId="2"/>
  </si>
  <si>
    <t>⑦</t>
    <phoneticPr fontId="2"/>
  </si>
  <si>
    <t>④</t>
    <phoneticPr fontId="2"/>
  </si>
  <si>
    <t>①</t>
    <phoneticPr fontId="2"/>
  </si>
  <si>
    <t>③</t>
    <phoneticPr fontId="2"/>
  </si>
  <si>
    <t>⑤</t>
    <phoneticPr fontId="2"/>
  </si>
  <si>
    <t>⑥</t>
    <phoneticPr fontId="2"/>
  </si>
  <si>
    <t>⑨</t>
    <phoneticPr fontId="2"/>
  </si>
  <si>
    <t>陸上G</t>
    <rPh sb="0" eb="2">
      <t>リクジョウ</t>
    </rPh>
    <phoneticPr fontId="2"/>
  </si>
  <si>
    <t>総合G</t>
    <rPh sb="0" eb="2">
      <t>ソウゴウ</t>
    </rPh>
    <phoneticPr fontId="2"/>
  </si>
  <si>
    <t>9:00</t>
    <phoneticPr fontId="2"/>
  </si>
  <si>
    <t>10:15</t>
    <phoneticPr fontId="2"/>
  </si>
  <si>
    <t>11:30</t>
    <phoneticPr fontId="2"/>
  </si>
  <si>
    <t>14:00</t>
    <phoneticPr fontId="2"/>
  </si>
  <si>
    <t>15:15</t>
    <phoneticPr fontId="2"/>
  </si>
  <si>
    <t>Aリーグ(こまつドームG)</t>
    <phoneticPr fontId="2"/>
  </si>
  <si>
    <t>Cリーグ(こまつドームG)</t>
    <phoneticPr fontId="2"/>
  </si>
  <si>
    <t>12:45</t>
    <phoneticPr fontId="2"/>
  </si>
  <si>
    <t>Bリーグ(松任総合運動公園G)</t>
    <rPh sb="5" eb="7">
      <t>マットウ</t>
    </rPh>
    <rPh sb="7" eb="9">
      <t>ソウゴウ</t>
    </rPh>
    <rPh sb="9" eb="11">
      <t>ウンドウ</t>
    </rPh>
    <rPh sb="11" eb="13">
      <t>コウエン</t>
    </rPh>
    <phoneticPr fontId="2"/>
  </si>
  <si>
    <t>Dリーグ(松任総合運動公園G)</t>
    <rPh sb="5" eb="7">
      <t>マットウ</t>
    </rPh>
    <rPh sb="7" eb="9">
      <t>ソウゴウ</t>
    </rPh>
    <rPh sb="9" eb="11">
      <t>ウンドウ</t>
    </rPh>
    <rPh sb="11" eb="13">
      <t>コウエン</t>
    </rPh>
    <phoneticPr fontId="2"/>
  </si>
  <si>
    <t>こまつﾄﾞｰﾑG</t>
    <phoneticPr fontId="2"/>
  </si>
  <si>
    <t>ブロック</t>
    <phoneticPr fontId="2"/>
  </si>
  <si>
    <t>北加賀</t>
    <rPh sb="0" eb="1">
      <t>キタ</t>
    </rPh>
    <rPh sb="1" eb="3">
      <t>カガ</t>
    </rPh>
    <phoneticPr fontId="2"/>
  </si>
  <si>
    <t>南加賀</t>
    <rPh sb="0" eb="1">
      <t>ミナミ</t>
    </rPh>
    <rPh sb="1" eb="3">
      <t>カガ</t>
    </rPh>
    <phoneticPr fontId="2"/>
  </si>
  <si>
    <t>能登地区</t>
    <rPh sb="0" eb="2">
      <t>ノト</t>
    </rPh>
    <rPh sb="2" eb="4">
      <t>チク</t>
    </rPh>
    <phoneticPr fontId="2"/>
  </si>
  <si>
    <t>第１位</t>
    <rPh sb="0" eb="1">
      <t>ダイ</t>
    </rPh>
    <rPh sb="2" eb="3">
      <t>イ</t>
    </rPh>
    <phoneticPr fontId="2"/>
  </si>
  <si>
    <t>第２位</t>
    <rPh sb="0" eb="1">
      <t>ダイ</t>
    </rPh>
    <rPh sb="2" eb="3">
      <t>イ</t>
    </rPh>
    <phoneticPr fontId="2"/>
  </si>
  <si>
    <t>第３位</t>
    <rPh sb="0" eb="1">
      <t>ダイ</t>
    </rPh>
    <rPh sb="2" eb="3">
      <t>イ</t>
    </rPh>
    <phoneticPr fontId="2"/>
  </si>
  <si>
    <t>3日目</t>
    <rPh sb="1" eb="3">
      <t>ニチメ</t>
    </rPh>
    <phoneticPr fontId="2"/>
  </si>
  <si>
    <t>2日目</t>
    <rPh sb="1" eb="3">
      <t>ニチメ</t>
    </rPh>
    <phoneticPr fontId="2"/>
  </si>
  <si>
    <t>1日目</t>
    <rPh sb="1" eb="3">
      <t>ニチメ</t>
    </rPh>
    <phoneticPr fontId="2"/>
  </si>
  <si>
    <t>A</t>
  </si>
  <si>
    <t>C</t>
  </si>
  <si>
    <t>B</t>
  </si>
  <si>
    <t>D</t>
  </si>
  <si>
    <t>B</t>
    <phoneticPr fontId="2"/>
  </si>
  <si>
    <t>回</t>
    <rPh sb="0" eb="1">
      <t>カイ</t>
    </rPh>
    <phoneticPr fontId="2"/>
  </si>
  <si>
    <t>郡市名</t>
    <rPh sb="0" eb="2">
      <t>グンシ</t>
    </rPh>
    <rPh sb="2" eb="3">
      <t>メイ</t>
    </rPh>
    <phoneticPr fontId="2"/>
  </si>
  <si>
    <t>芦城</t>
    <rPh sb="0" eb="1">
      <t>ロ</t>
    </rPh>
    <rPh sb="1" eb="2">
      <t>ジョウ</t>
    </rPh>
    <phoneticPr fontId="2"/>
  </si>
  <si>
    <t>小松</t>
    <rPh sb="0" eb="2">
      <t>コマツ</t>
    </rPh>
    <phoneticPr fontId="2"/>
  </si>
  <si>
    <t>国府</t>
    <rPh sb="0" eb="2">
      <t>コクフ</t>
    </rPh>
    <phoneticPr fontId="2"/>
  </si>
  <si>
    <t>金沢</t>
    <rPh sb="0" eb="2">
      <t>カナザワ</t>
    </rPh>
    <phoneticPr fontId="2"/>
  </si>
  <si>
    <t>芦城</t>
    <rPh sb="0" eb="2">
      <t>ロジョウ</t>
    </rPh>
    <phoneticPr fontId="2"/>
  </si>
  <si>
    <t>金石</t>
    <rPh sb="0" eb="2">
      <t>カナイワ</t>
    </rPh>
    <phoneticPr fontId="2"/>
  </si>
  <si>
    <t>押水</t>
    <rPh sb="0" eb="2">
      <t>オシミズ</t>
    </rPh>
    <phoneticPr fontId="2"/>
  </si>
  <si>
    <t>小将町</t>
    <rPh sb="0" eb="3">
      <t>コショウマチ</t>
    </rPh>
    <phoneticPr fontId="2"/>
  </si>
  <si>
    <t>河北</t>
    <rPh sb="0" eb="2">
      <t>カホク</t>
    </rPh>
    <phoneticPr fontId="2"/>
  </si>
  <si>
    <t>石川</t>
    <rPh sb="0" eb="2">
      <t>イシカワ</t>
    </rPh>
    <phoneticPr fontId="2"/>
  </si>
  <si>
    <t>星稜</t>
    <rPh sb="0" eb="2">
      <t>セイリョウ</t>
    </rPh>
    <phoneticPr fontId="2"/>
  </si>
  <si>
    <t>星稜</t>
  </si>
  <si>
    <t>なし</t>
    <phoneticPr fontId="2"/>
  </si>
  <si>
    <t>大会中止のため</t>
    <rPh sb="0" eb="2">
      <t>タイカイ</t>
    </rPh>
    <rPh sb="2" eb="4">
      <t>チュウシ</t>
    </rPh>
    <phoneticPr fontId="2"/>
  </si>
  <si>
    <t>円／冊</t>
    <rPh sb="0" eb="1">
      <t>エン</t>
    </rPh>
    <rPh sb="2" eb="3">
      <t>サツ</t>
    </rPh>
    <phoneticPr fontId="2"/>
  </si>
  <si>
    <t>A</t>
    <phoneticPr fontId="2"/>
  </si>
  <si>
    <t>領　収　証</t>
    <rPh sb="0" eb="1">
      <t>リョウ</t>
    </rPh>
    <rPh sb="2" eb="3">
      <t>オサム</t>
    </rPh>
    <rPh sb="4" eb="5">
      <t>ショウ</t>
    </rPh>
    <phoneticPr fontId="2"/>
  </si>
  <si>
    <t>金額</t>
    <rPh sb="0" eb="2">
      <t>キンガク</t>
    </rPh>
    <phoneticPr fontId="2"/>
  </si>
  <si>
    <t>円</t>
    <rPh sb="0" eb="1">
      <t>エン</t>
    </rPh>
    <phoneticPr fontId="2"/>
  </si>
  <si>
    <t>冊</t>
    <rPh sb="0" eb="1">
      <t>サツ</t>
    </rPh>
    <phoneticPr fontId="2"/>
  </si>
  <si>
    <t>但し</t>
    <rPh sb="0" eb="1">
      <t>タダ</t>
    </rPh>
    <phoneticPr fontId="2"/>
  </si>
  <si>
    <t>上記のとおり領収いたしました。</t>
    <rPh sb="0" eb="2">
      <t>ジョウキ</t>
    </rPh>
    <rPh sb="6" eb="8">
      <t>リョウシュウ</t>
    </rPh>
    <phoneticPr fontId="2"/>
  </si>
  <si>
    <t>石川県中体連サッカー競技部</t>
    <rPh sb="0" eb="3">
      <t>イシカワケン</t>
    </rPh>
    <rPh sb="3" eb="6">
      <t>チュウタイレン</t>
    </rPh>
    <rPh sb="10" eb="12">
      <t>キョウギ</t>
    </rPh>
    <rPh sb="12" eb="13">
      <t>ブ</t>
    </rPh>
    <phoneticPr fontId="2"/>
  </si>
  <si>
    <t>専門委員長</t>
    <rPh sb="0" eb="2">
      <t>センモン</t>
    </rPh>
    <rPh sb="2" eb="4">
      <t>イイン</t>
    </rPh>
    <rPh sb="4" eb="5">
      <t>ナガ</t>
    </rPh>
    <phoneticPr fontId="2"/>
  </si>
  <si>
    <t>山 本　悠 祐</t>
    <phoneticPr fontId="2"/>
  </si>
  <si>
    <t>マッチコミッショナー報告書</t>
    <rPh sb="10" eb="13">
      <t>ホウコクショ</t>
    </rPh>
    <phoneticPr fontId="2"/>
  </si>
  <si>
    <t>マッチコミッショナー名</t>
    <rPh sb="10" eb="11">
      <t>メイ</t>
    </rPh>
    <phoneticPr fontId="2"/>
  </si>
  <si>
    <t>大　会　名　：</t>
    <rPh sb="0" eb="1">
      <t>ダイ</t>
    </rPh>
    <rPh sb="2" eb="3">
      <t>カイ</t>
    </rPh>
    <rPh sb="4" eb="5">
      <t>ナ</t>
    </rPh>
    <phoneticPr fontId="2"/>
  </si>
  <si>
    <t>【準決勝】</t>
    <rPh sb="1" eb="4">
      <t>ジュンケッショウ</t>
    </rPh>
    <phoneticPr fontId="2"/>
  </si>
  <si>
    <t>１．対象試合</t>
    <rPh sb="2" eb="4">
      <t>タイショウ</t>
    </rPh>
    <rPh sb="4" eb="6">
      <t>ジアイ</t>
    </rPh>
    <phoneticPr fontId="2"/>
  </si>
  <si>
    <t>開催日</t>
    <rPh sb="0" eb="3">
      <t>カイサイビ</t>
    </rPh>
    <phoneticPr fontId="2"/>
  </si>
  <si>
    <t>キックオフ</t>
    <phoneticPr fontId="2"/>
  </si>
  <si>
    <t>対　戦</t>
    <rPh sb="0" eb="1">
      <t>タイ</t>
    </rPh>
    <rPh sb="2" eb="3">
      <t>イクサ</t>
    </rPh>
    <phoneticPr fontId="2"/>
  </si>
  <si>
    <t>チーム名</t>
    <rPh sb="3" eb="4">
      <t>メイ</t>
    </rPh>
    <phoneticPr fontId="2"/>
  </si>
  <si>
    <t>（Ａ）</t>
    <phoneticPr fontId="2"/>
  </si>
  <si>
    <t>vs</t>
    <phoneticPr fontId="2"/>
  </si>
  <si>
    <t>（Ｂ）</t>
    <phoneticPr fontId="2"/>
  </si>
  <si>
    <t>結　果</t>
    <rPh sb="0" eb="1">
      <t>ケッ</t>
    </rPh>
    <rPh sb="2" eb="3">
      <t>カ</t>
    </rPh>
    <phoneticPr fontId="2"/>
  </si>
  <si>
    <t>前半</t>
    <rPh sb="0" eb="2">
      <t>ゼンハン</t>
    </rPh>
    <phoneticPr fontId="2"/>
  </si>
  <si>
    <t>後半</t>
    <rPh sb="0" eb="2">
      <t>コウハン</t>
    </rPh>
    <phoneticPr fontId="2"/>
  </si>
  <si>
    <t>延長前半</t>
    <rPh sb="0" eb="2">
      <t>エンチョウ</t>
    </rPh>
    <rPh sb="2" eb="4">
      <t>ゼンハン</t>
    </rPh>
    <phoneticPr fontId="2"/>
  </si>
  <si>
    <t>延長後半</t>
    <rPh sb="0" eb="2">
      <t>エンチョウ</t>
    </rPh>
    <rPh sb="2" eb="4">
      <t>コウハン</t>
    </rPh>
    <phoneticPr fontId="2"/>
  </si>
  <si>
    <t>ＰＫ</t>
    <phoneticPr fontId="2"/>
  </si>
  <si>
    <t>会場名</t>
    <rPh sb="0" eb="2">
      <t>カイジョウ</t>
    </rPh>
    <rPh sb="2" eb="3">
      <t>メイ</t>
    </rPh>
    <phoneticPr fontId="2"/>
  </si>
  <si>
    <t>２．試合運営について</t>
    <rPh sb="2" eb="4">
      <t>シアイ</t>
    </rPh>
    <rPh sb="4" eb="6">
      <t>ウンエイ</t>
    </rPh>
    <phoneticPr fontId="2"/>
  </si>
  <si>
    <t>運営全般</t>
    <rPh sb="0" eb="2">
      <t>ウンエイ</t>
    </rPh>
    <rPh sb="2" eb="4">
      <t>ゼンパン</t>
    </rPh>
    <phoneticPr fontId="2"/>
  </si>
  <si>
    <t>１．非常に良い　　　　２．問題ない　　　　３．やや問題あり　　　　４．問題あり</t>
    <rPh sb="2" eb="4">
      <t>ヒジョウ</t>
    </rPh>
    <rPh sb="5" eb="6">
      <t>ヨ</t>
    </rPh>
    <rPh sb="13" eb="15">
      <t>モンダイ</t>
    </rPh>
    <rPh sb="25" eb="27">
      <t>モンダイ</t>
    </rPh>
    <rPh sb="35" eb="37">
      <t>モンダイ</t>
    </rPh>
    <phoneticPr fontId="2"/>
  </si>
  <si>
    <t>芝生（ピッチ）</t>
    <rPh sb="0" eb="2">
      <t>シバフ</t>
    </rPh>
    <phoneticPr fontId="2"/>
  </si>
  <si>
    <r>
      <t>諸室</t>
    </r>
    <r>
      <rPr>
        <sz val="8"/>
        <rFont val="ＭＳ Ｐゴシック"/>
        <family val="3"/>
        <charset val="128"/>
      </rPr>
      <t>（ロッカーを含む）</t>
    </r>
    <rPh sb="0" eb="1">
      <t>ショ</t>
    </rPh>
    <rPh sb="1" eb="2">
      <t>シツ</t>
    </rPh>
    <rPh sb="8" eb="9">
      <t>フク</t>
    </rPh>
    <phoneticPr fontId="2"/>
  </si>
  <si>
    <t>警備体制</t>
    <rPh sb="0" eb="2">
      <t>ケイビ</t>
    </rPh>
    <rPh sb="2" eb="4">
      <t>タイセイ</t>
    </rPh>
    <phoneticPr fontId="2"/>
  </si>
  <si>
    <t>メディアサービス</t>
    <phoneticPr fontId="2"/>
  </si>
  <si>
    <t>チームの態度</t>
    <rPh sb="4" eb="6">
      <t>タイド</t>
    </rPh>
    <phoneticPr fontId="2"/>
  </si>
  <si>
    <t>Ａチーム（</t>
    <phoneticPr fontId="2"/>
  </si>
  <si>
    <t>）</t>
    <phoneticPr fontId="2"/>
  </si>
  <si>
    <t>Ｂチーム（</t>
    <phoneticPr fontId="2"/>
  </si>
  <si>
    <t>上記で３・４に○をした理由</t>
    <rPh sb="0" eb="2">
      <t>ジョウキ</t>
    </rPh>
    <rPh sb="11" eb="13">
      <t>リユウ</t>
    </rPh>
    <phoneticPr fontId="2"/>
  </si>
  <si>
    <t>３．審判について</t>
    <rPh sb="2" eb="4">
      <t>シンパン</t>
    </rPh>
    <phoneticPr fontId="2"/>
  </si>
  <si>
    <t>総　評</t>
    <rPh sb="0" eb="1">
      <t>ソウ</t>
    </rPh>
    <rPh sb="2" eb="3">
      <t>ヒョウ</t>
    </rPh>
    <phoneticPr fontId="2"/>
  </si>
  <si>
    <t>※試合運営において緊急を要する場合（試合中断・延期・会場トラブルなどは『マッチコミッショナー緊急報告書』にて報告をして下さい。</t>
    <rPh sb="1" eb="3">
      <t>シアイ</t>
    </rPh>
    <rPh sb="3" eb="5">
      <t>ウンエイ</t>
    </rPh>
    <rPh sb="9" eb="11">
      <t>キンキュウ</t>
    </rPh>
    <rPh sb="12" eb="13">
      <t>ヨウ</t>
    </rPh>
    <rPh sb="15" eb="17">
      <t>バアイ</t>
    </rPh>
    <rPh sb="18" eb="20">
      <t>シアイ</t>
    </rPh>
    <rPh sb="20" eb="22">
      <t>チュウダン</t>
    </rPh>
    <rPh sb="23" eb="25">
      <t>エンキ</t>
    </rPh>
    <rPh sb="26" eb="28">
      <t>カイジョウ</t>
    </rPh>
    <rPh sb="46" eb="48">
      <t>キンキュウ</t>
    </rPh>
    <rPh sb="48" eb="51">
      <t>ホウコクショ</t>
    </rPh>
    <rPh sb="54" eb="56">
      <t>ホウコク</t>
    </rPh>
    <rPh sb="59" eb="60">
      <t>クダ</t>
    </rPh>
    <phoneticPr fontId="2"/>
  </si>
  <si>
    <t>本紙郵送の必要はございません。大会事務局で保管願います。</t>
    <rPh sb="0" eb="2">
      <t>ホンシ</t>
    </rPh>
    <rPh sb="2" eb="4">
      <t>ユウソウ</t>
    </rPh>
    <rPh sb="5" eb="7">
      <t>ヒツヨウ</t>
    </rPh>
    <rPh sb="15" eb="17">
      <t>タイカイ</t>
    </rPh>
    <rPh sb="17" eb="20">
      <t>ジムキョク</t>
    </rPh>
    <rPh sb="21" eb="23">
      <t>ホカン</t>
    </rPh>
    <rPh sb="23" eb="24">
      <t>ネガ</t>
    </rPh>
    <phoneticPr fontId="2"/>
  </si>
  <si>
    <t>【決勝】</t>
    <rPh sb="1" eb="3">
      <t>ケッショウ</t>
    </rPh>
    <phoneticPr fontId="2"/>
  </si>
  <si>
    <t>再延長前半</t>
    <rPh sb="0" eb="3">
      <t>サイエンチョウ</t>
    </rPh>
    <rPh sb="3" eb="5">
      <t>ゼンハン</t>
    </rPh>
    <phoneticPr fontId="2"/>
  </si>
  <si>
    <t>再延長後半</t>
    <rPh sb="0" eb="3">
      <t>サイエンチョウ</t>
    </rPh>
    <rPh sb="3" eb="5">
      <t>コウハン</t>
    </rPh>
    <phoneticPr fontId="2"/>
  </si>
  <si>
    <t>【第3代表決定戦】</t>
    <rPh sb="1" eb="2">
      <t>ダイ</t>
    </rPh>
    <rPh sb="3" eb="5">
      <t>ダイヒョウ</t>
    </rPh>
    <rPh sb="5" eb="8">
      <t>ケッテイセン</t>
    </rPh>
    <phoneticPr fontId="2"/>
  </si>
  <si>
    <t>（一社）石川県サッカー協会</t>
    <rPh sb="1" eb="2">
      <t>1</t>
    </rPh>
    <rPh sb="2" eb="3">
      <t>シャ</t>
    </rPh>
    <phoneticPr fontId="2"/>
  </si>
  <si>
    <t>マッチコミッショナー</t>
  </si>
  <si>
    <t>主　審</t>
  </si>
  <si>
    <t>審判員</t>
    <rPh sb="0" eb="3">
      <t>シンパンイン</t>
    </rPh>
    <phoneticPr fontId="2"/>
  </si>
  <si>
    <t>マッチ</t>
    <phoneticPr fontId="2"/>
  </si>
  <si>
    <t>記録</t>
    <rPh sb="0" eb="2">
      <t>キロク</t>
    </rPh>
    <phoneticPr fontId="2"/>
  </si>
  <si>
    <t>ピッチ</t>
    <phoneticPr fontId="2"/>
  </si>
  <si>
    <t>天候</t>
    <rPh sb="0" eb="2">
      <t>テンコウ</t>
    </rPh>
    <phoneticPr fontId="2"/>
  </si>
  <si>
    <t>湿度</t>
    <rPh sb="0" eb="2">
      <t>シツド</t>
    </rPh>
    <phoneticPr fontId="2"/>
  </si>
  <si>
    <t>気温</t>
    <rPh sb="0" eb="2">
      <t>キオン</t>
    </rPh>
    <phoneticPr fontId="2"/>
  </si>
  <si>
    <t>風</t>
    <rPh sb="0" eb="1">
      <t>カゼ</t>
    </rPh>
    <phoneticPr fontId="2"/>
  </si>
  <si>
    <t>山辺　雅司</t>
    <rPh sb="0" eb="2">
      <t>ヤマベ</t>
    </rPh>
    <rPh sb="3" eb="4">
      <t>ミヤビ</t>
    </rPh>
    <rPh sb="4" eb="5">
      <t>ツカサ</t>
    </rPh>
    <phoneticPr fontId="4"/>
  </si>
  <si>
    <t>大島　哲史</t>
    <rPh sb="0" eb="2">
      <t>オオシマ</t>
    </rPh>
    <rPh sb="3" eb="5">
      <t>サトシ</t>
    </rPh>
    <phoneticPr fontId="4"/>
  </si>
  <si>
    <t>岡﨑 剛平</t>
    <rPh sb="0" eb="2">
      <t>オカザキ</t>
    </rPh>
    <rPh sb="3" eb="5">
      <t>ゴウヘイ</t>
    </rPh>
    <phoneticPr fontId="2"/>
  </si>
  <si>
    <t>全面良芝</t>
  </si>
  <si>
    <t>乾燥</t>
    <rPh sb="0" eb="2">
      <t>カンソウ</t>
    </rPh>
    <phoneticPr fontId="2"/>
  </si>
  <si>
    <t>晴れ</t>
    <rPh sb="0" eb="1">
      <t>ハ</t>
    </rPh>
    <phoneticPr fontId="2"/>
  </si>
  <si>
    <t>強風</t>
    <rPh sb="0" eb="2">
      <t>キョウフウ</t>
    </rPh>
    <phoneticPr fontId="2"/>
  </si>
  <si>
    <t>原　崇史</t>
    <rPh sb="0" eb="1">
      <t>ハラ</t>
    </rPh>
    <rPh sb="2" eb="3">
      <t>タカシ</t>
    </rPh>
    <rPh sb="3" eb="4">
      <t>フミ</t>
    </rPh>
    <phoneticPr fontId="4"/>
  </si>
  <si>
    <t>木元 正樹</t>
    <rPh sb="0" eb="2">
      <t>キモト</t>
    </rPh>
    <rPh sb="3" eb="5">
      <t>マサキ</t>
    </rPh>
    <phoneticPr fontId="4"/>
  </si>
  <si>
    <t>斉田 正春</t>
    <rPh sb="0" eb="2">
      <t>サイダ</t>
    </rPh>
    <rPh sb="3" eb="5">
      <t>マサハル</t>
    </rPh>
    <phoneticPr fontId="2"/>
  </si>
  <si>
    <t>中央剥がれ</t>
    <rPh sb="0" eb="2">
      <t>チュウオウ</t>
    </rPh>
    <rPh sb="2" eb="3">
      <t>ハ</t>
    </rPh>
    <phoneticPr fontId="2"/>
  </si>
  <si>
    <t>ウエット</t>
  </si>
  <si>
    <t>曇り</t>
    <rPh sb="0" eb="1">
      <t>クモ</t>
    </rPh>
    <phoneticPr fontId="2"/>
  </si>
  <si>
    <t>弱風</t>
    <rPh sb="0" eb="2">
      <t>ジャクフウ</t>
    </rPh>
    <phoneticPr fontId="2"/>
  </si>
  <si>
    <t>　</t>
    <phoneticPr fontId="2"/>
  </si>
  <si>
    <t>干場　清伸</t>
    <rPh sb="0" eb="2">
      <t>ホシバ</t>
    </rPh>
    <rPh sb="3" eb="5">
      <t>セイシン</t>
    </rPh>
    <phoneticPr fontId="4"/>
  </si>
  <si>
    <t>廣澤 健吾</t>
    <rPh sb="0" eb="2">
      <t>ヒロサワ</t>
    </rPh>
    <rPh sb="3" eb="5">
      <t>ケンゴ</t>
    </rPh>
    <phoneticPr fontId="4"/>
  </si>
  <si>
    <t>昔農 徳行</t>
    <rPh sb="0" eb="1">
      <t>セキ</t>
    </rPh>
    <rPh sb="1" eb="2">
      <t>ノウ</t>
    </rPh>
    <rPh sb="3" eb="5">
      <t>トクユ</t>
    </rPh>
    <phoneticPr fontId="2"/>
  </si>
  <si>
    <t>霧</t>
    <rPh sb="0" eb="1">
      <t>キリ</t>
    </rPh>
    <phoneticPr fontId="2"/>
  </si>
  <si>
    <t>微風</t>
    <rPh sb="0" eb="2">
      <t>ビフウ</t>
    </rPh>
    <phoneticPr fontId="2"/>
  </si>
  <si>
    <t>日　時</t>
  </si>
  <si>
    <t>試合形式</t>
  </si>
  <si>
    <t>60分（延長10分）</t>
    <rPh sb="2" eb="3">
      <t>フン</t>
    </rPh>
    <rPh sb="4" eb="6">
      <t>エンチョウ</t>
    </rPh>
    <rPh sb="8" eb="9">
      <t>フン</t>
    </rPh>
    <phoneticPr fontId="2"/>
  </si>
  <si>
    <t>会場名</t>
  </si>
  <si>
    <t>小畠　悠大</t>
    <rPh sb="0" eb="2">
      <t>コバタケ</t>
    </rPh>
    <rPh sb="3" eb="5">
      <t>ユウダイ</t>
    </rPh>
    <phoneticPr fontId="4"/>
  </si>
  <si>
    <t>島野 知宏</t>
    <rPh sb="0" eb="2">
      <t>シマノ</t>
    </rPh>
    <rPh sb="3" eb="5">
      <t>トモヒロ</t>
    </rPh>
    <phoneticPr fontId="4"/>
  </si>
  <si>
    <t>高橋 明裕</t>
    <rPh sb="0" eb="2">
      <t>タカハシ</t>
    </rPh>
    <rPh sb="3" eb="5">
      <t>アキヒロ</t>
    </rPh>
    <phoneticPr fontId="2"/>
  </si>
  <si>
    <t>少雨</t>
    <rPh sb="0" eb="2">
      <t>ショウウ</t>
    </rPh>
    <phoneticPr fontId="2"/>
  </si>
  <si>
    <t>天　候</t>
  </si>
  <si>
    <t>気　温</t>
  </si>
  <si>
    <t>湿　度</t>
  </si>
  <si>
    <t>風</t>
    <phoneticPr fontId="2"/>
  </si>
  <si>
    <t>ピッチ状態</t>
  </si>
  <si>
    <t>観衆数</t>
  </si>
  <si>
    <t>長谷川　克也</t>
    <phoneticPr fontId="4"/>
  </si>
  <si>
    <t>出原 知哉</t>
    <rPh sb="0" eb="2">
      <t>デハラ</t>
    </rPh>
    <rPh sb="3" eb="5">
      <t>トモヤ</t>
    </rPh>
    <phoneticPr fontId="2"/>
  </si>
  <si>
    <t>豪雨</t>
    <rPh sb="0" eb="2">
      <t>ゴウウ</t>
    </rPh>
    <phoneticPr fontId="2"/>
  </si>
  <si>
    <t>副 審１</t>
    <phoneticPr fontId="2"/>
  </si>
  <si>
    <t>第4の審判員</t>
    <rPh sb="0" eb="1">
      <t>ダイ</t>
    </rPh>
    <phoneticPr fontId="2"/>
  </si>
  <si>
    <t>芝</t>
  </si>
  <si>
    <t>佐野　英治</t>
    <rPh sb="0" eb="2">
      <t>サノ</t>
    </rPh>
    <rPh sb="3" eb="5">
      <t>エイジ</t>
    </rPh>
    <phoneticPr fontId="2"/>
  </si>
  <si>
    <t>中川　欣哉</t>
    <rPh sb="0" eb="2">
      <t>ナカガワ</t>
    </rPh>
    <rPh sb="3" eb="5">
      <t>キンヤ</t>
    </rPh>
    <phoneticPr fontId="2"/>
  </si>
  <si>
    <t>雪</t>
    <rPh sb="0" eb="1">
      <t>ユキ</t>
    </rPh>
    <phoneticPr fontId="2"/>
  </si>
  <si>
    <t>副 審２</t>
    <phoneticPr fontId="2"/>
  </si>
  <si>
    <t>記録担当</t>
  </si>
  <si>
    <t>表面</t>
  </si>
  <si>
    <t>今崎　槙胡</t>
    <phoneticPr fontId="4"/>
  </si>
  <si>
    <t>中川 欣哉</t>
    <rPh sb="0" eb="2">
      <t>ナカガワ</t>
    </rPh>
    <rPh sb="3" eb="5">
      <t>キンヤ</t>
    </rPh>
    <phoneticPr fontId="2"/>
  </si>
  <si>
    <t>安井 英輔</t>
    <rPh sb="0" eb="2">
      <t>ヤスイ</t>
    </rPh>
    <rPh sb="3" eb="5">
      <t>エイスケ</t>
    </rPh>
    <phoneticPr fontId="2"/>
  </si>
  <si>
    <t>前　半</t>
    <phoneticPr fontId="2"/>
  </si>
  <si>
    <t>神林　理</t>
    <rPh sb="0" eb="2">
      <t>カンバヤシ</t>
    </rPh>
    <rPh sb="3" eb="4">
      <t>リ</t>
    </rPh>
    <phoneticPr fontId="4"/>
  </si>
  <si>
    <t>杉谷　靖史</t>
    <rPh sb="0" eb="2">
      <t>スギタニ</t>
    </rPh>
    <rPh sb="3" eb="5">
      <t>ヤスシ</t>
    </rPh>
    <phoneticPr fontId="2"/>
  </si>
  <si>
    <t>竹村 健亮</t>
    <rPh sb="0" eb="2">
      <t>タケムラ</t>
    </rPh>
    <rPh sb="3" eb="4">
      <t>ケン</t>
    </rPh>
    <rPh sb="4" eb="5">
      <t>リョウ</t>
    </rPh>
    <phoneticPr fontId="4"/>
  </si>
  <si>
    <t>後　半</t>
    <phoneticPr fontId="2"/>
  </si>
  <si>
    <t>井田　恭右</t>
    <phoneticPr fontId="4"/>
  </si>
  <si>
    <t>長谷川 慎</t>
    <rPh sb="0" eb="3">
      <t>ハセガワ</t>
    </rPh>
    <rPh sb="4" eb="5">
      <t>シン</t>
    </rPh>
    <phoneticPr fontId="4"/>
  </si>
  <si>
    <t>古市 大和</t>
    <rPh sb="0" eb="2">
      <t>フルイチ</t>
    </rPh>
    <rPh sb="3" eb="5">
      <t>ヤマト</t>
    </rPh>
    <phoneticPr fontId="4"/>
  </si>
  <si>
    <t>堀 圭佑</t>
    <rPh sb="0" eb="1">
      <t>ホリ</t>
    </rPh>
    <rPh sb="2" eb="4">
      <t>ケイスケ</t>
    </rPh>
    <phoneticPr fontId="4"/>
  </si>
  <si>
    <t>kickoff</t>
    <phoneticPr fontId="2"/>
  </si>
  <si>
    <t>松本　隆志</t>
    <rPh sb="0" eb="2">
      <t>マツモト</t>
    </rPh>
    <rPh sb="3" eb="4">
      <t>タカシ</t>
    </rPh>
    <rPh sb="4" eb="5">
      <t>シ</t>
    </rPh>
    <phoneticPr fontId="4"/>
  </si>
  <si>
    <t>宮下 智康</t>
    <rPh sb="0" eb="2">
      <t>ミヤシタ</t>
    </rPh>
    <rPh sb="3" eb="5">
      <t>トモヤス</t>
    </rPh>
    <phoneticPr fontId="4"/>
  </si>
  <si>
    <t>退場</t>
    <rPh sb="0" eb="2">
      <t>タイジョウ</t>
    </rPh>
    <phoneticPr fontId="2"/>
  </si>
  <si>
    <t>警告</t>
    <rPh sb="0" eb="2">
      <t>ケイコク</t>
    </rPh>
    <phoneticPr fontId="2"/>
  </si>
  <si>
    <t>シュート</t>
  </si>
  <si>
    <t>得点</t>
  </si>
  <si>
    <t>選 手 名</t>
    <phoneticPr fontId="2"/>
  </si>
  <si>
    <t>番号</t>
    <rPh sb="0" eb="2">
      <t>バンゴウ</t>
    </rPh>
    <phoneticPr fontId="2"/>
  </si>
  <si>
    <t>位置</t>
    <rPh sb="0" eb="2">
      <t>イチ</t>
    </rPh>
    <phoneticPr fontId="2"/>
  </si>
  <si>
    <t>矢部 喜一</t>
    <rPh sb="0" eb="2">
      <t>ヤベ</t>
    </rPh>
    <rPh sb="3" eb="5">
      <t>キイチ</t>
    </rPh>
    <phoneticPr fontId="4"/>
  </si>
  <si>
    <t>後</t>
  </si>
  <si>
    <t>前</t>
  </si>
  <si>
    <t>計</t>
  </si>
  <si>
    <t>監督</t>
    <rPh sb="0" eb="2">
      <t>カントク</t>
    </rPh>
    <phoneticPr fontId="2"/>
  </si>
  <si>
    <t>山本 宰</t>
    <rPh sb="0" eb="2">
      <t>ヤマモト</t>
    </rPh>
    <rPh sb="3" eb="4">
      <t>ツカサ</t>
    </rPh>
    <phoneticPr fontId="4"/>
  </si>
  <si>
    <t>青森　泰樹</t>
    <rPh sb="0" eb="2">
      <t>アオモリ</t>
    </rPh>
    <rPh sb="3" eb="5">
      <t>ヤスキ</t>
    </rPh>
    <phoneticPr fontId="2"/>
  </si>
  <si>
    <t>交代時間</t>
    <rPh sb="0" eb="2">
      <t>コウタイ</t>
    </rPh>
    <rPh sb="2" eb="4">
      <t>ジカン</t>
    </rPh>
    <phoneticPr fontId="2"/>
  </si>
  <si>
    <t>OUT選手</t>
    <rPh sb="3" eb="5">
      <t>センシュ</t>
    </rPh>
    <phoneticPr fontId="2"/>
  </si>
  <si>
    <t>IN選手</t>
    <rPh sb="2" eb="4">
      <t>センシュ</t>
    </rPh>
    <phoneticPr fontId="2"/>
  </si>
  <si>
    <t>監督</t>
  </si>
  <si>
    <t>氏名</t>
    <rPh sb="0" eb="2">
      <t>シメイ</t>
    </rPh>
    <phoneticPr fontId="2"/>
  </si>
  <si>
    <t>チーム合計</t>
    <phoneticPr fontId="2"/>
  </si>
  <si>
    <t>ＧＫ</t>
  </si>
  <si>
    <t>ＣＫ</t>
  </si>
  <si>
    <t>直接ＦＫ</t>
  </si>
  <si>
    <t>間接ＦＫ</t>
  </si>
  <si>
    <t>(ｵﾌｻｲﾄﾞ)</t>
  </si>
  <si>
    <t>ＰＫ</t>
  </si>
  <si>
    <t>得点時間</t>
  </si>
  <si>
    <t>得点チーム</t>
  </si>
  <si>
    <t>No.</t>
  </si>
  <si>
    <t>得点者</t>
  </si>
  <si>
    <t>スコア</t>
  </si>
  <si>
    <t>得点経過 記録例： ～:ドリブル　→:ゴロパス　∩:浮き球パス　×:混戦　Ｓ:シュート　Ｈ:ヘディング</t>
    <phoneticPr fontId="2"/>
  </si>
  <si>
    <t>ＰＫ戦の経過</t>
  </si>
  <si>
    <t>[試合時間]</t>
    <phoneticPr fontId="2"/>
  </si>
  <si>
    <t>[備考]</t>
  </si>
  <si>
    <t>[警告理由] C1：反スポーツ的行為，C2：ラフプレー，C3：異議，C4：繰り返し違反，C5：遅延行為，C6：距離不足，C7：無許可入，C8：無許可去</t>
    <phoneticPr fontId="2"/>
  </si>
  <si>
    <t>[退場理由] S1：著しく不正なプレー，S2：乱暴な行為，S3：つば吐き，S4：得点機会阻止(ハンド)，S5：得点機会阻止(他)，S6：侮辱的発言，CS：警告2回による退場</t>
    <rPh sb="42" eb="44">
      <t>キカイ</t>
    </rPh>
    <rPh sb="57" eb="59">
      <t>キカイ</t>
    </rPh>
    <rPh sb="62" eb="63">
      <t>ホカ</t>
    </rPh>
    <phoneticPr fontId="2"/>
  </si>
  <si>
    <t>【選評】</t>
    <phoneticPr fontId="2"/>
  </si>
  <si>
    <t>荒井 啓臣</t>
    <rPh sb="0" eb="2">
      <t>アライ</t>
    </rPh>
    <rPh sb="3" eb="4">
      <t>ケイ</t>
    </rPh>
    <rPh sb="4" eb="5">
      <t>シン</t>
    </rPh>
    <phoneticPr fontId="4"/>
  </si>
  <si>
    <t>大島 哲史</t>
    <rPh sb="0" eb="2">
      <t>オオシマ</t>
    </rPh>
    <rPh sb="3" eb="5">
      <t>サトシ</t>
    </rPh>
    <phoneticPr fontId="4"/>
  </si>
  <si>
    <t>伊藤 岳彦</t>
    <rPh sb="0" eb="2">
      <t>イトウ</t>
    </rPh>
    <rPh sb="3" eb="5">
      <t>タケヒコ</t>
    </rPh>
    <phoneticPr fontId="4"/>
  </si>
  <si>
    <t>川上 辰朗</t>
    <rPh sb="0" eb="2">
      <t>カワカミ</t>
    </rPh>
    <rPh sb="3" eb="5">
      <t>タツロウ</t>
    </rPh>
    <phoneticPr fontId="4"/>
  </si>
  <si>
    <t>北村 秀</t>
    <rPh sb="0" eb="2">
      <t>キタムラ</t>
    </rPh>
    <rPh sb="3" eb="4">
      <t>シゲル</t>
    </rPh>
    <phoneticPr fontId="4"/>
  </si>
  <si>
    <t>木下 弥寿夫</t>
    <rPh sb="0" eb="2">
      <t>キノシタ</t>
    </rPh>
    <rPh sb="3" eb="4">
      <t>ヤ</t>
    </rPh>
    <rPh sb="4" eb="5">
      <t>コトブキ</t>
    </rPh>
    <rPh sb="5" eb="6">
      <t>オ</t>
    </rPh>
    <phoneticPr fontId="4"/>
  </si>
  <si>
    <t>紺多 学</t>
    <rPh sb="0" eb="2">
      <t>コンタ</t>
    </rPh>
    <rPh sb="3" eb="4">
      <t>マナブ</t>
    </rPh>
    <phoneticPr fontId="4"/>
  </si>
  <si>
    <t>志村 信幸</t>
    <rPh sb="0" eb="2">
      <t>シムラ</t>
    </rPh>
    <rPh sb="3" eb="5">
      <t>ノブユキ</t>
    </rPh>
    <phoneticPr fontId="4"/>
  </si>
  <si>
    <t>高橋 英樹</t>
    <rPh sb="0" eb="2">
      <t>タカハシ</t>
    </rPh>
    <rPh sb="3" eb="5">
      <t>ヒデキ</t>
    </rPh>
    <phoneticPr fontId="4"/>
  </si>
  <si>
    <t>中村 秀人</t>
    <rPh sb="0" eb="2">
      <t>ナカムラ</t>
    </rPh>
    <rPh sb="3" eb="5">
      <t>ヒデト</t>
    </rPh>
    <phoneticPr fontId="4"/>
  </si>
  <si>
    <t>松本 隆志</t>
    <rPh sb="0" eb="2">
      <t>マツモト</t>
    </rPh>
    <rPh sb="3" eb="4">
      <t>タカシ</t>
    </rPh>
    <rPh sb="4" eb="5">
      <t>シ</t>
    </rPh>
    <phoneticPr fontId="4"/>
  </si>
  <si>
    <r>
      <t>石川県中学校サッカー大会（およびブロック予選）</t>
    </r>
    <r>
      <rPr>
        <b/>
        <i/>
        <u/>
        <sz val="14"/>
        <color rgb="FFFF0000"/>
        <rFont val="ＭＳ Ｐゴシック"/>
        <family val="3"/>
        <charset val="128"/>
      </rPr>
      <t xml:space="preserve">・北信越大会 </t>
    </r>
    <r>
      <rPr>
        <b/>
        <i/>
        <u/>
        <sz val="14"/>
        <color indexed="9"/>
        <rFont val="ＭＳ Ｐゴシック"/>
        <family val="3"/>
        <charset val="128"/>
      </rPr>
      <t xml:space="preserve">
申込書作成ファイル</t>
    </r>
    <rPh sb="0" eb="3">
      <t>イシカワケン</t>
    </rPh>
    <rPh sb="3" eb="6">
      <t>チュウガッコウ</t>
    </rPh>
    <rPh sb="10" eb="12">
      <t>タイカイ</t>
    </rPh>
    <rPh sb="20" eb="22">
      <t>ヨセン</t>
    </rPh>
    <rPh sb="24" eb="27">
      <t>ホクシンエツ</t>
    </rPh>
    <rPh sb="27" eb="29">
      <t>タイカイ</t>
    </rPh>
    <rPh sb="31" eb="34">
      <t>モウシコミショ</t>
    </rPh>
    <rPh sb="34" eb="36">
      <t>サクセイ</t>
    </rPh>
    <phoneticPr fontId="2"/>
  </si>
  <si>
    <t>出身少年団の入力もお忘れ無く</t>
    <rPh sb="0" eb="2">
      <t>シュッシン</t>
    </rPh>
    <rPh sb="2" eb="5">
      <t>ショウネンダン</t>
    </rPh>
    <rPh sb="6" eb="8">
      <t>ニュウリョク</t>
    </rPh>
    <rPh sb="10" eb="11">
      <t>ワス</t>
    </rPh>
    <rPh sb="12" eb="13">
      <t>ナ</t>
    </rPh>
    <phoneticPr fontId="2"/>
  </si>
  <si>
    <t>誕生日
(北信越用)</t>
    <rPh sb="0" eb="3">
      <t>タンジョウビ</t>
    </rPh>
    <rPh sb="5" eb="6">
      <t>ホク</t>
    </rPh>
    <rPh sb="6" eb="8">
      <t>シンエツ</t>
    </rPh>
    <rPh sb="8" eb="9">
      <t>ヨウ</t>
    </rPh>
    <phoneticPr fontId="2"/>
  </si>
  <si>
    <t>県体出場時</t>
    <rPh sb="0" eb="2">
      <t>ケンタイ</t>
    </rPh>
    <rPh sb="2" eb="4">
      <t>シュツジョウ</t>
    </rPh>
    <rPh sb="4" eb="5">
      <t>ジ</t>
    </rPh>
    <phoneticPr fontId="2"/>
  </si>
  <si>
    <t>予選大会</t>
    <rPh sb="0" eb="2">
      <t>ヨセン</t>
    </rPh>
    <rPh sb="2" eb="4">
      <t>タイカイ</t>
    </rPh>
    <phoneticPr fontId="2"/>
  </si>
  <si>
    <t>北加賀</t>
  </si>
  <si>
    <t>県</t>
    <rPh sb="0" eb="1">
      <t>ケン</t>
    </rPh>
    <phoneticPr fontId="2"/>
  </si>
  <si>
    <t>選手氏名</t>
  </si>
  <si>
    <t>ふりがな（全角）</t>
    <rPh sb="5" eb="7">
      <t>ゼンカク</t>
    </rPh>
    <phoneticPr fontId="2"/>
  </si>
  <si>
    <t>学年</t>
  </si>
  <si>
    <t>身長</t>
  </si>
  <si>
    <t>体重</t>
  </si>
  <si>
    <t>月</t>
    <rPh sb="0" eb="1">
      <t>ツキ</t>
    </rPh>
    <phoneticPr fontId="2"/>
  </si>
  <si>
    <t>主将に
「１」
を入力</t>
    <phoneticPr fontId="2"/>
  </si>
  <si>
    <t>出身少年団</t>
    <rPh sb="0" eb="2">
      <t>シュッシン</t>
    </rPh>
    <rPh sb="2" eb="5">
      <t>ショウネンダン</t>
    </rPh>
    <phoneticPr fontId="2"/>
  </si>
  <si>
    <t>県体予選順位</t>
    <rPh sb="0" eb="2">
      <t>ケンタイ</t>
    </rPh>
    <rPh sb="2" eb="4">
      <t>ヨセン</t>
    </rPh>
    <phoneticPr fontId="2"/>
  </si>
  <si>
    <t>位　（県体出場時に入力して下さい）</t>
    <rPh sb="3" eb="5">
      <t>ケンタイ</t>
    </rPh>
    <rPh sb="5" eb="7">
      <t>シュツジョウ</t>
    </rPh>
    <rPh sb="7" eb="8">
      <t>ジ</t>
    </rPh>
    <rPh sb="9" eb="11">
      <t>ニュウリョク</t>
    </rPh>
    <rPh sb="13" eb="14">
      <t>クダ</t>
    </rPh>
    <phoneticPr fontId="2"/>
  </si>
  <si>
    <t>GK</t>
  </si>
  <si>
    <t>西野　敬穂</t>
    <rPh sb="0" eb="2">
      <t>ニシノ</t>
    </rPh>
    <rPh sb="3" eb="4">
      <t>ケイ</t>
    </rPh>
    <rPh sb="4" eb="5">
      <t>ホ</t>
    </rPh>
    <phoneticPr fontId="2"/>
  </si>
  <si>
    <t>にしの　たかほ</t>
  </si>
  <si>
    <t>額</t>
    <rPh sb="0" eb="1">
      <t>ヒタイ</t>
    </rPh>
    <phoneticPr fontId="2"/>
  </si>
  <si>
    <t>県体順位</t>
    <rPh sb="0" eb="2">
      <t>ケンタイ</t>
    </rPh>
    <rPh sb="2" eb="4">
      <t>ジュンイ</t>
    </rPh>
    <phoneticPr fontId="2"/>
  </si>
  <si>
    <t>位　（北信越出場時に入力して下さい）</t>
    <rPh sb="3" eb="6">
      <t>ホクシンエツ</t>
    </rPh>
    <rPh sb="6" eb="8">
      <t>シュツジョウ</t>
    </rPh>
    <rPh sb="8" eb="9">
      <t>ジ</t>
    </rPh>
    <rPh sb="10" eb="12">
      <t>ニュウリョク</t>
    </rPh>
    <rPh sb="14" eb="15">
      <t>クダ</t>
    </rPh>
    <phoneticPr fontId="2"/>
  </si>
  <si>
    <t>DF</t>
  </si>
  <si>
    <t>宮﨑　凌真</t>
    <rPh sb="0" eb="2">
      <t>ミヤザキ</t>
    </rPh>
    <rPh sb="3" eb="4">
      <t>リョウ</t>
    </rPh>
    <rPh sb="4" eb="5">
      <t>マ</t>
    </rPh>
    <phoneticPr fontId="2"/>
  </si>
  <si>
    <t>みやざき　りょうま</t>
  </si>
  <si>
    <t>仲よし</t>
    <rPh sb="0" eb="1">
      <t>ナカ</t>
    </rPh>
    <phoneticPr fontId="2"/>
  </si>
  <si>
    <t>ふりがな</t>
    <phoneticPr fontId="2"/>
  </si>
  <si>
    <t>せいりょう</t>
    <phoneticPr fontId="2"/>
  </si>
  <si>
    <t>ちゅうがっこう</t>
    <phoneticPr fontId="2"/>
  </si>
  <si>
    <t>岡野　隼弥</t>
    <rPh sb="0" eb="2">
      <t>オカノ</t>
    </rPh>
    <rPh sb="3" eb="4">
      <t>シュン</t>
    </rPh>
    <rPh sb="4" eb="5">
      <t>ヤ</t>
    </rPh>
    <phoneticPr fontId="2"/>
  </si>
  <si>
    <t>おかの　しゅんや</t>
  </si>
  <si>
    <t>小松北FC</t>
    <rPh sb="0" eb="2">
      <t>コマツ</t>
    </rPh>
    <rPh sb="2" eb="3">
      <t>キタ</t>
    </rPh>
    <phoneticPr fontId="2"/>
  </si>
  <si>
    <t>学校名</t>
  </si>
  <si>
    <t>中学校</t>
    <rPh sb="0" eb="3">
      <t>チュウガッコウ</t>
    </rPh>
    <phoneticPr fontId="2"/>
  </si>
  <si>
    <t>市川　透也</t>
    <rPh sb="0" eb="2">
      <t>イチカワ</t>
    </rPh>
    <rPh sb="3" eb="4">
      <t>トオ</t>
    </rPh>
    <rPh sb="4" eb="5">
      <t>ヤ</t>
    </rPh>
    <phoneticPr fontId="2"/>
  </si>
  <si>
    <t>いちかわ　とうや</t>
  </si>
  <si>
    <t>押野</t>
    <rPh sb="0" eb="2">
      <t>オシノ</t>
    </rPh>
    <phoneticPr fontId="2"/>
  </si>
  <si>
    <t>ＴＥＬ</t>
  </si>
  <si>
    <t>076</t>
    <phoneticPr fontId="2"/>
  </si>
  <si>
    <t>-</t>
  </si>
  <si>
    <t>252</t>
    <phoneticPr fontId="2"/>
  </si>
  <si>
    <t>2237</t>
    <phoneticPr fontId="2"/>
  </si>
  <si>
    <t>坂本　琉杏</t>
    <rPh sb="0" eb="2">
      <t>サカモト</t>
    </rPh>
    <rPh sb="3" eb="4">
      <t>ル</t>
    </rPh>
    <rPh sb="4" eb="5">
      <t>アン</t>
    </rPh>
    <phoneticPr fontId="2"/>
  </si>
  <si>
    <t>さかもと　るあん</t>
  </si>
  <si>
    <t>明石FC</t>
    <rPh sb="0" eb="2">
      <t>アカシ</t>
    </rPh>
    <phoneticPr fontId="2"/>
  </si>
  <si>
    <t>ＦＡＸ</t>
  </si>
  <si>
    <t>9988</t>
    <phoneticPr fontId="2"/>
  </si>
  <si>
    <t>竹内　一馬</t>
    <rPh sb="0" eb="2">
      <t>タケウチ</t>
    </rPh>
    <rPh sb="3" eb="5">
      <t>カズマ</t>
    </rPh>
    <phoneticPr fontId="2"/>
  </si>
  <si>
    <t>たけうち　かずま</t>
  </si>
  <si>
    <t>星稜Jr</t>
    <rPh sb="0" eb="2">
      <t>セイリョウ</t>
    </rPh>
    <phoneticPr fontId="2"/>
  </si>
  <si>
    <t>郵便番号</t>
  </si>
  <si>
    <t>920</t>
    <phoneticPr fontId="2"/>
  </si>
  <si>
    <t>0811</t>
    <phoneticPr fontId="2"/>
  </si>
  <si>
    <t>MF</t>
  </si>
  <si>
    <t>前出　悠杜</t>
    <rPh sb="0" eb="2">
      <t>マエデ</t>
    </rPh>
    <rPh sb="3" eb="4">
      <t>ユウ</t>
    </rPh>
    <rPh sb="4" eb="5">
      <t>ト</t>
    </rPh>
    <phoneticPr fontId="2"/>
  </si>
  <si>
    <t>まえで　ゆうと</t>
  </si>
  <si>
    <t>安宅</t>
    <rPh sb="0" eb="2">
      <t>アタカ</t>
    </rPh>
    <phoneticPr fontId="2"/>
  </si>
  <si>
    <t>学校住所</t>
  </si>
  <si>
    <t>金沢市小坂町南206番地</t>
    <rPh sb="0" eb="3">
      <t>カナザワシ</t>
    </rPh>
    <rPh sb="3" eb="5">
      <t>コサカ</t>
    </rPh>
    <rPh sb="5" eb="6">
      <t>マチ</t>
    </rPh>
    <rPh sb="6" eb="7">
      <t>ミナミ</t>
    </rPh>
    <rPh sb="10" eb="12">
      <t>バンチ</t>
    </rPh>
    <phoneticPr fontId="2"/>
  </si>
  <si>
    <t>中川　小哲</t>
    <rPh sb="0" eb="2">
      <t>ナカガワ</t>
    </rPh>
    <rPh sb="3" eb="4">
      <t>コ</t>
    </rPh>
    <rPh sb="4" eb="5">
      <t>テツ</t>
    </rPh>
    <phoneticPr fontId="2"/>
  </si>
  <si>
    <t>なかがわ　こてつ</t>
  </si>
  <si>
    <t>フェンテFC</t>
  </si>
  <si>
    <t>校長氏名</t>
    <rPh sb="2" eb="4">
      <t>シメイ</t>
    </rPh>
    <phoneticPr fontId="2"/>
  </si>
  <si>
    <t>鍋谷　正二</t>
    <rPh sb="0" eb="2">
      <t>ナベタニ</t>
    </rPh>
    <rPh sb="3" eb="5">
      <t>ショウジ</t>
    </rPh>
    <phoneticPr fontId="2"/>
  </si>
  <si>
    <t>FW</t>
  </si>
  <si>
    <t>堀　　結輝</t>
    <rPh sb="0" eb="1">
      <t>ホリ</t>
    </rPh>
    <rPh sb="3" eb="4">
      <t>ケツ</t>
    </rPh>
    <rPh sb="4" eb="5">
      <t>テル</t>
    </rPh>
    <phoneticPr fontId="2"/>
  </si>
  <si>
    <t>ほり　ゆうき</t>
    <phoneticPr fontId="2"/>
  </si>
  <si>
    <t>菊川FC</t>
    <rPh sb="0" eb="2">
      <t>キクガワ</t>
    </rPh>
    <phoneticPr fontId="2"/>
  </si>
  <si>
    <t>引率責任者氏名</t>
    <rPh sb="5" eb="7">
      <t>シメイ</t>
    </rPh>
    <phoneticPr fontId="2"/>
  </si>
  <si>
    <t>小松　　豊</t>
    <rPh sb="0" eb="2">
      <t>コマツ</t>
    </rPh>
    <rPh sb="4" eb="5">
      <t>ユタカ</t>
    </rPh>
    <phoneticPr fontId="2"/>
  </si>
  <si>
    <t>西尾　友希</t>
    <rPh sb="0" eb="2">
      <t>ニシオ</t>
    </rPh>
    <rPh sb="3" eb="4">
      <t>ユウ</t>
    </rPh>
    <rPh sb="4" eb="5">
      <t>キ</t>
    </rPh>
    <phoneticPr fontId="2"/>
  </si>
  <si>
    <t>にしお　ゆうき</t>
  </si>
  <si>
    <t>監督氏名</t>
    <rPh sb="2" eb="4">
      <t>シメイ</t>
    </rPh>
    <phoneticPr fontId="2"/>
  </si>
  <si>
    <t>河合　伸幸</t>
    <rPh sb="0" eb="2">
      <t>カワイ</t>
    </rPh>
    <rPh sb="3" eb="5">
      <t>ノブユキ</t>
    </rPh>
    <phoneticPr fontId="2"/>
  </si>
  <si>
    <t>橋本　莞汰</t>
    <rPh sb="0" eb="2">
      <t>ハシモト</t>
    </rPh>
    <rPh sb="3" eb="4">
      <t>カン</t>
    </rPh>
    <rPh sb="4" eb="5">
      <t>タ</t>
    </rPh>
    <phoneticPr fontId="2"/>
  </si>
  <si>
    <t>はしもと　かんた</t>
  </si>
  <si>
    <t>コーチ氏名</t>
    <rPh sb="3" eb="5">
      <t>シメイ</t>
    </rPh>
    <phoneticPr fontId="2"/>
  </si>
  <si>
    <t>高橋　隆太</t>
    <rPh sb="0" eb="2">
      <t>タカハシ</t>
    </rPh>
    <rPh sb="3" eb="5">
      <t>リュウタ</t>
    </rPh>
    <phoneticPr fontId="2"/>
  </si>
  <si>
    <t>承認</t>
  </si>
  <si>
    <t>（教員、承認コーチの別）</t>
    <phoneticPr fontId="2"/>
  </si>
  <si>
    <t>清水　新志</t>
    <rPh sb="0" eb="2">
      <t>シミズ</t>
    </rPh>
    <rPh sb="3" eb="4">
      <t>シン</t>
    </rPh>
    <rPh sb="4" eb="5">
      <t>シ</t>
    </rPh>
    <phoneticPr fontId="2"/>
  </si>
  <si>
    <t>しみず　あらし</t>
    <phoneticPr fontId="2"/>
  </si>
  <si>
    <t>松任中央</t>
    <rPh sb="0" eb="2">
      <t>マットウ</t>
    </rPh>
    <rPh sb="2" eb="4">
      <t>チュウオウ</t>
    </rPh>
    <phoneticPr fontId="2"/>
  </si>
  <si>
    <t>マネージャー氏名</t>
    <rPh sb="6" eb="8">
      <t>シメイ</t>
    </rPh>
    <phoneticPr fontId="2"/>
  </si>
  <si>
    <t>河二　　尊</t>
    <rPh sb="0" eb="1">
      <t>カワ</t>
    </rPh>
    <rPh sb="1" eb="2">
      <t>ニ</t>
    </rPh>
    <rPh sb="4" eb="5">
      <t>ソン</t>
    </rPh>
    <phoneticPr fontId="2"/>
  </si>
  <si>
    <t>教員</t>
  </si>
  <si>
    <t>（教員、生徒の別）</t>
    <phoneticPr fontId="2"/>
  </si>
  <si>
    <t>水野　　蓮</t>
    <rPh sb="0" eb="2">
      <t>ミズノ</t>
    </rPh>
    <rPh sb="4" eb="5">
      <t>レン</t>
    </rPh>
    <phoneticPr fontId="2"/>
  </si>
  <si>
    <t>みずの　れん</t>
  </si>
  <si>
    <t>FP正</t>
    <rPh sb="2" eb="3">
      <t>セイ</t>
    </rPh>
    <phoneticPr fontId="2"/>
  </si>
  <si>
    <t>FP副</t>
    <rPh sb="2" eb="3">
      <t>フク</t>
    </rPh>
    <phoneticPr fontId="2"/>
  </si>
  <si>
    <t>GK正</t>
    <rPh sb="2" eb="3">
      <t>セイ</t>
    </rPh>
    <phoneticPr fontId="2"/>
  </si>
  <si>
    <t>GK副</t>
    <rPh sb="2" eb="3">
      <t>フク</t>
    </rPh>
    <phoneticPr fontId="2"/>
  </si>
  <si>
    <t>伊藤　大雅</t>
    <rPh sb="0" eb="2">
      <t>イトウ</t>
    </rPh>
    <rPh sb="3" eb="4">
      <t>ダイ</t>
    </rPh>
    <rPh sb="4" eb="5">
      <t>ミヤビ</t>
    </rPh>
    <phoneticPr fontId="2"/>
  </si>
  <si>
    <t>いとう　たいが</t>
  </si>
  <si>
    <t>福井中央FC</t>
    <rPh sb="0" eb="2">
      <t>フクイ</t>
    </rPh>
    <rPh sb="2" eb="4">
      <t>チュウオウ</t>
    </rPh>
    <phoneticPr fontId="2"/>
  </si>
  <si>
    <t>シャツの色</t>
    <rPh sb="4" eb="5">
      <t>イロ</t>
    </rPh>
    <phoneticPr fontId="2"/>
  </si>
  <si>
    <t>黄</t>
    <rPh sb="0" eb="1">
      <t>キ</t>
    </rPh>
    <phoneticPr fontId="2"/>
  </si>
  <si>
    <t>白</t>
    <rPh sb="0" eb="1">
      <t>シロ</t>
    </rPh>
    <phoneticPr fontId="2"/>
  </si>
  <si>
    <t>ブルー</t>
    <phoneticPr fontId="2"/>
  </si>
  <si>
    <t>オレンジ</t>
    <phoneticPr fontId="2"/>
  </si>
  <si>
    <t>佐々木　真之介</t>
    <rPh sb="0" eb="3">
      <t>ササキ</t>
    </rPh>
    <rPh sb="4" eb="7">
      <t>シンノスケ</t>
    </rPh>
    <phoneticPr fontId="2"/>
  </si>
  <si>
    <t>ささき　しんのすけ</t>
  </si>
  <si>
    <t>太田東FC</t>
    <rPh sb="0" eb="2">
      <t>オオタ</t>
    </rPh>
    <rPh sb="2" eb="3">
      <t>ヒガシ</t>
    </rPh>
    <phoneticPr fontId="2"/>
  </si>
  <si>
    <t>ショーツの色</t>
    <rPh sb="5" eb="6">
      <t>イロ</t>
    </rPh>
    <phoneticPr fontId="2"/>
  </si>
  <si>
    <t>ブラウン</t>
    <phoneticPr fontId="2"/>
  </si>
  <si>
    <t>山田　凌平</t>
    <rPh sb="0" eb="2">
      <t>ヤマダ</t>
    </rPh>
    <rPh sb="3" eb="5">
      <t>リョウヘイ</t>
    </rPh>
    <phoneticPr fontId="2"/>
  </si>
  <si>
    <t>やまだ　りょうへい</t>
  </si>
  <si>
    <t>大谷</t>
    <rPh sb="0" eb="2">
      <t>オオタニ</t>
    </rPh>
    <phoneticPr fontId="2"/>
  </si>
  <si>
    <t>ソックスの色</t>
    <rPh sb="5" eb="6">
      <t>イロ</t>
    </rPh>
    <phoneticPr fontId="2"/>
  </si>
  <si>
    <t>山岸　　光</t>
    <rPh sb="0" eb="2">
      <t>ヤマギシ</t>
    </rPh>
    <rPh sb="4" eb="5">
      <t>ヒカ</t>
    </rPh>
    <phoneticPr fontId="2"/>
  </si>
  <si>
    <t>やまぎし　ひかる</t>
  </si>
  <si>
    <t>中谷　拓斗</t>
    <rPh sb="0" eb="2">
      <t>ナカタニ</t>
    </rPh>
    <rPh sb="3" eb="4">
      <t>タク</t>
    </rPh>
    <rPh sb="4" eb="5">
      <t>ト</t>
    </rPh>
    <phoneticPr fontId="2"/>
  </si>
  <si>
    <t>なかたに　たくと</t>
  </si>
  <si>
    <t>羽咋FC</t>
    <rPh sb="0" eb="2">
      <t>ハクイ</t>
    </rPh>
    <phoneticPr fontId="2"/>
  </si>
  <si>
    <t>チーム紹介
（プログラム用）</t>
    <rPh sb="12" eb="13">
      <t>ヨウ</t>
    </rPh>
    <phoneticPr fontId="2"/>
  </si>
  <si>
    <t>一戦一戦全力で戦い、優勝を目指します。</t>
    <rPh sb="0" eb="2">
      <t>イッセン</t>
    </rPh>
    <rPh sb="2" eb="4">
      <t>イッセン</t>
    </rPh>
    <rPh sb="4" eb="6">
      <t>ゼンリョク</t>
    </rPh>
    <rPh sb="7" eb="8">
      <t>タタカ</t>
    </rPh>
    <rPh sb="10" eb="12">
      <t>ユウショウ</t>
    </rPh>
    <rPh sb="13" eb="15">
      <t>メザ</t>
    </rPh>
    <phoneticPr fontId="2"/>
  </si>
  <si>
    <t>南加賀</t>
  </si>
  <si>
    <t>石川</t>
  </si>
  <si>
    <t>村本　遼</t>
    <rPh sb="0" eb="2">
      <t>ムラモト</t>
    </rPh>
    <rPh sb="3" eb="4">
      <t>リョウ</t>
    </rPh>
    <phoneticPr fontId="2"/>
  </si>
  <si>
    <t>むらもと　りょう</t>
    <phoneticPr fontId="2"/>
  </si>
  <si>
    <t>白山ＦＣ</t>
    <rPh sb="0" eb="2">
      <t>ハクサン</t>
    </rPh>
    <phoneticPr fontId="2"/>
  </si>
  <si>
    <t>奥田　脩十</t>
    <rPh sb="0" eb="2">
      <t>オクダ</t>
    </rPh>
    <rPh sb="3" eb="4">
      <t>シュウ</t>
    </rPh>
    <rPh sb="4" eb="5">
      <t>ジュウ</t>
    </rPh>
    <phoneticPr fontId="2"/>
  </si>
  <si>
    <t>おくだ　しゅうと</t>
    <phoneticPr fontId="2"/>
  </si>
  <si>
    <t>はくさんしりつほくしん</t>
    <phoneticPr fontId="2"/>
  </si>
  <si>
    <t>坂井　音哉</t>
    <rPh sb="0" eb="2">
      <t>サカイ</t>
    </rPh>
    <rPh sb="3" eb="4">
      <t>オト</t>
    </rPh>
    <rPh sb="4" eb="5">
      <t>ヤ</t>
    </rPh>
    <phoneticPr fontId="2"/>
  </si>
  <si>
    <t>さかい　おとや</t>
  </si>
  <si>
    <t>白山市立北辰</t>
    <rPh sb="0" eb="4">
      <t>ハクサンシリツ</t>
    </rPh>
    <rPh sb="4" eb="6">
      <t>ホクシン</t>
    </rPh>
    <phoneticPr fontId="2"/>
  </si>
  <si>
    <t>山﨑　一輝</t>
    <rPh sb="0" eb="2">
      <t>ヤマサキ</t>
    </rPh>
    <rPh sb="3" eb="5">
      <t>カズキ</t>
    </rPh>
    <phoneticPr fontId="2"/>
  </si>
  <si>
    <t>やまさき　かずき</t>
    <phoneticPr fontId="2"/>
  </si>
  <si>
    <t xml:space="preserve">  076 </t>
    <phoneticPr fontId="2"/>
  </si>
  <si>
    <t>273</t>
    <phoneticPr fontId="2"/>
  </si>
  <si>
    <t>2611</t>
    <phoneticPr fontId="2"/>
  </si>
  <si>
    <t>金平　宏陽</t>
    <rPh sb="0" eb="2">
      <t>カナヒラ</t>
    </rPh>
    <rPh sb="3" eb="4">
      <t>ヒロシ</t>
    </rPh>
    <rPh sb="4" eb="5">
      <t>ヨウ</t>
    </rPh>
    <phoneticPr fontId="2"/>
  </si>
  <si>
    <t>かなひら　ひろあき</t>
    <phoneticPr fontId="2"/>
  </si>
  <si>
    <t>2612</t>
    <phoneticPr fontId="2"/>
  </si>
  <si>
    <t>山本　将義</t>
    <rPh sb="0" eb="2">
      <t>ヤマモト</t>
    </rPh>
    <rPh sb="3" eb="5">
      <t>マサヨシ</t>
    </rPh>
    <phoneticPr fontId="2"/>
  </si>
  <si>
    <t>やまもと　まさよし</t>
    <phoneticPr fontId="2"/>
  </si>
  <si>
    <t>2146</t>
    <phoneticPr fontId="2"/>
  </si>
  <si>
    <t>末田　裕大</t>
    <rPh sb="0" eb="2">
      <t>スエダ</t>
    </rPh>
    <rPh sb="3" eb="5">
      <t>ユウダイ</t>
    </rPh>
    <phoneticPr fontId="2"/>
  </si>
  <si>
    <t>すえだ　ゆうだい</t>
    <phoneticPr fontId="2"/>
  </si>
  <si>
    <t>白山市日向町ロ２４－２</t>
    <rPh sb="0" eb="3">
      <t>ハクサンシ</t>
    </rPh>
    <rPh sb="3" eb="6">
      <t>ヒュウガマチ</t>
    </rPh>
    <phoneticPr fontId="2"/>
  </si>
  <si>
    <t>炭田　健太郎</t>
    <rPh sb="0" eb="2">
      <t>スミタ</t>
    </rPh>
    <rPh sb="3" eb="6">
      <t>ケンタロウ</t>
    </rPh>
    <phoneticPr fontId="2"/>
  </si>
  <si>
    <t>すみた　けんたろう</t>
    <phoneticPr fontId="2"/>
  </si>
  <si>
    <t>久司　由利子</t>
    <rPh sb="0" eb="2">
      <t>キュウジ</t>
    </rPh>
    <rPh sb="3" eb="6">
      <t>ユリコ</t>
    </rPh>
    <phoneticPr fontId="2"/>
  </si>
  <si>
    <t>上甲　健太</t>
    <rPh sb="0" eb="2">
      <t>ジョウコウ</t>
    </rPh>
    <rPh sb="3" eb="5">
      <t>ケンタ</t>
    </rPh>
    <phoneticPr fontId="2"/>
  </si>
  <si>
    <t>じょうこう　けんた</t>
  </si>
  <si>
    <t>河島 統志</t>
    <rPh sb="0" eb="2">
      <t>カワシマ</t>
    </rPh>
    <rPh sb="3" eb="4">
      <t>オサム</t>
    </rPh>
    <rPh sb="4" eb="5">
      <t>シ</t>
    </rPh>
    <phoneticPr fontId="2"/>
  </si>
  <si>
    <t>林　怜史</t>
    <rPh sb="0" eb="1">
      <t>ハヤシ</t>
    </rPh>
    <rPh sb="2" eb="3">
      <t>レイ</t>
    </rPh>
    <rPh sb="3" eb="4">
      <t>フミ</t>
    </rPh>
    <phoneticPr fontId="2"/>
  </si>
  <si>
    <t>はやし　さとし</t>
    <phoneticPr fontId="2"/>
  </si>
  <si>
    <t>茂森　丈瑠</t>
    <rPh sb="0" eb="2">
      <t>シゲモリ</t>
    </rPh>
    <rPh sb="3" eb="5">
      <t>タケル</t>
    </rPh>
    <phoneticPr fontId="2"/>
  </si>
  <si>
    <t>しげもり　たける</t>
    <phoneticPr fontId="2"/>
  </si>
  <si>
    <t>長谷川　知子</t>
    <rPh sb="0" eb="3">
      <t>ハセガワ</t>
    </rPh>
    <rPh sb="4" eb="6">
      <t>トモコ</t>
    </rPh>
    <phoneticPr fontId="2"/>
  </si>
  <si>
    <t>中山　結都</t>
    <rPh sb="0" eb="2">
      <t>ナカヤマ</t>
    </rPh>
    <rPh sb="3" eb="4">
      <t>ユ</t>
    </rPh>
    <rPh sb="4" eb="5">
      <t>ト</t>
    </rPh>
    <phoneticPr fontId="2"/>
  </si>
  <si>
    <t>なかやま　ゆいと</t>
  </si>
  <si>
    <t>長田　悠吾</t>
    <rPh sb="0" eb="2">
      <t>ナガタ</t>
    </rPh>
    <rPh sb="3" eb="5">
      <t>ユウゴ</t>
    </rPh>
    <phoneticPr fontId="2"/>
  </si>
  <si>
    <t>生徒</t>
  </si>
  <si>
    <t>DF</t>
    <phoneticPr fontId="2"/>
  </si>
  <si>
    <t>宮田　陽輝</t>
    <rPh sb="0" eb="2">
      <t>ミヤダ</t>
    </rPh>
    <rPh sb="3" eb="4">
      <t>ヨウ</t>
    </rPh>
    <rPh sb="4" eb="5">
      <t>キ</t>
    </rPh>
    <phoneticPr fontId="2"/>
  </si>
  <si>
    <t>みやだ　はるき</t>
    <phoneticPr fontId="2"/>
  </si>
  <si>
    <t>ＦＰ正</t>
  </si>
  <si>
    <t>ＦＰ副</t>
  </si>
  <si>
    <t>ＧＫ正</t>
  </si>
  <si>
    <t>ＧＫ副</t>
  </si>
  <si>
    <t>松尾　瑞紀</t>
    <rPh sb="0" eb="1">
      <t>マツ</t>
    </rPh>
    <rPh sb="1" eb="2">
      <t>オ</t>
    </rPh>
    <rPh sb="3" eb="5">
      <t>ミズキ</t>
    </rPh>
    <phoneticPr fontId="2"/>
  </si>
  <si>
    <t>まつお　みずき</t>
    <phoneticPr fontId="2"/>
  </si>
  <si>
    <t>赤</t>
    <rPh sb="0" eb="1">
      <t>アカ</t>
    </rPh>
    <phoneticPr fontId="2"/>
  </si>
  <si>
    <t>グレー</t>
  </si>
  <si>
    <t>MF</t>
    <phoneticPr fontId="2"/>
  </si>
  <si>
    <t>横山　裕亮</t>
    <rPh sb="0" eb="2">
      <t>ヨコヤマ</t>
    </rPh>
    <rPh sb="3" eb="4">
      <t>ヒロシ</t>
    </rPh>
    <rPh sb="4" eb="5">
      <t>リョウ</t>
    </rPh>
    <phoneticPr fontId="2"/>
  </si>
  <si>
    <t>よこやま　ゆうすけ</t>
    <phoneticPr fontId="2"/>
  </si>
  <si>
    <t>青</t>
    <rPh sb="0" eb="1">
      <t>アオ</t>
    </rPh>
    <phoneticPr fontId="2"/>
  </si>
  <si>
    <t>藤田　倖輝</t>
    <rPh sb="0" eb="2">
      <t>フジタ</t>
    </rPh>
    <rPh sb="3" eb="4">
      <t>シアワ</t>
    </rPh>
    <rPh sb="4" eb="5">
      <t>キ</t>
    </rPh>
    <phoneticPr fontId="2"/>
  </si>
  <si>
    <t>ふじた　こうき</t>
    <phoneticPr fontId="2"/>
  </si>
  <si>
    <t>長坂　昇星</t>
    <rPh sb="0" eb="2">
      <t>ナガサカ</t>
    </rPh>
    <rPh sb="3" eb="4">
      <t>ノボル</t>
    </rPh>
    <rPh sb="4" eb="5">
      <t>ホシ</t>
    </rPh>
    <phoneticPr fontId="2"/>
  </si>
  <si>
    <t>ながさか　しょうせい</t>
  </si>
  <si>
    <t>GK</t>
    <phoneticPr fontId="2"/>
  </si>
  <si>
    <t>北本　竜也</t>
    <rPh sb="0" eb="2">
      <t>キタモト</t>
    </rPh>
    <rPh sb="3" eb="5">
      <t>タツヤ</t>
    </rPh>
    <phoneticPr fontId="2"/>
  </si>
  <si>
    <t>きたもと　たつや</t>
    <phoneticPr fontId="2"/>
  </si>
  <si>
    <t>１年生１２名、２年生１８名、３年生２５名の計５５名で活動しています。
  大会ではここまで自分たちを育てていただいた全ての方々への感謝の気持ちをプレーで表現していきたいと思います。</t>
    <phoneticPr fontId="2"/>
  </si>
  <si>
    <t>宮西　大樹</t>
    <rPh sb="0" eb="2">
      <t>ミヤニシ</t>
    </rPh>
    <rPh sb="3" eb="5">
      <t>ダイキ</t>
    </rPh>
    <phoneticPr fontId="2"/>
  </si>
  <si>
    <t>みやにし　だいき</t>
  </si>
  <si>
    <t>符津</t>
    <rPh sb="0" eb="2">
      <t>フツ</t>
    </rPh>
    <phoneticPr fontId="2"/>
  </si>
  <si>
    <t>島田　遥輝</t>
    <rPh sb="0" eb="2">
      <t>シマダ</t>
    </rPh>
    <rPh sb="3" eb="4">
      <t>ハル</t>
    </rPh>
    <rPh sb="4" eb="5">
      <t>カガヤ</t>
    </rPh>
    <phoneticPr fontId="2"/>
  </si>
  <si>
    <t>しまだ　はるき</t>
  </si>
  <si>
    <t>こまつしりつなんぶ</t>
    <phoneticPr fontId="2"/>
  </si>
  <si>
    <t>下野　滉太</t>
    <rPh sb="0" eb="2">
      <t>シモノ</t>
    </rPh>
    <rPh sb="3" eb="4">
      <t>コウ</t>
    </rPh>
    <rPh sb="4" eb="5">
      <t>タ</t>
    </rPh>
    <phoneticPr fontId="2"/>
  </si>
  <si>
    <t>しもの　こうた</t>
  </si>
  <si>
    <t>小松市立南部</t>
    <rPh sb="0" eb="4">
      <t>コマツシリツ</t>
    </rPh>
    <rPh sb="4" eb="6">
      <t>ナンブ</t>
    </rPh>
    <phoneticPr fontId="2"/>
  </si>
  <si>
    <t>北村　灯梧</t>
    <rPh sb="0" eb="2">
      <t>キタムラ</t>
    </rPh>
    <rPh sb="3" eb="4">
      <t>トモシビ</t>
    </rPh>
    <rPh sb="4" eb="5">
      <t>ゴ</t>
    </rPh>
    <phoneticPr fontId="2"/>
  </si>
  <si>
    <t>きたむら　とうご</t>
  </si>
  <si>
    <t>小松南部</t>
    <rPh sb="0" eb="2">
      <t>コマツ</t>
    </rPh>
    <rPh sb="2" eb="4">
      <t>ナンブ</t>
    </rPh>
    <phoneticPr fontId="2"/>
  </si>
  <si>
    <t>0761</t>
    <phoneticPr fontId="2"/>
  </si>
  <si>
    <t>44</t>
    <phoneticPr fontId="2"/>
  </si>
  <si>
    <t>2560</t>
    <phoneticPr fontId="2"/>
  </si>
  <si>
    <t>橋本　健吾</t>
    <rPh sb="0" eb="2">
      <t>ハシモト</t>
    </rPh>
    <rPh sb="3" eb="5">
      <t>ケンゴ</t>
    </rPh>
    <phoneticPr fontId="2"/>
  </si>
  <si>
    <t>はしもと　けんご</t>
  </si>
  <si>
    <t>8160</t>
    <phoneticPr fontId="2"/>
  </si>
  <si>
    <t>猪辺　稜斗</t>
    <rPh sb="0" eb="2">
      <t>イノシシヘン</t>
    </rPh>
    <rPh sb="3" eb="4">
      <t>リョウ</t>
    </rPh>
    <rPh sb="4" eb="5">
      <t>ト</t>
    </rPh>
    <phoneticPr fontId="2"/>
  </si>
  <si>
    <t>いのべ　りょうと</t>
  </si>
  <si>
    <t>923</t>
    <phoneticPr fontId="2"/>
  </si>
  <si>
    <t>0303</t>
    <phoneticPr fontId="2"/>
  </si>
  <si>
    <t>澤本　凌佑</t>
    <rPh sb="0" eb="2">
      <t>サワモト</t>
    </rPh>
    <rPh sb="3" eb="4">
      <t>リョウ</t>
    </rPh>
    <rPh sb="4" eb="5">
      <t>スケ</t>
    </rPh>
    <phoneticPr fontId="2"/>
  </si>
  <si>
    <t>さわもと　りょうすけ</t>
  </si>
  <si>
    <t>小松市島町ヌ43番地</t>
    <rPh sb="0" eb="2">
      <t>コマツ</t>
    </rPh>
    <rPh sb="2" eb="3">
      <t>シ</t>
    </rPh>
    <rPh sb="3" eb="5">
      <t>シママチ</t>
    </rPh>
    <rPh sb="8" eb="10">
      <t>バンチ</t>
    </rPh>
    <phoneticPr fontId="2"/>
  </si>
  <si>
    <t>北村　丞梧</t>
    <rPh sb="0" eb="2">
      <t>キタムラ</t>
    </rPh>
    <rPh sb="3" eb="4">
      <t>ジョウ</t>
    </rPh>
    <rPh sb="4" eb="5">
      <t>ゴ</t>
    </rPh>
    <phoneticPr fontId="2"/>
  </si>
  <si>
    <t>きたむら　しょうご</t>
  </si>
  <si>
    <t>室山　勝信</t>
    <rPh sb="0" eb="2">
      <t>ムロヤマ</t>
    </rPh>
    <rPh sb="3" eb="5">
      <t>カツノブ</t>
    </rPh>
    <phoneticPr fontId="2"/>
  </si>
  <si>
    <t>FW</t>
    <phoneticPr fontId="2"/>
  </si>
  <si>
    <t>西田　響</t>
    <rPh sb="0" eb="2">
      <t>ニシタ</t>
    </rPh>
    <rPh sb="3" eb="4">
      <t>ヒビキ</t>
    </rPh>
    <phoneticPr fontId="2"/>
  </si>
  <si>
    <t>にしだ　ひびき</t>
  </si>
  <si>
    <t>串</t>
    <rPh sb="0" eb="1">
      <t>クシ</t>
    </rPh>
    <phoneticPr fontId="2"/>
  </si>
  <si>
    <t>大島　哲史</t>
    <rPh sb="0" eb="2">
      <t>オオシマ</t>
    </rPh>
    <rPh sb="3" eb="5">
      <t>サトシ</t>
    </rPh>
    <phoneticPr fontId="2"/>
  </si>
  <si>
    <t>濱岡　駿太郎</t>
    <rPh sb="0" eb="2">
      <t>ハマオカ</t>
    </rPh>
    <rPh sb="3" eb="6">
      <t>シュンタロウ</t>
    </rPh>
    <phoneticPr fontId="2"/>
  </si>
  <si>
    <t>はまおか　しゅんたろう</t>
  </si>
  <si>
    <t>農田　蓮</t>
    <rPh sb="0" eb="1">
      <t>ノウ</t>
    </rPh>
    <rPh sb="1" eb="2">
      <t>タ</t>
    </rPh>
    <rPh sb="3" eb="4">
      <t>レン</t>
    </rPh>
    <phoneticPr fontId="2"/>
  </si>
  <si>
    <t>のうだ　れん</t>
  </si>
  <si>
    <t>水口　昌彦</t>
    <rPh sb="0" eb="2">
      <t>ミズグチ</t>
    </rPh>
    <rPh sb="3" eb="5">
      <t>マサヒコ</t>
    </rPh>
    <phoneticPr fontId="2"/>
  </si>
  <si>
    <t>承認</t>
    <rPh sb="0" eb="2">
      <t>ショウニン</t>
    </rPh>
    <phoneticPr fontId="2"/>
  </si>
  <si>
    <t>清水　悠生</t>
    <rPh sb="0" eb="2">
      <t>シミズ</t>
    </rPh>
    <rPh sb="3" eb="4">
      <t>ユウ</t>
    </rPh>
    <rPh sb="4" eb="5">
      <t>イ</t>
    </rPh>
    <phoneticPr fontId="2"/>
  </si>
  <si>
    <t>しみず　はるき</t>
  </si>
  <si>
    <t>中村　史織</t>
    <rPh sb="0" eb="2">
      <t>ナカムラ</t>
    </rPh>
    <rPh sb="3" eb="5">
      <t>シオリ</t>
    </rPh>
    <phoneticPr fontId="2"/>
  </si>
  <si>
    <t>教員</t>
    <rPh sb="0" eb="2">
      <t>キョウイン</t>
    </rPh>
    <phoneticPr fontId="2"/>
  </si>
  <si>
    <t>戸田　亘</t>
    <rPh sb="0" eb="2">
      <t>トダ</t>
    </rPh>
    <rPh sb="3" eb="4">
      <t>ワタル</t>
    </rPh>
    <phoneticPr fontId="2"/>
  </si>
  <si>
    <t>とだ　わたる</t>
  </si>
  <si>
    <t>宮野　裕生</t>
    <rPh sb="0" eb="2">
      <t>ミヤノ</t>
    </rPh>
    <rPh sb="3" eb="4">
      <t>ユウ</t>
    </rPh>
    <rPh sb="4" eb="5">
      <t>イ</t>
    </rPh>
    <phoneticPr fontId="2"/>
  </si>
  <si>
    <t>みやの　ひろき</t>
  </si>
  <si>
    <t>藤田　永遠</t>
    <rPh sb="0" eb="2">
      <t>フジタ</t>
    </rPh>
    <rPh sb="3" eb="5">
      <t>エイエン</t>
    </rPh>
    <phoneticPr fontId="2"/>
  </si>
  <si>
    <t>ふじた　とわ</t>
  </si>
  <si>
    <t>寺田　恵太朗</t>
    <rPh sb="0" eb="2">
      <t>テラダ</t>
    </rPh>
    <rPh sb="3" eb="4">
      <t>ケイ</t>
    </rPh>
    <rPh sb="4" eb="6">
      <t>タロウ</t>
    </rPh>
    <phoneticPr fontId="2"/>
  </si>
  <si>
    <t>てらだ　けいたろう</t>
    <phoneticPr fontId="2"/>
  </si>
  <si>
    <t>原田　飛翔</t>
    <rPh sb="0" eb="2">
      <t>ハラダ</t>
    </rPh>
    <rPh sb="3" eb="5">
      <t>ヒショウ</t>
    </rPh>
    <phoneticPr fontId="2"/>
  </si>
  <si>
    <t>はらだ　ひかる</t>
    <phoneticPr fontId="2"/>
  </si>
  <si>
    <t>吉野　心晟</t>
    <rPh sb="0" eb="2">
      <t>ヨシノ</t>
    </rPh>
    <rPh sb="3" eb="4">
      <t>ココロ</t>
    </rPh>
    <rPh sb="4" eb="5">
      <t>セイ</t>
    </rPh>
    <phoneticPr fontId="2"/>
  </si>
  <si>
    <t>よしの　しんせい</t>
  </si>
  <si>
    <t>ピッチでは最後まで走りぬき，戦い抜くことのできるチームをめざしています。</t>
    <rPh sb="5" eb="7">
      <t>サイゴ</t>
    </rPh>
    <rPh sb="9" eb="10">
      <t>ハシ</t>
    </rPh>
    <rPh sb="14" eb="15">
      <t>タタカ</t>
    </rPh>
    <rPh sb="16" eb="17">
      <t>ヌ</t>
    </rPh>
    <phoneticPr fontId="2"/>
  </si>
  <si>
    <t>松井　佑靜</t>
  </si>
  <si>
    <t>まつい　ゆうせい</t>
  </si>
  <si>
    <t>ビバーチェ</t>
    <phoneticPr fontId="2"/>
  </si>
  <si>
    <t>松本　優士</t>
  </si>
  <si>
    <t>まつもとゆうし</t>
  </si>
  <si>
    <t>三和</t>
    <rPh sb="0" eb="2">
      <t>ミワ</t>
    </rPh>
    <phoneticPr fontId="2"/>
  </si>
  <si>
    <t>かなざわしりつせいなんぶ</t>
    <phoneticPr fontId="2"/>
  </si>
  <si>
    <t>諸田　恭佑</t>
  </si>
  <si>
    <t>もろだ　きょうすけ</t>
  </si>
  <si>
    <t>金沢市立西南部</t>
    <rPh sb="0" eb="2">
      <t>カナザワ</t>
    </rPh>
    <rPh sb="2" eb="4">
      <t>シリツ</t>
    </rPh>
    <rPh sb="4" eb="7">
      <t>セイナンブ</t>
    </rPh>
    <phoneticPr fontId="2"/>
  </si>
  <si>
    <t>濱本　恒汰</t>
  </si>
  <si>
    <t>はまもと　こうた</t>
  </si>
  <si>
    <t>249</t>
    <phoneticPr fontId="2"/>
  </si>
  <si>
    <t>2317</t>
    <phoneticPr fontId="2"/>
  </si>
  <si>
    <t>陽本　健太</t>
  </si>
  <si>
    <t>ようもと　けんた</t>
  </si>
  <si>
    <t>2538</t>
    <phoneticPr fontId="2"/>
  </si>
  <si>
    <t>釣　輝昂</t>
  </si>
  <si>
    <t>つり　てるあき</t>
  </si>
  <si>
    <t>921</t>
    <phoneticPr fontId="2"/>
  </si>
  <si>
    <t>8062</t>
    <phoneticPr fontId="2"/>
  </si>
  <si>
    <t>中農　響</t>
  </si>
  <si>
    <t>なかの　ひびき</t>
    <phoneticPr fontId="2"/>
  </si>
  <si>
    <t>金沢市新保本1丁目149番地</t>
    <rPh sb="0" eb="3">
      <t>カナザワシ</t>
    </rPh>
    <rPh sb="3" eb="5">
      <t>シンボ</t>
    </rPh>
    <rPh sb="5" eb="6">
      <t>ホン</t>
    </rPh>
    <rPh sb="7" eb="9">
      <t>チョウメ</t>
    </rPh>
    <rPh sb="12" eb="14">
      <t>バンチ</t>
    </rPh>
    <phoneticPr fontId="2"/>
  </si>
  <si>
    <t>松永　涼雅</t>
    <rPh sb="0" eb="2">
      <t>マツナガ</t>
    </rPh>
    <rPh sb="3" eb="4">
      <t>リョウ</t>
    </rPh>
    <rPh sb="4" eb="5">
      <t>ガ</t>
    </rPh>
    <phoneticPr fontId="6"/>
  </si>
  <si>
    <t>まつなが　りょうが</t>
  </si>
  <si>
    <t>Blue Lagoon</t>
    <phoneticPr fontId="2"/>
  </si>
  <si>
    <t>近本　嘉治</t>
    <rPh sb="0" eb="2">
      <t>チカモト</t>
    </rPh>
    <rPh sb="3" eb="5">
      <t>ヨシハル</t>
    </rPh>
    <phoneticPr fontId="2"/>
  </si>
  <si>
    <t>上馬　大知</t>
  </si>
  <si>
    <t>じょうば　だいち</t>
  </si>
  <si>
    <t>千木　良介</t>
    <rPh sb="0" eb="1">
      <t>セン</t>
    </rPh>
    <rPh sb="1" eb="2">
      <t>キ</t>
    </rPh>
    <rPh sb="3" eb="5">
      <t>リョウスケ</t>
    </rPh>
    <phoneticPr fontId="2"/>
  </si>
  <si>
    <t>須﨑　由尊</t>
  </si>
  <si>
    <t>すさき　ゆたか</t>
  </si>
  <si>
    <t>押野ＦＣ</t>
    <rPh sb="0" eb="2">
      <t>オシノ</t>
    </rPh>
    <phoneticPr fontId="2"/>
  </si>
  <si>
    <t>杉山　真啓</t>
  </si>
  <si>
    <t>すぎやま　まさひろ</t>
  </si>
  <si>
    <t>橋本　佑磨</t>
    <rPh sb="0" eb="2">
      <t>ハシモト</t>
    </rPh>
    <rPh sb="3" eb="4">
      <t>ユウ</t>
    </rPh>
    <rPh sb="4" eb="5">
      <t>マ</t>
    </rPh>
    <phoneticPr fontId="2"/>
  </si>
  <si>
    <t>村上　天馬</t>
  </si>
  <si>
    <t>むらかみ　てんま</t>
  </si>
  <si>
    <t>赤丸　太一</t>
  </si>
  <si>
    <t>あかまる　たいち</t>
  </si>
  <si>
    <t>山﨑　壮</t>
    <rPh sb="0" eb="2">
      <t>ヤマザキ</t>
    </rPh>
    <rPh sb="3" eb="4">
      <t>ソウ</t>
    </rPh>
    <phoneticPr fontId="2"/>
  </si>
  <si>
    <t>やまざき　そう</t>
  </si>
  <si>
    <t>灰</t>
    <rPh sb="0" eb="1">
      <t>ハイ</t>
    </rPh>
    <phoneticPr fontId="2"/>
  </si>
  <si>
    <t>吉田　京矢</t>
  </si>
  <si>
    <t>よしだ　きょうや</t>
  </si>
  <si>
    <t>竹内　慎之助</t>
    <rPh sb="0" eb="2">
      <t>タケウチ</t>
    </rPh>
    <rPh sb="3" eb="6">
      <t>シンノスケ</t>
    </rPh>
    <phoneticPr fontId="2"/>
  </si>
  <si>
    <t>たけうち　しんのすけ</t>
  </si>
  <si>
    <t>小林　昂純</t>
  </si>
  <si>
    <t>こばやし　こうじゅん</t>
  </si>
  <si>
    <t>松井　大輝</t>
  </si>
  <si>
    <t>まつい　だいき</t>
  </si>
  <si>
    <t>1戦1戦、全力で戦います。</t>
    <rPh sb="1" eb="2">
      <t>セン</t>
    </rPh>
    <rPh sb="3" eb="4">
      <t>セン</t>
    </rPh>
    <rPh sb="5" eb="7">
      <t>ゼンリョク</t>
    </rPh>
    <rPh sb="8" eb="9">
      <t>タタカ</t>
    </rPh>
    <phoneticPr fontId="2"/>
  </si>
  <si>
    <t>B②</t>
    <phoneticPr fontId="2"/>
  </si>
  <si>
    <t>11:00</t>
    <phoneticPr fontId="2"/>
  </si>
  <si>
    <t>13:30</t>
    <phoneticPr fontId="2"/>
  </si>
  <si>
    <t>Aリーグ（宝達志水町民サッカー場）</t>
    <phoneticPr fontId="2"/>
  </si>
  <si>
    <t>小松市民センター</t>
  </si>
  <si>
    <t>木場潟公園多目的Ｇ</t>
  </si>
  <si>
    <t>県営根上サッカー場</t>
  </si>
  <si>
    <t>会場名を入力</t>
    <rPh sb="0" eb="2">
      <t>カイジョウ</t>
    </rPh>
    <rPh sb="2" eb="3">
      <t>メイ</t>
    </rPh>
    <rPh sb="4" eb="6">
      <t>ニュウリョク</t>
    </rPh>
    <phoneticPr fontId="2"/>
  </si>
  <si>
    <t>E</t>
    <phoneticPr fontId="2"/>
  </si>
  <si>
    <t>スカイパークこまつ翼 A</t>
    <phoneticPr fontId="2"/>
  </si>
  <si>
    <t>スカイパークこまつ翼 B</t>
    <phoneticPr fontId="2"/>
  </si>
  <si>
    <t>第９代表決定戦</t>
    <rPh sb="0" eb="1">
      <t>ダイ</t>
    </rPh>
    <rPh sb="2" eb="4">
      <t>ダイヒョウ</t>
    </rPh>
    <rPh sb="4" eb="7">
      <t>ケッテイセン</t>
    </rPh>
    <phoneticPr fontId="2"/>
  </si>
  <si>
    <t>金沢スポーツ交流広場</t>
    <rPh sb="0" eb="2">
      <t>カナザワ</t>
    </rPh>
    <rPh sb="6" eb="8">
      <t>コウリュウ</t>
    </rPh>
    <rPh sb="8" eb="10">
      <t>ヒロバ</t>
    </rPh>
    <phoneticPr fontId="2"/>
  </si>
  <si>
    <t>金沢市スポーツ交流広場</t>
    <rPh sb="0" eb="3">
      <t>カナザワシ</t>
    </rPh>
    <rPh sb="7" eb="9">
      <t>コウリュウ</t>
    </rPh>
    <rPh sb="9" eb="11">
      <t>ヒロバ</t>
    </rPh>
    <phoneticPr fontId="2"/>
  </si>
  <si>
    <t>サッカー場</t>
    <rPh sb="4" eb="5">
      <t>ジョウ</t>
    </rPh>
    <phoneticPr fontId="2"/>
  </si>
  <si>
    <t>(土)</t>
    <phoneticPr fontId="2"/>
  </si>
  <si>
    <t>～立と表記しない学校のみ入力</t>
    <rPh sb="1" eb="2">
      <t>リツ</t>
    </rPh>
    <rPh sb="3" eb="5">
      <t>ヒョウキ</t>
    </rPh>
    <rPh sb="8" eb="10">
      <t>ガッコウ</t>
    </rPh>
    <rPh sb="12" eb="14">
      <t>ニュウリョク</t>
    </rPh>
    <phoneticPr fontId="2"/>
  </si>
  <si>
    <t>金沢大学附属中学校</t>
    <rPh sb="0" eb="4">
      <t>カナザワダイガク</t>
    </rPh>
    <rPh sb="4" eb="6">
      <t>フゾク</t>
    </rPh>
    <rPh sb="6" eb="9">
      <t>チュウガッコウ</t>
    </rPh>
    <phoneticPr fontId="2"/>
  </si>
  <si>
    <t>星稜中学校</t>
    <rPh sb="0" eb="2">
      <t>セイリョウ</t>
    </rPh>
    <rPh sb="2" eb="5">
      <t>チュウガッコウ</t>
    </rPh>
    <phoneticPr fontId="2"/>
  </si>
  <si>
    <t>金沢学院大学附属中学校</t>
    <rPh sb="0" eb="2">
      <t>カナザワ</t>
    </rPh>
    <rPh sb="2" eb="4">
      <t>ガクイン</t>
    </rPh>
    <rPh sb="4" eb="6">
      <t>ダイガク</t>
    </rPh>
    <rPh sb="6" eb="8">
      <t>フゾク</t>
    </rPh>
    <rPh sb="8" eb="11">
      <t>チュウガッコウ</t>
    </rPh>
    <phoneticPr fontId="2"/>
  </si>
  <si>
    <t>表示用</t>
    <rPh sb="0" eb="3">
      <t>ヒョウジヨウ</t>
    </rPh>
    <phoneticPr fontId="2"/>
  </si>
  <si>
    <t>白山</t>
    <rPh sb="0" eb="2">
      <t>シラヤマ</t>
    </rPh>
    <phoneticPr fontId="2"/>
  </si>
  <si>
    <t>錦丘中・緑中合同チーム</t>
    <rPh sb="0" eb="2">
      <t>ニシキオカ</t>
    </rPh>
    <rPh sb="2" eb="3">
      <t>チュウ</t>
    </rPh>
    <rPh sb="4" eb="5">
      <t>ミドリ</t>
    </rPh>
    <rPh sb="5" eb="6">
      <t>チュウ</t>
    </rPh>
    <rPh sb="6" eb="8">
      <t>ゴウドウ</t>
    </rPh>
    <phoneticPr fontId="2"/>
  </si>
  <si>
    <t>Bリーグ（宝達志水町民サッカー場）</t>
    <phoneticPr fontId="2"/>
  </si>
  <si>
    <t>内灘町サッカー場</t>
    <phoneticPr fontId="2"/>
  </si>
  <si>
    <t>F</t>
    <phoneticPr fontId="2"/>
  </si>
  <si>
    <t>金沢ゴーゴーカレースタジアム</t>
    <rPh sb="0" eb="2">
      <t>カナザワ</t>
    </rPh>
    <phoneticPr fontId="2"/>
  </si>
  <si>
    <t>泉中・高尾台中合同チーム</t>
    <rPh sb="0" eb="1">
      <t>イズミ</t>
    </rPh>
    <rPh sb="1" eb="2">
      <t>チュウ</t>
    </rPh>
    <rPh sb="3" eb="6">
      <t>タカオダイ</t>
    </rPh>
    <rPh sb="6" eb="7">
      <t>チュウ</t>
    </rPh>
    <rPh sb="7" eb="9">
      <t>ゴウドウ</t>
    </rPh>
    <phoneticPr fontId="2"/>
  </si>
  <si>
    <t>初日</t>
    <rPh sb="0" eb="2">
      <t>ショニチ</t>
    </rPh>
    <phoneticPr fontId="2"/>
  </si>
  <si>
    <t>Aリーグ【松任総合運動公園G】</t>
    <rPh sb="5" eb="13">
      <t>マットウソウゴウウンドウコウエン</t>
    </rPh>
    <phoneticPr fontId="2"/>
  </si>
  <si>
    <t>Cリーグ【松任総合運動公園G】</t>
    <rPh sb="5" eb="13">
      <t>マットウソウゴウウンドウコウエン</t>
    </rPh>
    <phoneticPr fontId="2"/>
  </si>
  <si>
    <t>Bリーグ【こまつドームG】</t>
    <phoneticPr fontId="2"/>
  </si>
  <si>
    <t>Dリーグ【こまつドームG】</t>
    <phoneticPr fontId="2"/>
  </si>
  <si>
    <t>会場：アッピー鹿西芝生広場</t>
    <rPh sb="0" eb="2">
      <t>カイジョウ</t>
    </rPh>
    <rPh sb="7" eb="9">
      <t>ロクセイ</t>
    </rPh>
    <rPh sb="9" eb="13">
      <t>シバフヒロバ</t>
    </rPh>
    <phoneticPr fontId="2"/>
  </si>
  <si>
    <t>【対戦表】</t>
    <rPh sb="1" eb="4">
      <t>タイセンヒョウ</t>
    </rPh>
    <phoneticPr fontId="2"/>
  </si>
  <si>
    <t>【試合開始日時】</t>
    <rPh sb="1" eb="3">
      <t>シアイ</t>
    </rPh>
    <rPh sb="3" eb="5">
      <t>カイシ</t>
    </rPh>
    <rPh sb="5" eb="7">
      <t>ニチジ</t>
    </rPh>
    <phoneticPr fontId="2"/>
  </si>
  <si>
    <t>光野中・笠間中合同チーム</t>
    <rPh sb="0" eb="2">
      <t>ヒカリノ</t>
    </rPh>
    <rPh sb="2" eb="3">
      <t>チュウ</t>
    </rPh>
    <rPh sb="4" eb="6">
      <t>カサマ</t>
    </rPh>
    <rPh sb="6" eb="7">
      <t>チュウ</t>
    </rPh>
    <rPh sb="7" eb="9">
      <t>ゴウドウ</t>
    </rPh>
    <phoneticPr fontId="2"/>
  </si>
  <si>
    <t>３決するときは１を！</t>
    <rPh sb="1" eb="2">
      <t>ケツ</t>
    </rPh>
    <phoneticPr fontId="2"/>
  </si>
  <si>
    <t>光野･笠間</t>
    <rPh sb="0" eb="2">
      <t>ヒカリノ</t>
    </rPh>
    <rPh sb="3" eb="5">
      <t>カサマ</t>
    </rPh>
    <phoneticPr fontId="2"/>
  </si>
  <si>
    <t>ゴーゴーカレースタジアム</t>
    <phoneticPr fontId="2"/>
  </si>
  <si>
    <t>金沢スポーツ</t>
    <phoneticPr fontId="2"/>
  </si>
  <si>
    <t>＊試合球は、内灘・市営【ミカサ】、交流広場・かほく・ゴースタ【モルテン】</t>
    <rPh sb="1" eb="4">
      <t>シアイキュウ</t>
    </rPh>
    <rPh sb="6" eb="8">
      <t>ウチナダ</t>
    </rPh>
    <rPh sb="9" eb="11">
      <t>シエイ</t>
    </rPh>
    <rPh sb="17" eb="19">
      <t>コウリュウ</t>
    </rPh>
    <rPh sb="19" eb="21">
      <t>ヒロバ</t>
    </rPh>
    <phoneticPr fontId="2"/>
  </si>
  <si>
    <t>交流</t>
    <rPh sb="0" eb="2">
      <t>コウリュウ</t>
    </rPh>
    <phoneticPr fontId="2"/>
  </si>
  <si>
    <t>金沢スポーツ交流広場</t>
    <phoneticPr fontId="2"/>
  </si>
  <si>
    <t>錦丘･緑</t>
    <rPh sb="0" eb="2">
      <t>ニシキオカ</t>
    </rPh>
    <rPh sb="3" eb="4">
      <t>ミドリ</t>
    </rPh>
    <phoneticPr fontId="2"/>
  </si>
  <si>
    <t>泉･高尾台</t>
    <rPh sb="0" eb="1">
      <t>イズミ</t>
    </rPh>
    <rPh sb="2" eb="5">
      <t>タカオダイ</t>
    </rPh>
    <phoneticPr fontId="2"/>
  </si>
  <si>
    <t>開始日は？</t>
    <rPh sb="0" eb="3">
      <t>カイシビ</t>
    </rPh>
    <phoneticPr fontId="2"/>
  </si>
  <si>
    <t>−</t>
  </si>
  <si>
    <t>F</t>
  </si>
  <si>
    <t>E</t>
  </si>
  <si>
    <t>【1】</t>
    <phoneticPr fontId="2"/>
  </si>
  <si>
    <t>【2】</t>
    <phoneticPr fontId="2"/>
  </si>
  <si>
    <t>【3】</t>
    <phoneticPr fontId="2"/>
  </si>
  <si>
    <t>【4】</t>
    <phoneticPr fontId="2"/>
  </si>
  <si>
    <t>【5】</t>
    <phoneticPr fontId="2"/>
  </si>
  <si>
    <t>【6】</t>
    <phoneticPr fontId="2"/>
  </si>
  <si>
    <t>【7】</t>
    <phoneticPr fontId="2"/>
  </si>
  <si>
    <t>【8】</t>
    <phoneticPr fontId="2"/>
  </si>
  <si>
    <t>【9】</t>
    <phoneticPr fontId="2"/>
  </si>
  <si>
    <t>【10】</t>
    <phoneticPr fontId="2"/>
  </si>
  <si>
    <t>【11】</t>
    <phoneticPr fontId="2"/>
  </si>
  <si>
    <t>【12】</t>
    <phoneticPr fontId="2"/>
  </si>
  <si>
    <t>【13】</t>
    <phoneticPr fontId="2"/>
  </si>
  <si>
    <t>【14】</t>
    <phoneticPr fontId="2"/>
  </si>
  <si>
    <t>【15】</t>
    <phoneticPr fontId="2"/>
  </si>
  <si>
    <t>【16】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</si>
</sst>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 0&quot;℃&quot;"/>
    <numFmt numFmtId="178" formatCode="\ 0&quot;%&quot;"/>
    <numFmt numFmtId="179" formatCode="#,##0&quot;人&quot;"/>
    <numFmt numFmtId="180" formatCode="h:mm;@"/>
    <numFmt numFmtId="181" formatCode="d&quot;日&quot;"/>
  </numFmts>
  <fonts count="71"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0"/>
      <name val="ＭＳ Ｐゴシック"/>
      <family val="3"/>
      <charset val="128"/>
    </font>
    <font>
      <sz val="14"/>
      <name val="ＭＳ Ｐゴシック"/>
      <family val="3"/>
      <charset val="128"/>
    </font>
    <font>
      <sz val="18"/>
      <name val="HG丸ｺﾞｼｯｸM-PRO"/>
      <family val="3"/>
      <charset val="128"/>
    </font>
    <font>
      <sz val="8"/>
      <name val="ＭＳ Ｐゴシック"/>
      <family val="3"/>
      <charset val="128"/>
    </font>
    <font>
      <sz val="9"/>
      <name val="ＭＳ Ｐゴシック"/>
      <family val="3"/>
      <charset val="128"/>
    </font>
    <font>
      <sz val="11"/>
      <name val="AR丸ゴシック体M04"/>
      <family val="3"/>
      <charset val="128"/>
    </font>
    <font>
      <sz val="12"/>
      <name val="AR丸ゴシック体M04"/>
      <family val="3"/>
      <charset val="128"/>
    </font>
    <font>
      <sz val="14"/>
      <name val="AR丸ゴシック体M04"/>
      <family val="3"/>
      <charset val="128"/>
    </font>
    <font>
      <sz val="8"/>
      <name val="AR丸ゴシック体M04"/>
      <family val="3"/>
      <charset val="128"/>
    </font>
    <font>
      <sz val="16"/>
      <name val="AR丸ゴシック体M04"/>
      <family val="3"/>
      <charset val="128"/>
    </font>
    <font>
      <sz val="10"/>
      <name val="AR丸ゴシック体M04"/>
      <family val="3"/>
      <charset val="128"/>
    </font>
    <font>
      <sz val="6"/>
      <name val="AR丸ゴシック体M04"/>
      <family val="3"/>
      <charset val="128"/>
    </font>
    <font>
      <b/>
      <i/>
      <u/>
      <sz val="14"/>
      <color indexed="9"/>
      <name val="ＭＳ Ｐゴシック"/>
      <family val="3"/>
      <charset val="128"/>
    </font>
    <font>
      <b/>
      <i/>
      <u/>
      <sz val="14"/>
      <color rgb="FFFF0000"/>
      <name val="ＭＳ Ｐゴシック"/>
      <family val="3"/>
      <charset val="128"/>
    </font>
    <font>
      <b/>
      <sz val="14"/>
      <name val="ＭＳ Ｐゴシック"/>
      <family val="3"/>
      <charset val="128"/>
    </font>
    <font>
      <b/>
      <sz val="12"/>
      <color indexed="9"/>
      <name val="ＭＳ Ｐゴシック"/>
      <family val="3"/>
      <charset val="128"/>
    </font>
    <font>
      <b/>
      <sz val="12"/>
      <name val="ＭＳ Ｐゴシック"/>
      <family val="3"/>
      <charset val="128"/>
    </font>
    <font>
      <b/>
      <sz val="18"/>
      <name val="ＭＳ Ｐゴシック"/>
      <family val="3"/>
      <charset val="128"/>
    </font>
    <font>
      <b/>
      <sz val="10"/>
      <name val="ＭＳ Ｐゴシック"/>
      <family val="3"/>
      <charset val="128"/>
    </font>
    <font>
      <b/>
      <u/>
      <sz val="10"/>
      <color indexed="10"/>
      <name val="ＭＳ Ｐゴシック"/>
      <family val="3"/>
      <charset val="128"/>
    </font>
    <font>
      <b/>
      <sz val="10"/>
      <color indexed="9"/>
      <name val="ＭＳ Ｐゴシック"/>
      <family val="3"/>
      <charset val="128"/>
    </font>
    <font>
      <b/>
      <sz val="10"/>
      <color rgb="FFFF0000"/>
      <name val="ＭＳ Ｐゴシック"/>
      <family val="3"/>
      <charset val="128"/>
    </font>
    <font>
      <b/>
      <u/>
      <sz val="10"/>
      <name val="ＭＳ Ｐゴシック"/>
      <family val="3"/>
      <charset val="128"/>
    </font>
    <font>
      <b/>
      <u/>
      <sz val="16"/>
      <color indexed="45"/>
      <name val="ＭＳ Ｐゴシック"/>
      <family val="3"/>
      <charset val="128"/>
    </font>
    <font>
      <sz val="20"/>
      <name val="AR丸ゴシック体M04"/>
      <family val="3"/>
      <charset val="128"/>
    </font>
    <font>
      <sz val="20"/>
      <color rgb="FFFF0000"/>
      <name val="AR丸ゴシック体M04"/>
      <family val="3"/>
      <charset val="128"/>
    </font>
    <font>
      <sz val="11"/>
      <color indexed="10"/>
      <name val="AR丸ゴシック体M04"/>
      <family val="3"/>
      <charset val="128"/>
    </font>
    <font>
      <i/>
      <sz val="11"/>
      <name val="AR丸ゴシック体M04"/>
      <family val="3"/>
      <charset val="128"/>
    </font>
    <font>
      <sz val="11"/>
      <color theme="0"/>
      <name val="AR丸ゴシック体M04"/>
      <family val="3"/>
      <charset val="128"/>
    </font>
    <font>
      <sz val="18"/>
      <name val="AR丸ゴシック体M04"/>
      <family val="3"/>
      <charset val="128"/>
    </font>
    <font>
      <sz val="16"/>
      <color theme="0"/>
      <name val="AR丸ゴシック体M04"/>
      <family val="3"/>
      <charset val="128"/>
    </font>
    <font>
      <sz val="14"/>
      <color theme="0"/>
      <name val="AR丸ゴシック体M04"/>
      <family val="3"/>
      <charset val="128"/>
    </font>
    <font>
      <sz val="12"/>
      <color theme="0"/>
      <name val="AR丸ゴシック体M04"/>
      <family val="3"/>
      <charset val="128"/>
    </font>
    <font>
      <sz val="11"/>
      <name val="AR丸ゴシック体M"/>
      <family val="3"/>
      <charset val="128"/>
    </font>
    <font>
      <sz val="20"/>
      <name val="AR丸ゴシック体M"/>
      <family val="3"/>
      <charset val="128"/>
    </font>
    <font>
      <sz val="11"/>
      <color theme="0"/>
      <name val="AR丸ゴシック体M"/>
      <family val="3"/>
      <charset val="128"/>
    </font>
    <font>
      <sz val="12"/>
      <name val="AR丸ゴシック体M"/>
      <family val="3"/>
      <charset val="128"/>
    </font>
    <font>
      <sz val="16"/>
      <name val="AR丸ゴシック体M"/>
      <family val="3"/>
      <charset val="128"/>
    </font>
    <font>
      <sz val="8"/>
      <name val="AR丸ゴシック体M"/>
      <family val="3"/>
      <charset val="128"/>
    </font>
    <font>
      <sz val="10"/>
      <name val="AR丸ゴシック体M"/>
      <family val="3"/>
      <charset val="128"/>
    </font>
    <font>
      <sz val="9"/>
      <name val="AR丸ゴシック体M"/>
      <family val="3"/>
      <charset val="128"/>
    </font>
    <font>
      <sz val="11"/>
      <color theme="1"/>
      <name val="AR丸ゴシック体M"/>
      <family val="3"/>
      <charset val="128"/>
    </font>
    <font>
      <sz val="22"/>
      <name val="AR丸ゴシック体M"/>
      <family val="3"/>
      <charset val="128"/>
    </font>
    <font>
      <sz val="7"/>
      <name val="AR丸ゴシック体M"/>
      <family val="3"/>
      <charset val="128"/>
    </font>
    <font>
      <b/>
      <sz val="12"/>
      <name val="AR丸ゴシック体M"/>
      <family val="3"/>
      <charset val="128"/>
    </font>
    <font>
      <b/>
      <sz val="14"/>
      <name val="AR丸ゴシック体M"/>
      <family val="3"/>
      <charset val="128"/>
    </font>
    <font>
      <b/>
      <sz val="9"/>
      <name val="AR丸ゴシック体M"/>
      <family val="3"/>
      <charset val="128"/>
    </font>
    <font>
      <b/>
      <sz val="18"/>
      <name val="AR丸ゴシック体M"/>
      <family val="3"/>
      <charset val="128"/>
    </font>
    <font>
      <sz val="18"/>
      <name val="AR丸ゴシック体M"/>
      <family val="3"/>
      <charset val="128"/>
    </font>
    <font>
      <b/>
      <sz val="10"/>
      <name val="AR丸ゴシック体M"/>
      <family val="3"/>
      <charset val="128"/>
    </font>
    <font>
      <b/>
      <sz val="7"/>
      <name val="AR丸ゴシック体M"/>
      <family val="3"/>
      <charset val="128"/>
    </font>
    <font>
      <i/>
      <sz val="7"/>
      <name val="AR丸ゴシック体M"/>
      <family val="3"/>
      <charset val="128"/>
    </font>
    <font>
      <sz val="14"/>
      <name val="AR丸ゴシック体M"/>
      <family val="3"/>
      <charset val="128"/>
    </font>
    <font>
      <sz val="14"/>
      <color theme="0"/>
      <name val="AR丸ゴシック体M"/>
      <family val="3"/>
      <charset val="128"/>
    </font>
    <font>
      <sz val="12"/>
      <color theme="0"/>
      <name val="AR丸ゴシック体M"/>
      <family val="3"/>
      <charset val="128"/>
    </font>
    <font>
      <sz val="11"/>
      <name val="@AR丸ゴシック体M"/>
      <family val="3"/>
      <charset val="128"/>
    </font>
    <font>
      <i/>
      <sz val="11"/>
      <name val="AR丸ゴシック体M"/>
      <family val="3"/>
      <charset val="128"/>
    </font>
    <font>
      <sz val="13"/>
      <name val="AR丸ゴシック体M"/>
      <family val="3"/>
      <charset val="128"/>
    </font>
    <font>
      <sz val="11"/>
      <color indexed="10"/>
      <name val="AR丸ゴシック体M"/>
      <family val="3"/>
      <charset val="128"/>
    </font>
    <font>
      <sz val="10.5"/>
      <name val="AR丸ゴシック体M"/>
      <family val="3"/>
      <charset val="128"/>
    </font>
    <font>
      <sz val="12"/>
      <name val="@AR丸ゴシック体M"/>
      <family val="3"/>
      <charset val="128"/>
    </font>
    <font>
      <sz val="20"/>
      <color rgb="FFFF0000"/>
      <name val="AR丸ゴシック体M"/>
      <family val="3"/>
      <charset val="128"/>
    </font>
    <font>
      <sz val="11"/>
      <color indexed="9"/>
      <name val="AR丸ゴシック体M"/>
      <family val="3"/>
      <charset val="128"/>
    </font>
    <font>
      <sz val="8"/>
      <color theme="1"/>
      <name val="AR丸ゴシック体M"/>
      <family val="3"/>
      <charset val="128"/>
    </font>
    <font>
      <sz val="8"/>
      <color indexed="10"/>
      <name val="AR丸ゴシック体M"/>
      <family val="3"/>
      <charset val="128"/>
    </font>
    <font>
      <sz val="6"/>
      <name val="AR丸ゴシック体M"/>
      <family val="3"/>
      <charset val="128"/>
    </font>
    <font>
      <sz val="8"/>
      <name val="@AR丸ゴシック体M"/>
      <family val="3"/>
      <charset val="128"/>
    </font>
  </fonts>
  <fills count="11">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indexed="10"/>
        <bgColor indexed="64"/>
      </patternFill>
    </fill>
    <fill>
      <patternFill patternType="solid">
        <fgColor indexed="12"/>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A6A6A6"/>
        <bgColor rgb="FF000000"/>
      </patternFill>
    </fill>
  </fills>
  <borders count="191">
    <border>
      <left/>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bottom/>
      <diagonal/>
    </border>
    <border>
      <left style="double">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style="double">
        <color indexed="64"/>
      </top>
      <bottom style="thin">
        <color indexed="64"/>
      </bottom>
      <diagonal/>
    </border>
    <border>
      <left style="medium">
        <color indexed="64"/>
      </left>
      <right style="double">
        <color indexed="64"/>
      </right>
      <top style="thin">
        <color indexed="64"/>
      </top>
      <bottom style="double">
        <color indexed="64"/>
      </bottom>
      <diagonal/>
    </border>
    <border>
      <left style="medium">
        <color indexed="64"/>
      </left>
      <right style="double">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style="thin">
        <color indexed="64"/>
      </right>
      <top/>
      <bottom/>
      <diagonal/>
    </border>
    <border>
      <left/>
      <right/>
      <top/>
      <bottom style="medium">
        <color indexed="64"/>
      </bottom>
      <diagonal/>
    </border>
    <border>
      <left style="thin">
        <color indexed="64"/>
      </left>
      <right/>
      <top/>
      <bottom style="medium">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10"/>
      </bottom>
      <diagonal/>
    </border>
    <border>
      <left style="thick">
        <color indexed="10"/>
      </left>
      <right/>
      <top/>
      <bottom/>
      <diagonal/>
    </border>
    <border>
      <left/>
      <right style="thick">
        <color indexed="10"/>
      </right>
      <top/>
      <bottom/>
      <diagonal/>
    </border>
    <border>
      <left style="thick">
        <color indexed="10"/>
      </left>
      <right/>
      <top/>
      <bottom style="thin">
        <color indexed="64"/>
      </bottom>
      <diagonal/>
    </border>
    <border>
      <left/>
      <right style="thick">
        <color indexed="10"/>
      </right>
      <top/>
      <bottom style="thin">
        <color indexed="64"/>
      </bottom>
      <diagonal/>
    </border>
    <border>
      <left/>
      <right style="thick">
        <color indexed="10"/>
      </right>
      <top/>
      <bottom style="thick">
        <color indexed="10"/>
      </bottom>
      <diagonal/>
    </border>
    <border>
      <left style="thick">
        <color indexed="10"/>
      </left>
      <right/>
      <top/>
      <bottom style="thick">
        <color indexed="10"/>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hair">
        <color indexed="64"/>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style="dashed">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dashed">
        <color indexed="64"/>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double">
        <color indexed="64"/>
      </left>
      <right style="double">
        <color indexed="64"/>
      </right>
      <top style="double">
        <color indexed="64"/>
      </top>
      <bottom/>
      <diagonal/>
    </border>
    <border>
      <left style="double">
        <color indexed="64"/>
      </left>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double">
        <color indexed="64"/>
      </bottom>
      <diagonal/>
    </border>
    <border>
      <left/>
      <right/>
      <top/>
      <bottom style="double">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style="hair">
        <color indexed="64"/>
      </right>
      <top style="thin">
        <color indexed="64"/>
      </top>
      <bottom style="thin">
        <color indexed="64"/>
      </bottom>
      <diagonal/>
    </border>
    <border>
      <left/>
      <right/>
      <top/>
      <bottom style="mediumDashDotDot">
        <color auto="1"/>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right/>
      <top/>
      <bottom style="dashed">
        <color indexed="64"/>
      </bottom>
      <diagonal/>
    </border>
    <border>
      <left/>
      <right/>
      <top style="dashed">
        <color indexed="64"/>
      </top>
      <bottom style="dash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bottom style="dotted">
        <color indexed="64"/>
      </bottom>
      <diagonal/>
    </border>
    <border>
      <left/>
      <right/>
      <top style="dotted">
        <color indexed="64"/>
      </top>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n">
        <color theme="1"/>
      </left>
      <right/>
      <top/>
      <bottom style="thin">
        <color theme="1"/>
      </bottom>
      <diagonal/>
    </border>
    <border>
      <left/>
      <right/>
      <top/>
      <bottom style="thin">
        <color theme="1"/>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thick">
        <color indexed="10"/>
      </right>
      <top/>
      <bottom style="thick">
        <color rgb="FFFF0000"/>
      </bottom>
      <diagonal/>
    </border>
    <border>
      <left style="thick">
        <color indexed="10"/>
      </left>
      <right/>
      <top/>
      <bottom style="thick">
        <color rgb="FFFF0000"/>
      </bottom>
      <diagonal/>
    </border>
    <border>
      <left/>
      <right style="thick">
        <color rgb="FFFF0000"/>
      </right>
      <top/>
      <bottom style="thick">
        <color indexed="10"/>
      </bottom>
      <diagonal/>
    </border>
    <border>
      <left/>
      <right style="thick">
        <color rgb="FFFF0000"/>
      </right>
      <top style="thick">
        <color indexed="10"/>
      </top>
      <bottom/>
      <diagonal/>
    </border>
    <border>
      <left/>
      <right/>
      <top style="thick">
        <color rgb="FFFF0000"/>
      </top>
      <bottom/>
      <diagonal/>
    </border>
    <border>
      <left style="thick">
        <color indexed="10"/>
      </left>
      <right/>
      <top style="thick">
        <color rgb="FFFF0000"/>
      </top>
      <bottom/>
      <diagonal/>
    </border>
    <border>
      <left/>
      <right style="thick">
        <color indexed="10"/>
      </right>
      <top style="thick">
        <color rgb="FFFF0000"/>
      </top>
      <bottom/>
      <diagonal/>
    </border>
    <border>
      <left style="thin">
        <color indexed="64"/>
      </left>
      <right style="thin">
        <color indexed="64"/>
      </right>
      <top/>
      <bottom style="medium">
        <color indexed="64"/>
      </bottom>
      <diagonal/>
    </border>
    <border>
      <left/>
      <right/>
      <top style="mediumDashDotDot">
        <color auto="1"/>
      </top>
      <bottom/>
      <diagonal/>
    </border>
  </borders>
  <cellStyleXfs count="5">
    <xf numFmtId="0" fontId="0" fillId="0" borderId="0">
      <alignment vertical="center"/>
    </xf>
    <xf numFmtId="0" fontId="1" fillId="0" borderId="0"/>
    <xf numFmtId="0" fontId="4" fillId="0" borderId="0">
      <alignment vertical="center"/>
    </xf>
    <xf numFmtId="0" fontId="1" fillId="0" borderId="0"/>
    <xf numFmtId="0" fontId="1" fillId="0" borderId="0"/>
  </cellStyleXfs>
  <cellXfs count="1426">
    <xf numFmtId="0" fontId="0" fillId="0" borderId="0" xfId="0">
      <alignment vertical="center"/>
    </xf>
    <xf numFmtId="0" fontId="0" fillId="0" borderId="0" xfId="0" applyAlignment="1">
      <alignment horizontal="right" vertical="center"/>
    </xf>
    <xf numFmtId="0" fontId="0" fillId="0" borderId="58" xfId="0" applyBorder="1" applyAlignment="1">
      <alignment horizontal="center" vertical="center"/>
    </xf>
    <xf numFmtId="0" fontId="3" fillId="0" borderId="0" xfId="0" applyFont="1">
      <alignment vertical="center"/>
    </xf>
    <xf numFmtId="0" fontId="8" fillId="0" borderId="0" xfId="0" applyFont="1" applyAlignment="1">
      <alignment horizontal="right" vertical="center"/>
    </xf>
    <xf numFmtId="0" fontId="0" fillId="0" borderId="72" xfId="0" applyBorder="1" applyAlignment="1">
      <alignment horizontal="left" vertical="center"/>
    </xf>
    <xf numFmtId="0" fontId="0" fillId="0" borderId="5" xfId="0" applyBorder="1" applyAlignment="1">
      <alignment horizontal="center" vertical="center"/>
    </xf>
    <xf numFmtId="0" fontId="7" fillId="0" borderId="77" xfId="0" applyFont="1" applyBorder="1" applyAlignment="1">
      <alignment vertical="top"/>
    </xf>
    <xf numFmtId="0" fontId="7" fillId="0" borderId="58" xfId="0" applyFont="1" applyBorder="1" applyAlignment="1">
      <alignment vertical="top"/>
    </xf>
    <xf numFmtId="0" fontId="0" fillId="0" borderId="78" xfId="0" applyBorder="1">
      <alignment vertical="center"/>
    </xf>
    <xf numFmtId="0" fontId="0" fillId="0" borderId="78" xfId="0" applyBorder="1" applyAlignment="1">
      <alignment horizontal="center" vertical="center"/>
    </xf>
    <xf numFmtId="0" fontId="0" fillId="0" borderId="79" xfId="0" applyBorder="1">
      <alignment vertical="center"/>
    </xf>
    <xf numFmtId="0" fontId="0" fillId="0" borderId="79" xfId="0" applyBorder="1" applyAlignment="1">
      <alignment horizontal="center" vertical="center"/>
    </xf>
    <xf numFmtId="0" fontId="0" fillId="0" borderId="26" xfId="0" applyBorder="1" applyAlignment="1">
      <alignment horizontal="center" vertical="center"/>
    </xf>
    <xf numFmtId="0" fontId="0" fillId="0" borderId="26" xfId="0" applyBorder="1">
      <alignment vertical="center"/>
    </xf>
    <xf numFmtId="0" fontId="0" fillId="0" borderId="47" xfId="0" applyBorder="1" applyAlignment="1">
      <alignment horizontal="right" vertical="center"/>
    </xf>
    <xf numFmtId="0" fontId="0" fillId="0" borderId="16" xfId="0" applyBorder="1">
      <alignment vertical="center"/>
    </xf>
    <xf numFmtId="0" fontId="0" fillId="0" borderId="80" xfId="0" applyBorder="1">
      <alignment vertical="center"/>
    </xf>
    <xf numFmtId="0" fontId="0" fillId="0" borderId="12" xfId="0" applyBorder="1" applyAlignment="1">
      <alignment horizontal="right" vertical="center"/>
    </xf>
    <xf numFmtId="0" fontId="0" fillId="0" borderId="81" xfId="0" applyBorder="1">
      <alignment vertical="center"/>
    </xf>
    <xf numFmtId="0" fontId="7" fillId="0" borderId="0" xfId="0" applyFont="1">
      <alignment vertical="center"/>
    </xf>
    <xf numFmtId="0" fontId="0" fillId="0" borderId="0" xfId="0" applyAlignment="1"/>
    <xf numFmtId="0" fontId="0" fillId="0" borderId="94" xfId="0" applyBorder="1">
      <alignment vertical="center"/>
    </xf>
    <xf numFmtId="0" fontId="0" fillId="0" borderId="95" xfId="0" applyBorder="1">
      <alignment vertical="center"/>
    </xf>
    <xf numFmtId="0" fontId="0" fillId="0" borderId="94" xfId="0" applyBorder="1" applyAlignment="1"/>
    <xf numFmtId="0" fontId="0" fillId="0" borderId="96" xfId="0" applyBorder="1">
      <alignment vertical="center"/>
    </xf>
    <xf numFmtId="0" fontId="0" fillId="0" borderId="13" xfId="0" applyBorder="1">
      <alignment vertical="center"/>
    </xf>
    <xf numFmtId="0" fontId="0" fillId="0" borderId="96" xfId="0" applyBorder="1" applyAlignment="1"/>
    <xf numFmtId="0" fontId="0" fillId="0" borderId="97" xfId="0" applyBorder="1">
      <alignment vertical="center"/>
    </xf>
    <xf numFmtId="0" fontId="0" fillId="0" borderId="98" xfId="0" applyBorder="1">
      <alignment vertical="center"/>
    </xf>
    <xf numFmtId="0" fontId="0" fillId="0" borderId="97" xfId="0" applyBorder="1" applyAlignment="1"/>
    <xf numFmtId="0" fontId="9" fillId="0" borderId="0" xfId="0" applyFont="1" applyAlignment="1">
      <alignment vertical="center" shrinkToFit="1"/>
    </xf>
    <xf numFmtId="0" fontId="19" fillId="5" borderId="0" xfId="0" applyFont="1" applyFill="1" applyAlignment="1"/>
    <xf numFmtId="0" fontId="20" fillId="3" borderId="0" xfId="0" applyFont="1" applyFill="1" applyAlignment="1"/>
    <xf numFmtId="0" fontId="21" fillId="3" borderId="0" xfId="0" applyFont="1" applyFill="1">
      <alignment vertical="center"/>
    </xf>
    <xf numFmtId="0" fontId="22" fillId="3" borderId="0" xfId="0" applyFont="1" applyFill="1" applyAlignment="1"/>
    <xf numFmtId="0" fontId="24" fillId="6" borderId="0" xfId="0" applyFont="1" applyFill="1" applyAlignment="1">
      <alignment vertical="center" shrinkToFit="1"/>
    </xf>
    <xf numFmtId="0" fontId="20" fillId="2" borderId="57" xfId="0" applyFont="1" applyFill="1" applyBorder="1" applyAlignment="1" applyProtection="1">
      <alignment horizontal="center" vertical="center" shrinkToFit="1"/>
      <protection locked="0"/>
    </xf>
    <xf numFmtId="0" fontId="22" fillId="3" borderId="0" xfId="0" applyFont="1" applyFill="1" applyAlignment="1">
      <alignment vertical="center" shrinkToFit="1"/>
    </xf>
    <xf numFmtId="0" fontId="20" fillId="2" borderId="57" xfId="0" applyFont="1" applyFill="1" applyBorder="1" applyAlignment="1">
      <alignment horizontal="center" vertical="center" shrinkToFit="1"/>
    </xf>
    <xf numFmtId="0" fontId="24" fillId="6" borderId="0" xfId="0" applyFont="1" applyFill="1" applyAlignment="1">
      <alignment horizontal="center" vertical="center" shrinkToFit="1"/>
    </xf>
    <xf numFmtId="0" fontId="24" fillId="6" borderId="0" xfId="0" applyFont="1" applyFill="1" applyAlignment="1">
      <alignment horizontal="center" vertical="center" wrapText="1"/>
    </xf>
    <xf numFmtId="0" fontId="20" fillId="3" borderId="0" xfId="0" applyFont="1" applyFill="1">
      <alignment vertical="center"/>
    </xf>
    <xf numFmtId="0" fontId="22" fillId="0" borderId="57" xfId="0" applyFont="1" applyBorder="1" applyAlignment="1">
      <alignment horizontal="center" vertical="center" shrinkToFit="1"/>
    </xf>
    <xf numFmtId="0" fontId="20" fillId="2" borderId="57" xfId="0" applyFont="1" applyFill="1" applyBorder="1" applyAlignment="1" applyProtection="1">
      <alignment vertical="center" shrinkToFit="1"/>
      <protection locked="0"/>
    </xf>
    <xf numFmtId="0" fontId="20" fillId="3" borderId="0" xfId="0" applyFont="1" applyFill="1" applyAlignment="1">
      <alignment vertical="center" shrinkToFit="1"/>
    </xf>
    <xf numFmtId="49" fontId="20" fillId="2" borderId="57" xfId="0" applyNumberFormat="1" applyFont="1" applyFill="1" applyBorder="1" applyAlignment="1" applyProtection="1">
      <alignment horizontal="center" vertical="center" shrinkToFit="1"/>
      <protection locked="0"/>
    </xf>
    <xf numFmtId="0" fontId="22" fillId="3" borderId="0" xfId="0" applyFont="1" applyFill="1" applyAlignment="1">
      <alignment horizontal="center" vertical="center" shrinkToFit="1"/>
    </xf>
    <xf numFmtId="0" fontId="20" fillId="3" borderId="0" xfId="0" applyFont="1" applyFill="1" applyAlignment="1">
      <alignment horizontal="center" vertical="center" shrinkToFit="1"/>
    </xf>
    <xf numFmtId="0" fontId="22" fillId="3" borderId="125" xfId="0" applyFont="1" applyFill="1" applyBorder="1" applyAlignment="1">
      <alignment vertical="center" wrapText="1" shrinkToFit="1"/>
    </xf>
    <xf numFmtId="0" fontId="22" fillId="3" borderId="0" xfId="0" applyFont="1" applyFill="1" applyAlignment="1">
      <alignment vertical="center" wrapText="1" shrinkToFit="1"/>
    </xf>
    <xf numFmtId="0" fontId="20" fillId="3" borderId="157" xfId="0" applyFont="1" applyFill="1" applyBorder="1" applyAlignment="1">
      <alignment vertical="center" shrinkToFit="1"/>
    </xf>
    <xf numFmtId="0" fontId="23" fillId="3" borderId="0" xfId="0" applyFont="1" applyFill="1" applyAlignment="1"/>
    <xf numFmtId="0" fontId="20" fillId="3" borderId="0" xfId="0" applyFont="1" applyFill="1" applyAlignment="1">
      <alignment horizontal="center"/>
    </xf>
    <xf numFmtId="0" fontId="26" fillId="3" borderId="0" xfId="0" applyFont="1" applyFill="1" applyAlignment="1"/>
    <xf numFmtId="0" fontId="22" fillId="3" borderId="0" xfId="0" applyFont="1" applyFill="1" applyAlignment="1">
      <alignment horizontal="center"/>
    </xf>
    <xf numFmtId="0" fontId="22" fillId="4" borderId="57" xfId="0" applyFont="1" applyFill="1" applyBorder="1" applyAlignment="1">
      <alignment horizontal="center" vertical="center" shrinkToFit="1"/>
    </xf>
    <xf numFmtId="0" fontId="20" fillId="4" borderId="57" xfId="0" applyFont="1" applyFill="1" applyBorder="1" applyAlignment="1" applyProtection="1">
      <alignment horizontal="center" vertical="center" shrinkToFit="1"/>
      <protection locked="0"/>
    </xf>
    <xf numFmtId="0" fontId="20" fillId="4" borderId="57" xfId="0" applyFont="1" applyFill="1" applyBorder="1" applyAlignment="1" applyProtection="1">
      <alignment vertical="center" shrinkToFit="1"/>
      <protection locked="0"/>
    </xf>
    <xf numFmtId="0" fontId="12" fillId="0" borderId="0" xfId="0" applyFont="1" applyAlignment="1">
      <alignment horizontal="center" vertical="center" shrinkToFit="1"/>
    </xf>
    <xf numFmtId="0" fontId="12" fillId="0" borderId="0" xfId="0" applyFont="1" applyAlignment="1">
      <alignment horizontal="right" vertical="center" shrinkToFit="1"/>
    </xf>
    <xf numFmtId="0" fontId="9" fillId="0" borderId="0" xfId="0" applyFont="1" applyAlignment="1">
      <alignment horizontal="center" vertical="center" shrinkToFit="1"/>
    </xf>
    <xf numFmtId="0" fontId="9" fillId="0" borderId="0" xfId="0" applyFont="1">
      <alignment vertical="center"/>
    </xf>
    <xf numFmtId="0" fontId="28" fillId="0" borderId="0" xfId="0" applyFont="1">
      <alignment vertical="center"/>
    </xf>
    <xf numFmtId="0" fontId="9" fillId="0" borderId="0" xfId="0" applyFont="1" applyAlignment="1">
      <alignment horizontal="right" vertical="center" shrinkToFit="1"/>
    </xf>
    <xf numFmtId="0" fontId="9" fillId="0" borderId="0" xfId="0" applyFont="1" applyAlignment="1">
      <alignment horizontal="left" vertical="center" shrinkToFit="1"/>
    </xf>
    <xf numFmtId="0" fontId="10" fillId="0" borderId="159" xfId="0" applyFont="1" applyBorder="1">
      <alignment vertical="center"/>
    </xf>
    <xf numFmtId="0" fontId="11" fillId="0" borderId="0" xfId="0" applyFont="1" applyAlignment="1">
      <alignment vertical="center" shrinkToFit="1"/>
    </xf>
    <xf numFmtId="0" fontId="11" fillId="0" borderId="0" xfId="0" applyFont="1">
      <alignment vertical="center"/>
    </xf>
    <xf numFmtId="0" fontId="11" fillId="0" borderId="0" xfId="0" applyFont="1" applyAlignment="1">
      <alignment horizontal="right" vertical="center" shrinkToFit="1"/>
    </xf>
    <xf numFmtId="0" fontId="11" fillId="0" borderId="0" xfId="0" applyFont="1" applyAlignment="1">
      <alignment horizontal="center" vertical="center" shrinkToFit="1"/>
    </xf>
    <xf numFmtId="0" fontId="11" fillId="0" borderId="0" xfId="0" applyFont="1" applyAlignment="1">
      <alignment horizontal="left" vertical="center" shrinkToFit="1"/>
    </xf>
    <xf numFmtId="0" fontId="9" fillId="0" borderId="5" xfId="0" applyFont="1" applyBorder="1">
      <alignment vertical="center"/>
    </xf>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9" fillId="0" borderId="16" xfId="0" applyFont="1" applyBorder="1" applyAlignment="1">
      <alignment horizontal="center" vertical="center" shrinkToFit="1"/>
    </xf>
    <xf numFmtId="0" fontId="9" fillId="0" borderId="0" xfId="0" applyFont="1" applyAlignment="1">
      <alignment horizontal="center" vertical="center"/>
    </xf>
    <xf numFmtId="0" fontId="9" fillId="0" borderId="12" xfId="0" applyFont="1" applyBorder="1" applyAlignment="1">
      <alignment vertical="center" shrinkToFit="1"/>
    </xf>
    <xf numFmtId="0" fontId="9" fillId="0" borderId="39" xfId="0" applyFont="1" applyBorder="1" applyAlignment="1">
      <alignment vertical="center" shrinkToFit="1"/>
    </xf>
    <xf numFmtId="0" fontId="9" fillId="0" borderId="14" xfId="0" applyFont="1" applyBorder="1" applyAlignment="1">
      <alignment vertical="center" shrinkToFit="1"/>
    </xf>
    <xf numFmtId="0" fontId="9" fillId="0" borderId="15" xfId="0" applyFont="1" applyBorder="1" applyAlignment="1">
      <alignment vertical="center" shrinkToFit="1"/>
    </xf>
    <xf numFmtId="0" fontId="9" fillId="0" borderId="15" xfId="0" applyFont="1" applyBorder="1" applyAlignment="1">
      <alignment horizontal="right" vertical="center" shrinkToFit="1"/>
    </xf>
    <xf numFmtId="0" fontId="9" fillId="0" borderId="15" xfId="0" applyFont="1" applyBorder="1" applyAlignment="1">
      <alignment horizontal="center" vertical="center" shrinkToFit="1"/>
    </xf>
    <xf numFmtId="0" fontId="9" fillId="0" borderId="15" xfId="0" applyFont="1" applyBorder="1" applyAlignment="1">
      <alignment horizontal="left" vertical="center" shrinkToFit="1"/>
    </xf>
    <xf numFmtId="0" fontId="9" fillId="0" borderId="21" xfId="0" applyFont="1" applyBorder="1" applyAlignment="1">
      <alignment vertical="center" shrinkToFit="1"/>
    </xf>
    <xf numFmtId="0" fontId="30" fillId="0" borderId="0" xfId="0" applyFont="1">
      <alignment vertical="center"/>
    </xf>
    <xf numFmtId="0" fontId="13" fillId="0" borderId="0" xfId="0" applyFont="1" applyAlignment="1">
      <alignment vertical="top"/>
    </xf>
    <xf numFmtId="0" fontId="9" fillId="0" borderId="0" xfId="0" applyFont="1" applyAlignment="1">
      <alignment horizontal="right" vertical="center"/>
    </xf>
    <xf numFmtId="0" fontId="30" fillId="0" borderId="0" xfId="0" applyFont="1" applyAlignment="1">
      <alignment vertical="center" shrinkToFit="1"/>
    </xf>
    <xf numFmtId="0" fontId="30" fillId="0" borderId="0" xfId="0" applyFont="1" applyAlignment="1">
      <alignment horizontal="right" vertical="center" shrinkToFit="1"/>
    </xf>
    <xf numFmtId="0" fontId="30" fillId="0" borderId="0" xfId="0" applyFont="1" applyAlignment="1">
      <alignment horizontal="center" vertical="center" shrinkToFit="1"/>
    </xf>
    <xf numFmtId="0" fontId="30" fillId="0" borderId="0" xfId="0" applyFont="1" applyAlignment="1">
      <alignment horizontal="left" vertical="center" shrinkToFit="1"/>
    </xf>
    <xf numFmtId="0" fontId="30"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center" vertical="top"/>
    </xf>
    <xf numFmtId="0" fontId="28" fillId="0" borderId="0" xfId="0" applyFont="1" applyAlignment="1">
      <alignment horizontal="left" vertical="center"/>
    </xf>
    <xf numFmtId="49" fontId="9" fillId="0" borderId="0" xfId="0" applyNumberFormat="1" applyFont="1">
      <alignment vertical="center"/>
    </xf>
    <xf numFmtId="0" fontId="9" fillId="0" borderId="0" xfId="0" applyFont="1" applyAlignment="1">
      <alignment horizontal="left" vertical="center"/>
    </xf>
    <xf numFmtId="0" fontId="10" fillId="0" borderId="160" xfId="0" applyFont="1" applyBorder="1">
      <alignment vertical="center"/>
    </xf>
    <xf numFmtId="0" fontId="9" fillId="0" borderId="81" xfId="0" applyFont="1" applyBorder="1" applyAlignment="1">
      <alignment horizontal="right" vertical="center"/>
    </xf>
    <xf numFmtId="0" fontId="9" fillId="3" borderId="57" xfId="0" applyFont="1" applyFill="1" applyBorder="1" applyAlignment="1">
      <alignment horizontal="center" vertical="center"/>
    </xf>
    <xf numFmtId="0" fontId="9" fillId="0" borderId="0" xfId="0" applyFont="1" applyAlignment="1">
      <alignment horizontal="distributed" vertical="center"/>
    </xf>
    <xf numFmtId="0" fontId="31" fillId="0" borderId="0" xfId="0" applyFont="1" applyAlignment="1">
      <alignment horizontal="center" vertical="center"/>
    </xf>
    <xf numFmtId="0" fontId="9" fillId="0" borderId="0" xfId="0" applyFont="1" applyAlignment="1">
      <alignment horizontal="distributed" vertical="center" shrinkToFit="1"/>
    </xf>
    <xf numFmtId="0" fontId="9" fillId="0" borderId="0" xfId="0" applyFont="1" applyAlignment="1" applyProtection="1">
      <alignment horizontal="center" vertical="center"/>
      <protection hidden="1"/>
    </xf>
    <xf numFmtId="0" fontId="9" fillId="0" borderId="0" xfId="0" applyFont="1" applyAlignment="1" applyProtection="1">
      <alignment horizontal="center" vertical="center" shrinkToFit="1"/>
      <protection hidden="1"/>
    </xf>
    <xf numFmtId="0" fontId="9" fillId="0" borderId="0" xfId="0" applyFont="1" applyProtection="1">
      <alignment vertical="center"/>
      <protection hidden="1"/>
    </xf>
    <xf numFmtId="0" fontId="30" fillId="0" borderId="0" xfId="0" applyFont="1" applyAlignment="1" applyProtection="1">
      <alignment horizontal="center" vertical="center"/>
      <protection hidden="1"/>
    </xf>
    <xf numFmtId="0" fontId="9" fillId="0" borderId="0" xfId="0" applyFont="1" applyAlignment="1">
      <alignment horizontal="right" shrinkToFit="1"/>
    </xf>
    <xf numFmtId="0" fontId="9" fillId="0" borderId="0" xfId="0" applyFont="1" applyAlignment="1">
      <alignment horizontal="left" shrinkToFit="1"/>
    </xf>
    <xf numFmtId="0" fontId="9" fillId="0" borderId="0" xfId="0" applyFont="1" applyAlignment="1" applyProtection="1">
      <alignment horizontal="center"/>
      <protection hidden="1"/>
    </xf>
    <xf numFmtId="0" fontId="9" fillId="0" borderId="0" xfId="0" applyFont="1" applyAlignment="1">
      <alignment horizontal="center" shrinkToFit="1"/>
    </xf>
    <xf numFmtId="0" fontId="9" fillId="0" borderId="0" xfId="0" applyFont="1" applyAlignment="1">
      <alignment horizontal="center"/>
    </xf>
    <xf numFmtId="0" fontId="32" fillId="0" borderId="0" xfId="0" applyFont="1" applyAlignment="1" applyProtection="1">
      <alignment horizontal="center" vertical="center"/>
      <protection hidden="1"/>
    </xf>
    <xf numFmtId="0" fontId="32" fillId="0" borderId="0" xfId="0" applyFont="1" applyAlignment="1">
      <alignment horizontal="center" vertical="center" shrinkToFit="1"/>
    </xf>
    <xf numFmtId="0" fontId="32" fillId="0" borderId="0" xfId="0" applyFont="1" applyAlignment="1">
      <alignment horizontal="center" vertical="center"/>
    </xf>
    <xf numFmtId="0" fontId="32" fillId="0" borderId="0" xfId="0" applyFont="1" applyAlignment="1">
      <alignment horizontal="right" vertical="center" shrinkToFit="1"/>
    </xf>
    <xf numFmtId="0" fontId="9" fillId="0" borderId="0" xfId="0" applyFont="1" applyAlignment="1">
      <alignment horizontal="right"/>
    </xf>
    <xf numFmtId="0" fontId="12" fillId="0" borderId="0" xfId="0" applyFont="1" applyAlignment="1">
      <alignment vertical="center" shrinkToFit="1"/>
    </xf>
    <xf numFmtId="0" fontId="10" fillId="0" borderId="0" xfId="0" applyFont="1" applyAlignment="1" applyProtection="1">
      <alignment horizontal="center" vertical="distributed" textRotation="255" indent="1" shrinkToFit="1"/>
      <protection hidden="1"/>
    </xf>
    <xf numFmtId="0" fontId="10" fillId="0" borderId="0" xfId="0" applyFont="1" applyAlignment="1" applyProtection="1">
      <alignment horizontal="center" vertical="distributed" textRotation="255" indent="1"/>
      <protection hidden="1"/>
    </xf>
    <xf numFmtId="0" fontId="10" fillId="0" borderId="12" xfId="0" applyFont="1" applyBorder="1" applyAlignment="1">
      <alignment vertical="distributed" textRotation="255" indent="1"/>
    </xf>
    <xf numFmtId="0" fontId="10" fillId="0" borderId="0" xfId="0" applyFont="1" applyAlignment="1">
      <alignment horizontal="center" vertical="distributed" textRotation="255" indent="1"/>
    </xf>
    <xf numFmtId="0" fontId="10" fillId="0" borderId="0" xfId="0" applyFont="1" applyAlignment="1">
      <alignment horizontal="right" vertical="distributed" textRotation="255" indent="1"/>
    </xf>
    <xf numFmtId="0" fontId="11" fillId="0" borderId="0" xfId="0" applyFont="1" applyAlignment="1">
      <alignment horizontal="distributed" vertical="top" indent="2"/>
    </xf>
    <xf numFmtId="0" fontId="11" fillId="0" borderId="0" xfId="0" applyFont="1" applyAlignment="1" applyProtection="1">
      <alignment horizontal="distributed" vertical="top" indent="2" shrinkToFit="1"/>
      <protection hidden="1"/>
    </xf>
    <xf numFmtId="0" fontId="9" fillId="0" borderId="0" xfId="0" applyFont="1" applyAlignment="1" applyProtection="1">
      <alignment horizontal="left" vertical="center" shrinkToFit="1"/>
      <protection hidden="1"/>
    </xf>
    <xf numFmtId="0" fontId="9" fillId="0" borderId="0" xfId="0" applyFont="1" applyAlignment="1" applyProtection="1">
      <alignment horizontal="right" vertical="center" shrinkToFit="1"/>
      <protection hidden="1"/>
    </xf>
    <xf numFmtId="0" fontId="9" fillId="0" borderId="0" xfId="0" applyFont="1" applyAlignment="1" applyProtection="1">
      <alignment horizontal="center" vertical="top" textRotation="255" shrinkToFit="1"/>
      <protection hidden="1"/>
    </xf>
    <xf numFmtId="0" fontId="9" fillId="0" borderId="0" xfId="0" applyFont="1" applyAlignment="1" applyProtection="1">
      <alignment horizontal="right" vertical="center" shrinkToFit="1"/>
      <protection locked="0"/>
    </xf>
    <xf numFmtId="0" fontId="9" fillId="0" borderId="0" xfId="0" applyFont="1" applyAlignment="1" applyProtection="1">
      <alignment horizontal="left" vertical="center" shrinkToFit="1"/>
      <protection locked="0"/>
    </xf>
    <xf numFmtId="0" fontId="9" fillId="0" borderId="0" xfId="0" applyFont="1" applyAlignment="1" applyProtection="1">
      <alignment vertical="center" shrinkToFit="1"/>
      <protection locked="0"/>
    </xf>
    <xf numFmtId="0" fontId="9" fillId="0" borderId="0" xfId="0" applyFont="1" applyAlignment="1" applyProtection="1">
      <alignment horizontal="right" shrinkToFit="1"/>
      <protection locked="0"/>
    </xf>
    <xf numFmtId="0" fontId="9" fillId="0" borderId="0" xfId="0" applyFont="1" applyAlignment="1" applyProtection="1">
      <alignment horizontal="center" shrinkToFit="1"/>
      <protection hidden="1"/>
    </xf>
    <xf numFmtId="0" fontId="9" fillId="0" borderId="0" xfId="0" applyFont="1" applyAlignment="1" applyProtection="1">
      <alignment horizontal="left" shrinkToFit="1"/>
      <protection locked="0"/>
    </xf>
    <xf numFmtId="0" fontId="9" fillId="0" borderId="0" xfId="0" applyFont="1" applyAlignment="1" applyProtection="1">
      <alignment shrinkToFit="1"/>
      <protection locked="0"/>
    </xf>
    <xf numFmtId="0" fontId="32" fillId="0" borderId="0" xfId="0" applyFont="1" applyAlignment="1" applyProtection="1">
      <alignment horizontal="right" vertical="center" shrinkToFit="1"/>
      <protection locked="0"/>
    </xf>
    <xf numFmtId="0" fontId="32" fillId="0" borderId="0" xfId="0" applyFont="1" applyAlignment="1" applyProtection="1">
      <alignment horizontal="center" vertical="center" shrinkToFit="1"/>
      <protection hidden="1"/>
    </xf>
    <xf numFmtId="0" fontId="32" fillId="0" borderId="0" xfId="0" applyFont="1" applyAlignment="1" applyProtection="1">
      <alignment horizontal="left" vertical="center" shrinkToFit="1"/>
      <protection locked="0"/>
    </xf>
    <xf numFmtId="0" fontId="32" fillId="0" borderId="0" xfId="0" applyFont="1" applyAlignment="1" applyProtection="1">
      <alignment vertical="center" shrinkToFit="1"/>
      <protection locked="0"/>
    </xf>
    <xf numFmtId="0" fontId="11" fillId="0" borderId="0" xfId="0" applyFont="1" applyAlignment="1">
      <alignment horizontal="center" vertical="top" textRotation="255" indent="1" shrinkToFit="1"/>
    </xf>
    <xf numFmtId="0" fontId="11" fillId="0" borderId="0" xfId="0" applyFont="1" applyAlignment="1" applyProtection="1">
      <alignment horizontal="center" vertical="top" textRotation="255" indent="1" shrinkToFit="1"/>
      <protection hidden="1"/>
    </xf>
    <xf numFmtId="0" fontId="9" fillId="7" borderId="0" xfId="0" applyFont="1" applyFill="1" applyAlignment="1">
      <alignment horizontal="right" vertical="center"/>
    </xf>
    <xf numFmtId="0" fontId="9" fillId="7" borderId="0" xfId="0" applyFont="1" applyFill="1" applyAlignment="1">
      <alignment horizontal="right" vertical="center" shrinkToFit="1"/>
    </xf>
    <xf numFmtId="0" fontId="9" fillId="7" borderId="0" xfId="0" applyFont="1" applyFill="1" applyAlignment="1">
      <alignment horizontal="left" vertical="center"/>
    </xf>
    <xf numFmtId="0" fontId="30" fillId="7" borderId="0" xfId="0" applyFont="1" applyFill="1" applyAlignment="1">
      <alignment horizontal="right" vertical="center" shrinkToFit="1"/>
    </xf>
    <xf numFmtId="20" fontId="9" fillId="7" borderId="0" xfId="0" applyNumberFormat="1" applyFont="1" applyFill="1" applyAlignment="1">
      <alignment horizontal="right" vertical="center"/>
    </xf>
    <xf numFmtId="56" fontId="9" fillId="0" borderId="0" xfId="0" applyNumberFormat="1" applyFont="1" applyAlignment="1" applyProtection="1">
      <alignment horizontal="center" vertical="center"/>
      <protection hidden="1"/>
    </xf>
    <xf numFmtId="0" fontId="9" fillId="0" borderId="0" xfId="0" applyFont="1" applyAlignment="1" applyProtection="1">
      <alignment horizontal="right" vertical="center"/>
      <protection hidden="1"/>
    </xf>
    <xf numFmtId="20" fontId="9" fillId="7" borderId="0" xfId="0" applyNumberFormat="1" applyFont="1" applyFill="1" applyAlignment="1">
      <alignment horizontal="right" vertical="center" shrinkToFit="1"/>
    </xf>
    <xf numFmtId="0" fontId="9" fillId="0" borderId="47" xfId="0" applyFont="1" applyBorder="1" applyAlignment="1">
      <alignment horizontal="center" vertical="center" shrinkToFit="1"/>
    </xf>
    <xf numFmtId="0" fontId="9" fillId="0" borderId="48" xfId="0" applyFont="1" applyBorder="1" applyAlignment="1">
      <alignment horizontal="center" vertical="center" shrinkToFit="1"/>
    </xf>
    <xf numFmtId="0" fontId="9" fillId="0" borderId="170" xfId="0" applyFont="1" applyBorder="1" applyAlignment="1" applyProtection="1">
      <alignment horizontal="center" vertical="center"/>
      <protection hidden="1"/>
    </xf>
    <xf numFmtId="0" fontId="9" fillId="0" borderId="170" xfId="0" applyFont="1" applyBorder="1" applyAlignment="1">
      <alignment horizontal="center" vertical="center"/>
    </xf>
    <xf numFmtId="0" fontId="30" fillId="0" borderId="12" xfId="0" applyFont="1" applyBorder="1" applyAlignment="1">
      <alignment horizontal="center" vertical="center" shrinkToFit="1"/>
    </xf>
    <xf numFmtId="0" fontId="30" fillId="0" borderId="39" xfId="0" applyFont="1" applyBorder="1" applyAlignment="1">
      <alignment horizontal="center" vertical="center" shrinkToFit="1"/>
    </xf>
    <xf numFmtId="56" fontId="9" fillId="0" borderId="0" xfId="0" applyNumberFormat="1" applyFont="1" applyAlignment="1" applyProtection="1">
      <alignment horizontal="center"/>
      <protection hidden="1"/>
    </xf>
    <xf numFmtId="0" fontId="9" fillId="7" borderId="0" xfId="0" applyFont="1" applyFill="1" applyAlignment="1">
      <alignment horizontal="right" shrinkToFit="1"/>
    </xf>
    <xf numFmtId="0" fontId="30" fillId="7" borderId="0" xfId="0" applyFont="1" applyFill="1" applyAlignment="1">
      <alignment horizontal="right" vertical="center"/>
    </xf>
    <xf numFmtId="0" fontId="9" fillId="0" borderId="0" xfId="0" applyFont="1" applyAlignment="1">
      <alignment textRotation="255" shrinkToFit="1"/>
    </xf>
    <xf numFmtId="0" fontId="9" fillId="0" borderId="0" xfId="0" applyFont="1" applyAlignment="1">
      <alignment vertical="top" textRotation="255" shrinkToFit="1"/>
    </xf>
    <xf numFmtId="0" fontId="9" fillId="7" borderId="0" xfId="0" applyFont="1" applyFill="1" applyAlignment="1">
      <alignment horizontal="right"/>
    </xf>
    <xf numFmtId="180" fontId="9" fillId="0" borderId="0" xfId="0" applyNumberFormat="1" applyFont="1" applyAlignment="1">
      <alignment vertical="top" textRotation="255" shrinkToFit="1"/>
    </xf>
    <xf numFmtId="180" fontId="9" fillId="0" borderId="0" xfId="0" applyNumberFormat="1" applyFont="1" applyAlignment="1">
      <alignment horizontal="right" vertical="center" shrinkToFit="1"/>
    </xf>
    <xf numFmtId="180" fontId="9" fillId="7" borderId="0" xfId="0" applyNumberFormat="1" applyFont="1" applyFill="1" applyAlignment="1">
      <alignment horizontal="right" vertical="center"/>
    </xf>
    <xf numFmtId="180" fontId="14" fillId="0" borderId="0" xfId="0" applyNumberFormat="1" applyFont="1" applyAlignment="1" applyProtection="1">
      <alignment horizontal="center" vertical="center"/>
      <protection hidden="1"/>
    </xf>
    <xf numFmtId="180" fontId="14" fillId="0" borderId="0" xfId="0" applyNumberFormat="1" applyFont="1" applyAlignment="1">
      <alignment horizontal="right" vertical="center" shrinkToFit="1"/>
    </xf>
    <xf numFmtId="180" fontId="14" fillId="7" borderId="0" xfId="0" applyNumberFormat="1" applyFont="1" applyFill="1" applyAlignment="1">
      <alignment horizontal="right" vertical="center" shrinkToFit="1"/>
    </xf>
    <xf numFmtId="0" fontId="12" fillId="7" borderId="0" xfId="0" applyFont="1" applyFill="1" applyAlignment="1">
      <alignment horizontal="right" vertical="center" shrinkToFit="1"/>
    </xf>
    <xf numFmtId="0" fontId="9" fillId="0" borderId="0" xfId="0" applyFont="1" applyAlignment="1">
      <alignment horizontal="center" vertical="distributed" textRotation="255" indent="1"/>
    </xf>
    <xf numFmtId="0" fontId="9" fillId="0" borderId="0" xfId="0" applyFont="1" applyAlignment="1" applyProtection="1">
      <alignment horizontal="center" vertical="distributed" textRotation="255" indent="1" shrinkToFit="1"/>
      <protection hidden="1"/>
    </xf>
    <xf numFmtId="0" fontId="9" fillId="0" borderId="0" xfId="0" applyFont="1" applyAlignment="1" applyProtection="1">
      <alignment horizontal="center" vertical="distributed" textRotation="255" indent="1"/>
      <protection hidden="1"/>
    </xf>
    <xf numFmtId="0" fontId="9" fillId="0" borderId="12" xfId="0" applyFont="1" applyBorder="1" applyAlignment="1">
      <alignment vertical="distributed" textRotation="255" indent="1"/>
    </xf>
    <xf numFmtId="0" fontId="9" fillId="0" borderId="0" xfId="0" applyFont="1" applyAlignment="1">
      <alignment horizontal="right" vertical="distributed" textRotation="255" indent="1"/>
    </xf>
    <xf numFmtId="0" fontId="15" fillId="0" borderId="0" xfId="0" applyFont="1" applyAlignment="1">
      <alignment horizontal="center" vertical="distributed" textRotation="255" indent="1"/>
    </xf>
    <xf numFmtId="0" fontId="9" fillId="7" borderId="0" xfId="0" applyFont="1" applyFill="1" applyAlignment="1">
      <alignment horizontal="center" vertical="center"/>
    </xf>
    <xf numFmtId="0" fontId="9" fillId="0" borderId="0" xfId="0" applyFont="1" applyAlignment="1">
      <alignment horizontal="distributed" vertical="top"/>
    </xf>
    <xf numFmtId="0" fontId="9" fillId="0" borderId="0" xfId="0" applyFont="1" applyAlignment="1" applyProtection="1">
      <alignment horizontal="distributed" vertical="top" shrinkToFit="1"/>
      <protection hidden="1"/>
    </xf>
    <xf numFmtId="0" fontId="9" fillId="7" borderId="0" xfId="0" applyFont="1" applyFill="1" applyAlignment="1">
      <alignment horizontal="right" vertical="top"/>
    </xf>
    <xf numFmtId="0" fontId="9" fillId="0" borderId="47" xfId="0" applyFont="1" applyBorder="1" applyAlignment="1" applyProtection="1">
      <alignment horizontal="right" vertical="center" shrinkToFit="1"/>
      <protection locked="0"/>
    </xf>
    <xf numFmtId="0" fontId="9" fillId="0" borderId="16" xfId="0" applyFont="1" applyBorder="1" applyAlignment="1" applyProtection="1">
      <alignment horizontal="right" vertical="center" shrinkToFit="1"/>
      <protection locked="0"/>
    </xf>
    <xf numFmtId="56" fontId="9" fillId="0" borderId="0" xfId="0" applyNumberFormat="1" applyFont="1" applyAlignment="1">
      <alignment horizontal="center" vertical="center" shrinkToFit="1"/>
    </xf>
    <xf numFmtId="56" fontId="9" fillId="0" borderId="0" xfId="0" applyNumberFormat="1" applyFont="1" applyAlignment="1">
      <alignment horizontal="right" vertical="center" shrinkToFit="1"/>
    </xf>
    <xf numFmtId="0" fontId="9" fillId="0" borderId="12" xfId="0" applyFont="1" applyBorder="1" applyAlignment="1" applyProtection="1">
      <alignment horizontal="right" vertical="center" shrinkToFit="1"/>
      <protection locked="0"/>
    </xf>
    <xf numFmtId="0" fontId="9" fillId="0" borderId="171" xfId="0" applyFont="1" applyBorder="1" applyAlignment="1">
      <alignment horizontal="center" vertical="center" shrinkToFit="1"/>
    </xf>
    <xf numFmtId="0" fontId="9" fillId="0" borderId="171" xfId="0" applyFont="1" applyBorder="1" applyAlignment="1" applyProtection="1">
      <alignment horizontal="left" vertical="center" shrinkToFit="1"/>
      <protection locked="0"/>
    </xf>
    <xf numFmtId="0" fontId="9" fillId="0" borderId="171" xfId="0" applyFont="1" applyBorder="1" applyAlignment="1" applyProtection="1">
      <alignment horizontal="right" vertical="center" shrinkToFit="1"/>
      <protection locked="0"/>
    </xf>
    <xf numFmtId="0" fontId="9" fillId="0" borderId="171" xfId="0" applyFont="1" applyBorder="1" applyAlignment="1" applyProtection="1">
      <alignment horizontal="center" vertical="center" shrinkToFit="1"/>
      <protection hidden="1"/>
    </xf>
    <xf numFmtId="0" fontId="9" fillId="0" borderId="171" xfId="0" applyFont="1" applyBorder="1" applyAlignment="1" applyProtection="1">
      <alignment vertical="center" shrinkToFit="1"/>
      <protection locked="0"/>
    </xf>
    <xf numFmtId="0" fontId="9" fillId="0" borderId="0" xfId="0" applyFont="1" applyAlignment="1">
      <alignment horizontal="center" vertical="top" textRotation="255" indent="1" shrinkToFit="1"/>
    </xf>
    <xf numFmtId="0" fontId="9" fillId="7" borderId="0" xfId="0" applyFont="1" applyFill="1" applyAlignment="1">
      <alignment horizontal="right" vertical="top" textRotation="255" indent="1" shrinkToFit="1"/>
    </xf>
    <xf numFmtId="0" fontId="9" fillId="0" borderId="12" xfId="0" applyFont="1" applyBorder="1" applyAlignment="1">
      <alignment horizontal="center" vertical="center"/>
    </xf>
    <xf numFmtId="0" fontId="9" fillId="0" borderId="16" xfId="0" applyFont="1" applyBorder="1" applyAlignment="1">
      <alignment horizontal="center" vertical="center"/>
    </xf>
    <xf numFmtId="0" fontId="9" fillId="0" borderId="12" xfId="0" applyFont="1" applyBorder="1">
      <alignment vertical="center"/>
    </xf>
    <xf numFmtId="0" fontId="9" fillId="0" borderId="39" xfId="0" applyFont="1" applyBorder="1">
      <alignment vertical="center"/>
    </xf>
    <xf numFmtId="0" fontId="9" fillId="0" borderId="14" xfId="0" applyFont="1" applyBorder="1">
      <alignment vertical="center"/>
    </xf>
    <xf numFmtId="0" fontId="9" fillId="0" borderId="15" xfId="0" applyFont="1" applyBorder="1">
      <alignment vertical="center"/>
    </xf>
    <xf numFmtId="0" fontId="9" fillId="0" borderId="15" xfId="0" applyFont="1" applyBorder="1" applyAlignment="1">
      <alignment horizontal="center" vertical="center"/>
    </xf>
    <xf numFmtId="0" fontId="9" fillId="0" borderId="21" xfId="0" applyFont="1" applyBorder="1">
      <alignment vertical="center"/>
    </xf>
    <xf numFmtId="0" fontId="13" fillId="0" borderId="0" xfId="0" applyFont="1">
      <alignment vertical="center"/>
    </xf>
    <xf numFmtId="0" fontId="10" fillId="0" borderId="0" xfId="0" applyFont="1">
      <alignment vertical="center"/>
    </xf>
    <xf numFmtId="0" fontId="11" fillId="0" borderId="159" xfId="0" applyFont="1" applyBorder="1">
      <alignment vertical="center"/>
    </xf>
    <xf numFmtId="0" fontId="11" fillId="0" borderId="159" xfId="0" applyFont="1" applyBorder="1" applyAlignment="1">
      <alignment horizontal="right" vertical="center"/>
    </xf>
    <xf numFmtId="0" fontId="11" fillId="0" borderId="159" xfId="0" applyFont="1" applyBorder="1" applyAlignment="1">
      <alignment horizontal="center" vertical="center"/>
    </xf>
    <xf numFmtId="0" fontId="11" fillId="0" borderId="159" xfId="0" applyFont="1" applyBorder="1" applyAlignment="1">
      <alignment horizontal="left" vertical="center"/>
    </xf>
    <xf numFmtId="0" fontId="9" fillId="0" borderId="159" xfId="0" applyFont="1" applyBorder="1">
      <alignment vertical="center"/>
    </xf>
    <xf numFmtId="0" fontId="9" fillId="0" borderId="159" xfId="0" applyFont="1" applyBorder="1" applyAlignment="1">
      <alignment horizontal="right" vertical="center"/>
    </xf>
    <xf numFmtId="0" fontId="9" fillId="0" borderId="159" xfId="0" applyFont="1" applyBorder="1" applyAlignment="1">
      <alignment horizontal="center" vertical="center"/>
    </xf>
    <xf numFmtId="0" fontId="9" fillId="0" borderId="159" xfId="0" applyFont="1" applyBorder="1" applyAlignment="1">
      <alignment horizontal="left" vertical="center"/>
    </xf>
    <xf numFmtId="0" fontId="9" fillId="0" borderId="159" xfId="0" applyFont="1" applyBorder="1" applyAlignment="1">
      <alignment horizontal="left" vertical="center" shrinkToFit="1"/>
    </xf>
    <xf numFmtId="0" fontId="9" fillId="0" borderId="159" xfId="0" applyFont="1" applyBorder="1" applyAlignment="1">
      <alignment vertical="center" shrinkToFit="1"/>
    </xf>
    <xf numFmtId="0" fontId="11" fillId="0" borderId="159" xfId="0" applyFont="1" applyBorder="1" applyAlignment="1">
      <alignment vertical="center" shrinkToFit="1"/>
    </xf>
    <xf numFmtId="0" fontId="11" fillId="0" borderId="159" xfId="0" applyFont="1" applyBorder="1" applyAlignment="1">
      <alignment horizontal="right" vertical="center" shrinkToFit="1"/>
    </xf>
    <xf numFmtId="0" fontId="11" fillId="0" borderId="159" xfId="0" applyFont="1" applyBorder="1" applyAlignment="1">
      <alignment horizontal="center" vertical="center" shrinkToFit="1"/>
    </xf>
    <xf numFmtId="0" fontId="11" fillId="0" borderId="159" xfId="0" applyFont="1" applyBorder="1" applyAlignment="1">
      <alignment horizontal="left" vertical="center" shrinkToFit="1"/>
    </xf>
    <xf numFmtId="0" fontId="9" fillId="0" borderId="0" xfId="0" applyFont="1" applyAlignment="1">
      <alignment horizontal="center" vertical="top"/>
    </xf>
    <xf numFmtId="0" fontId="9" fillId="0" borderId="51" xfId="0" applyFont="1" applyBorder="1" applyAlignment="1">
      <alignment horizontal="center" vertical="center" shrinkToFit="1"/>
    </xf>
    <xf numFmtId="0" fontId="9" fillId="0" borderId="50" xfId="0" applyFont="1" applyBorder="1" applyAlignment="1">
      <alignment horizontal="center" vertical="center" shrinkToFit="1"/>
    </xf>
    <xf numFmtId="0" fontId="9" fillId="0" borderId="16" xfId="0" applyFont="1" applyBorder="1" applyAlignment="1">
      <alignment horizontal="right" vertical="center" shrinkToFit="1"/>
    </xf>
    <xf numFmtId="0" fontId="9" fillId="0" borderId="16" xfId="0" applyFont="1" applyBorder="1" applyAlignment="1">
      <alignment horizontal="left" vertical="center" shrinkToFit="1"/>
    </xf>
    <xf numFmtId="0" fontId="9" fillId="0" borderId="16" xfId="0" applyFont="1" applyBorder="1" applyAlignment="1">
      <alignment horizontal="center" shrinkToFit="1"/>
    </xf>
    <xf numFmtId="0" fontId="9" fillId="0" borderId="12" xfId="0" applyFont="1" applyBorder="1" applyAlignment="1">
      <alignment horizontal="center" vertical="center" shrinkToFit="1"/>
    </xf>
    <xf numFmtId="0" fontId="9" fillId="0" borderId="39" xfId="0" applyFont="1" applyBorder="1" applyAlignment="1">
      <alignment horizontal="center" vertical="center" shrinkToFit="1"/>
    </xf>
    <xf numFmtId="0" fontId="9" fillId="0" borderId="170" xfId="0" applyFont="1" applyBorder="1" applyAlignment="1">
      <alignment horizontal="center" vertical="center" shrinkToFit="1"/>
    </xf>
    <xf numFmtId="0" fontId="9" fillId="0" borderId="47" xfId="0" applyFont="1" applyBorder="1" applyAlignment="1">
      <alignment horizontal="center" shrinkToFit="1"/>
    </xf>
    <xf numFmtId="0" fontId="9" fillId="0" borderId="48" xfId="0" applyFont="1" applyBorder="1" applyAlignment="1">
      <alignment horizontal="center" shrinkToFit="1"/>
    </xf>
    <xf numFmtId="0" fontId="9" fillId="0" borderId="39" xfId="0" applyFont="1" applyBorder="1" applyAlignment="1">
      <alignment horizontal="center" vertical="center"/>
    </xf>
    <xf numFmtId="180" fontId="9" fillId="0" borderId="0" xfId="0" applyNumberFormat="1" applyFont="1" applyAlignment="1">
      <alignment horizontal="center" vertical="center" shrinkToFit="1"/>
    </xf>
    <xf numFmtId="0" fontId="9" fillId="0" borderId="48" xfId="0" applyFont="1" applyBorder="1" applyAlignment="1">
      <alignment horizontal="left" vertical="center" shrinkToFit="1"/>
    </xf>
    <xf numFmtId="180" fontId="14" fillId="0" borderId="0" xfId="0" applyNumberFormat="1" applyFont="1" applyAlignment="1">
      <alignment horizontal="center" vertical="center" shrinkToFit="1"/>
    </xf>
    <xf numFmtId="0" fontId="9" fillId="0" borderId="0" xfId="0" applyFont="1" applyAlignment="1">
      <alignment horizontal="distributed" vertical="top" indent="1"/>
    </xf>
    <xf numFmtId="0" fontId="9" fillId="0" borderId="12" xfId="0" applyFont="1" applyBorder="1" applyAlignment="1" applyProtection="1">
      <alignment horizontal="center" vertical="top" textRotation="255" shrinkToFit="1"/>
      <protection hidden="1"/>
    </xf>
    <xf numFmtId="0" fontId="9" fillId="0" borderId="0" xfId="0" applyFont="1" applyAlignment="1" applyProtection="1">
      <alignment horizontal="center" vertical="center" shrinkToFit="1"/>
      <protection locked="0"/>
    </xf>
    <xf numFmtId="0" fontId="9" fillId="0" borderId="39" xfId="0" applyFont="1" applyBorder="1" applyAlignment="1" applyProtection="1">
      <alignment horizontal="center" vertical="center" shrinkToFit="1"/>
      <protection locked="0"/>
    </xf>
    <xf numFmtId="20" fontId="9" fillId="0" borderId="12" xfId="0" applyNumberFormat="1" applyFont="1" applyBorder="1" applyAlignment="1" applyProtection="1">
      <alignment horizontal="center" vertical="center" shrinkToFit="1"/>
      <protection locked="0"/>
    </xf>
    <xf numFmtId="0" fontId="33" fillId="0" borderId="0" xfId="0" applyFont="1" applyAlignment="1">
      <alignment vertical="top" textRotation="255" shrinkToFit="1"/>
    </xf>
    <xf numFmtId="0" fontId="33" fillId="0" borderId="0" xfId="0" applyFont="1" applyAlignment="1">
      <alignment horizontal="right" vertical="top" textRotation="255" shrinkToFit="1"/>
    </xf>
    <xf numFmtId="0" fontId="9" fillId="0" borderId="171" xfId="0" applyFont="1" applyBorder="1" applyAlignment="1">
      <alignment horizontal="right" vertical="center" shrinkToFit="1"/>
    </xf>
    <xf numFmtId="0" fontId="9" fillId="0" borderId="171" xfId="0" applyFont="1" applyBorder="1" applyAlignment="1">
      <alignment horizontal="left" vertical="center" shrinkToFit="1"/>
    </xf>
    <xf numFmtId="0" fontId="9" fillId="0" borderId="12" xfId="0" applyFont="1" applyBorder="1" applyAlignment="1" applyProtection="1">
      <alignment horizontal="center" vertical="center" shrinkToFit="1"/>
      <protection hidden="1"/>
    </xf>
    <xf numFmtId="0" fontId="9" fillId="0" borderId="0" xfId="0" applyFont="1" applyAlignment="1" applyProtection="1">
      <alignment horizontal="center" vertical="top" textRotation="255" indent="1" shrinkToFit="1"/>
      <protection hidden="1"/>
    </xf>
    <xf numFmtId="180" fontId="14" fillId="0" borderId="0" xfId="0" applyNumberFormat="1" applyFont="1" applyAlignment="1">
      <alignment vertical="center" shrinkToFit="1"/>
    </xf>
    <xf numFmtId="180" fontId="9" fillId="0" borderId="0" xfId="0" applyNumberFormat="1" applyFont="1" applyAlignment="1">
      <alignment vertical="center" shrinkToFit="1"/>
    </xf>
    <xf numFmtId="0" fontId="9" fillId="0" borderId="170" xfId="0" applyFont="1" applyBorder="1" applyAlignment="1" applyProtection="1">
      <alignment horizontal="right" vertical="center" shrinkToFit="1"/>
      <protection locked="0"/>
    </xf>
    <xf numFmtId="0" fontId="9" fillId="0" borderId="170" xfId="0" applyFont="1" applyBorder="1" applyAlignment="1" applyProtection="1">
      <alignment horizontal="center" vertical="center" shrinkToFit="1"/>
      <protection hidden="1"/>
    </xf>
    <xf numFmtId="0" fontId="9" fillId="0" borderId="172" xfId="0" applyFont="1" applyBorder="1" applyAlignment="1">
      <alignment horizontal="center" vertical="center" shrinkToFit="1"/>
    </xf>
    <xf numFmtId="0" fontId="9" fillId="0" borderId="173" xfId="0" applyFont="1" applyBorder="1" applyAlignment="1">
      <alignment horizontal="center" vertical="center" shrinkToFit="1"/>
    </xf>
    <xf numFmtId="0" fontId="9" fillId="0" borderId="174" xfId="0" applyFont="1" applyBorder="1" applyAlignment="1">
      <alignment horizontal="center" vertical="center" shrinkToFit="1"/>
    </xf>
    <xf numFmtId="20" fontId="9" fillId="0" borderId="0" xfId="0" applyNumberFormat="1" applyFont="1" applyAlignment="1">
      <alignment vertical="center" shrinkToFit="1"/>
    </xf>
    <xf numFmtId="0" fontId="30" fillId="0" borderId="12" xfId="0" applyFont="1" applyBorder="1" applyAlignment="1">
      <alignment vertical="center" shrinkToFit="1"/>
    </xf>
    <xf numFmtId="0" fontId="9" fillId="0" borderId="173" xfId="0" applyFont="1" applyBorder="1" applyAlignment="1">
      <alignment vertical="center" shrinkToFit="1"/>
    </xf>
    <xf numFmtId="0" fontId="33" fillId="0" borderId="0" xfId="0" applyFont="1">
      <alignment vertical="center"/>
    </xf>
    <xf numFmtId="0" fontId="9" fillId="3" borderId="57" xfId="0" applyFont="1" applyFill="1" applyBorder="1" applyAlignment="1" applyProtection="1">
      <alignment horizontal="center" vertical="center"/>
      <protection locked="0"/>
    </xf>
    <xf numFmtId="0" fontId="36" fillId="0" borderId="160" xfId="0" applyFont="1" applyBorder="1">
      <alignment vertical="center"/>
    </xf>
    <xf numFmtId="0" fontId="32" fillId="0" borderId="0" xfId="0" applyFont="1" applyAlignment="1">
      <alignment horizontal="left" vertical="center"/>
    </xf>
    <xf numFmtId="0" fontId="32" fillId="0" borderId="0" xfId="0" applyFont="1">
      <alignment vertical="center"/>
    </xf>
    <xf numFmtId="0" fontId="9" fillId="0" borderId="160" xfId="0" applyFont="1" applyBorder="1">
      <alignment vertical="center"/>
    </xf>
    <xf numFmtId="0" fontId="32" fillId="0" borderId="160" xfId="0" applyFont="1" applyBorder="1">
      <alignment vertical="center"/>
    </xf>
    <xf numFmtId="0" fontId="37" fillId="0" borderId="0" xfId="0" applyFont="1">
      <alignment vertical="center"/>
    </xf>
    <xf numFmtId="0" fontId="37" fillId="0" borderId="17" xfId="0" applyFont="1" applyBorder="1" applyAlignment="1">
      <alignment horizontal="center" vertical="center"/>
    </xf>
    <xf numFmtId="0" fontId="37" fillId="0" borderId="10" xfId="0" applyFont="1" applyBorder="1" applyAlignment="1">
      <alignment horizontal="distributed" vertical="center" justifyLastLine="1"/>
    </xf>
    <xf numFmtId="0" fontId="37" fillId="0" borderId="11" xfId="0" applyFont="1" applyBorder="1" applyAlignment="1">
      <alignment horizontal="distributed" vertical="center" justifyLastLine="1"/>
    </xf>
    <xf numFmtId="0" fontId="37" fillId="0" borderId="42" xfId="0" applyFont="1" applyBorder="1" applyProtection="1">
      <alignment vertical="center"/>
      <protection locked="0"/>
    </xf>
    <xf numFmtId="0" fontId="37" fillId="9" borderId="1" xfId="0" applyFont="1" applyFill="1" applyBorder="1" applyAlignment="1">
      <alignment horizontal="distributed" vertical="center" justifyLastLine="1"/>
    </xf>
    <xf numFmtId="0" fontId="37" fillId="9" borderId="2" xfId="0" applyFont="1" applyFill="1" applyBorder="1" applyAlignment="1">
      <alignment horizontal="distributed" vertical="center" justifyLastLine="1"/>
    </xf>
    <xf numFmtId="0" fontId="37" fillId="9" borderId="3" xfId="0" applyFont="1" applyFill="1" applyBorder="1" applyAlignment="1">
      <alignment horizontal="distributed" vertical="center" justifyLastLine="1"/>
    </xf>
    <xf numFmtId="0" fontId="37" fillId="0" borderId="42" xfId="0" applyFont="1" applyBorder="1">
      <alignment vertical="center"/>
    </xf>
    <xf numFmtId="0" fontId="37" fillId="0" borderId="1" xfId="0" applyFont="1" applyBorder="1" applyAlignment="1">
      <alignment horizontal="distributed" vertical="center" justifyLastLine="1"/>
    </xf>
    <xf numFmtId="0" fontId="37" fillId="0" borderId="2" xfId="0" applyFont="1" applyBorder="1" applyAlignment="1">
      <alignment horizontal="distributed" vertical="center" justifyLastLine="1"/>
    </xf>
    <xf numFmtId="0" fontId="37" fillId="0" borderId="3" xfId="0" applyFont="1" applyBorder="1" applyAlignment="1">
      <alignment horizontal="distributed" vertical="center" justifyLastLine="1"/>
    </xf>
    <xf numFmtId="0" fontId="37" fillId="0" borderId="0" xfId="0" applyFont="1" applyAlignment="1">
      <alignment horizontal="right" vertical="center"/>
    </xf>
    <xf numFmtId="0" fontId="37" fillId="0" borderId="43" xfId="0" applyFont="1" applyBorder="1" applyProtection="1">
      <alignment vertical="center"/>
      <protection locked="0"/>
    </xf>
    <xf numFmtId="0" fontId="37" fillId="0" borderId="4" xfId="0" applyFont="1" applyBorder="1" applyAlignment="1">
      <alignment horizontal="distributed" vertical="center" justifyLastLine="1"/>
    </xf>
    <xf numFmtId="0" fontId="37" fillId="0" borderId="5" xfId="0" applyFont="1" applyBorder="1" applyAlignment="1">
      <alignment horizontal="distributed" vertical="center" justifyLastLine="1"/>
    </xf>
    <xf numFmtId="0" fontId="37" fillId="0" borderId="6" xfId="0" applyFont="1" applyBorder="1" applyAlignment="1">
      <alignment horizontal="distributed" vertical="center" justifyLastLine="1"/>
    </xf>
    <xf numFmtId="0" fontId="37" fillId="0" borderId="43" xfId="0" applyFont="1" applyBorder="1">
      <alignment vertical="center"/>
    </xf>
    <xf numFmtId="0" fontId="37" fillId="0" borderId="0" xfId="0" applyFont="1" applyAlignment="1">
      <alignment horizontal="right" vertical="center" justifyLastLine="1"/>
    </xf>
    <xf numFmtId="0" fontId="37" fillId="10" borderId="43" xfId="0" applyFont="1" applyFill="1" applyBorder="1">
      <alignment vertical="center"/>
    </xf>
    <xf numFmtId="0" fontId="37" fillId="8" borderId="4" xfId="0" applyFont="1" applyFill="1" applyBorder="1" applyAlignment="1">
      <alignment horizontal="distributed" vertical="center" justifyLastLine="1"/>
    </xf>
    <xf numFmtId="0" fontId="37" fillId="8" borderId="5" xfId="0" applyFont="1" applyFill="1" applyBorder="1" applyAlignment="1">
      <alignment horizontal="distributed" vertical="center" justifyLastLine="1"/>
    </xf>
    <xf numFmtId="0" fontId="37" fillId="8" borderId="6" xfId="0" applyFont="1" applyFill="1" applyBorder="1" applyAlignment="1">
      <alignment horizontal="distributed" vertical="center" justifyLastLine="1"/>
    </xf>
    <xf numFmtId="0" fontId="37" fillId="8" borderId="43" xfId="0" applyFont="1" applyFill="1" applyBorder="1" applyProtection="1">
      <alignment vertical="center"/>
      <protection locked="0"/>
    </xf>
    <xf numFmtId="0" fontId="37" fillId="9" borderId="43" xfId="0" applyFont="1" applyFill="1" applyBorder="1">
      <alignment vertical="center"/>
    </xf>
    <xf numFmtId="0" fontId="37" fillId="9" borderId="4" xfId="0" applyFont="1" applyFill="1" applyBorder="1" applyAlignment="1">
      <alignment horizontal="distributed" vertical="center" justifyLastLine="1"/>
    </xf>
    <xf numFmtId="0" fontId="37" fillId="9" borderId="5" xfId="0" applyFont="1" applyFill="1" applyBorder="1" applyAlignment="1">
      <alignment horizontal="distributed" vertical="center" justifyLastLine="1"/>
    </xf>
    <xf numFmtId="0" fontId="37" fillId="9" borderId="6" xfId="0" applyFont="1" applyFill="1" applyBorder="1" applyAlignment="1">
      <alignment horizontal="distributed" vertical="center" justifyLastLine="1"/>
    </xf>
    <xf numFmtId="0" fontId="37" fillId="0" borderId="44" xfId="0" applyFont="1" applyBorder="1" applyProtection="1">
      <alignment vertical="center"/>
      <protection locked="0"/>
    </xf>
    <xf numFmtId="0" fontId="37" fillId="0" borderId="7" xfId="0" applyFont="1" applyBorder="1" applyAlignment="1">
      <alignment horizontal="distributed" vertical="center" justifyLastLine="1"/>
    </xf>
    <xf numFmtId="0" fontId="37" fillId="0" borderId="8" xfId="0" applyFont="1" applyBorder="1" applyAlignment="1">
      <alignment horizontal="distributed" vertical="center" justifyLastLine="1"/>
    </xf>
    <xf numFmtId="0" fontId="37" fillId="0" borderId="9" xfId="0" applyFont="1" applyBorder="1" applyAlignment="1">
      <alignment horizontal="distributed" vertical="center" justifyLastLine="1"/>
    </xf>
    <xf numFmtId="0" fontId="37" fillId="0" borderId="0" xfId="0" applyFont="1" applyAlignment="1">
      <alignment vertical="center" shrinkToFit="1"/>
    </xf>
    <xf numFmtId="0" fontId="37" fillId="8" borderId="42" xfId="0" applyFont="1" applyFill="1" applyBorder="1" applyProtection="1">
      <alignment vertical="center"/>
      <protection locked="0"/>
    </xf>
    <xf numFmtId="0" fontId="37" fillId="8" borderId="1" xfId="0" applyFont="1" applyFill="1" applyBorder="1" applyAlignment="1">
      <alignment horizontal="distributed" vertical="center" justifyLastLine="1"/>
    </xf>
    <xf numFmtId="0" fontId="37" fillId="8" borderId="2" xfId="0" applyFont="1" applyFill="1" applyBorder="1" applyAlignment="1">
      <alignment horizontal="distributed" vertical="center" justifyLastLine="1"/>
    </xf>
    <xf numFmtId="0" fontId="37" fillId="8" borderId="3" xfId="0" applyFont="1" applyFill="1" applyBorder="1" applyAlignment="1">
      <alignment horizontal="distributed" vertical="center" justifyLastLine="1"/>
    </xf>
    <xf numFmtId="0" fontId="37" fillId="0" borderId="46" xfId="0" applyFont="1" applyBorder="1" applyAlignment="1">
      <alignment horizontal="distributed" vertical="center" justifyLastLine="1"/>
    </xf>
    <xf numFmtId="0" fontId="39" fillId="0" borderId="0" xfId="0" applyFont="1">
      <alignment vertical="center"/>
    </xf>
    <xf numFmtId="0" fontId="37" fillId="0" borderId="5" xfId="0" applyFont="1" applyBorder="1">
      <alignment vertical="center"/>
    </xf>
    <xf numFmtId="0" fontId="37" fillId="0" borderId="0" xfId="3" applyFont="1" applyAlignment="1">
      <alignment horizontal="center"/>
    </xf>
    <xf numFmtId="0" fontId="37" fillId="0" borderId="20" xfId="3" applyFont="1" applyBorder="1" applyAlignment="1">
      <alignment horizontal="center"/>
    </xf>
    <xf numFmtId="0" fontId="37" fillId="0" borderId="19" xfId="3" applyFont="1" applyBorder="1" applyAlignment="1">
      <alignment horizontal="center"/>
    </xf>
    <xf numFmtId="0" fontId="37" fillId="0" borderId="11" xfId="3" applyFont="1" applyBorder="1" applyAlignment="1">
      <alignment horizontal="center"/>
    </xf>
    <xf numFmtId="0" fontId="37" fillId="0" borderId="18" xfId="3" applyFont="1" applyBorder="1" applyAlignment="1">
      <alignment horizontal="center"/>
    </xf>
    <xf numFmtId="0" fontId="37" fillId="0" borderId="0" xfId="3" applyFont="1"/>
    <xf numFmtId="0" fontId="37" fillId="0" borderId="31" xfId="3" applyFont="1" applyBorder="1" applyProtection="1">
      <protection locked="0"/>
    </xf>
    <xf numFmtId="0" fontId="37" fillId="0" borderId="21" xfId="3" applyFont="1" applyBorder="1" applyAlignment="1">
      <alignment horizontal="distributed" vertical="center" justifyLastLine="1"/>
    </xf>
    <xf numFmtId="0" fontId="37" fillId="0" borderId="22" xfId="3" applyFont="1" applyBorder="1" applyAlignment="1">
      <alignment horizontal="distributed" vertical="center" justifyLastLine="1"/>
    </xf>
    <xf numFmtId="0" fontId="37" fillId="0" borderId="23" xfId="3" applyFont="1" applyBorder="1" applyAlignment="1">
      <alignment horizontal="distributed" vertical="center" justifyLastLine="1"/>
    </xf>
    <xf numFmtId="0" fontId="37" fillId="0" borderId="32" xfId="3" applyFont="1" applyBorder="1" applyProtection="1">
      <protection locked="0"/>
    </xf>
    <xf numFmtId="0" fontId="37" fillId="0" borderId="5" xfId="3" applyFont="1" applyBorder="1" applyAlignment="1">
      <alignment horizontal="distributed" vertical="center" justifyLastLine="1"/>
    </xf>
    <xf numFmtId="0" fontId="37" fillId="0" borderId="6" xfId="3" applyFont="1" applyBorder="1" applyAlignment="1">
      <alignment horizontal="distributed" vertical="center" justifyLastLine="1"/>
    </xf>
    <xf numFmtId="0" fontId="37" fillId="0" borderId="33" xfId="3" applyFont="1" applyBorder="1" applyProtection="1">
      <protection locked="0"/>
    </xf>
    <xf numFmtId="0" fontId="37" fillId="0" borderId="39" xfId="3" applyFont="1" applyBorder="1" applyAlignment="1">
      <alignment horizontal="distributed" vertical="center" justifyLastLine="1"/>
    </xf>
    <xf numFmtId="0" fontId="37" fillId="0" borderId="37" xfId="3" applyFont="1" applyBorder="1" applyAlignment="1">
      <alignment horizontal="distributed" vertical="center" justifyLastLine="1"/>
    </xf>
    <xf numFmtId="0" fontId="37" fillId="0" borderId="26" xfId="3" applyFont="1" applyBorder="1" applyAlignment="1">
      <alignment horizontal="distributed" vertical="center" justifyLastLine="1"/>
    </xf>
    <xf numFmtId="0" fontId="37" fillId="0" borderId="27" xfId="3" applyFont="1" applyBorder="1" applyAlignment="1">
      <alignment horizontal="distributed" vertical="center" justifyLastLine="1"/>
    </xf>
    <xf numFmtId="0" fontId="37" fillId="0" borderId="35" xfId="3" applyFont="1" applyBorder="1" applyProtection="1">
      <protection locked="0"/>
    </xf>
    <xf numFmtId="0" fontId="37" fillId="0" borderId="29" xfId="3" applyFont="1" applyBorder="1" applyAlignment="1">
      <alignment horizontal="distributed" vertical="center" justifyLastLine="1"/>
    </xf>
    <xf numFmtId="0" fontId="37" fillId="0" borderId="30" xfId="3" applyFont="1" applyBorder="1" applyAlignment="1">
      <alignment horizontal="distributed" vertical="center" justifyLastLine="1"/>
    </xf>
    <xf numFmtId="0" fontId="37" fillId="0" borderId="56" xfId="3" applyFont="1" applyBorder="1" applyAlignment="1">
      <alignment horizontal="distributed" vertical="center" justifyLastLine="1"/>
    </xf>
    <xf numFmtId="0" fontId="37" fillId="0" borderId="34" xfId="3" applyFont="1" applyBorder="1" applyProtection="1">
      <protection locked="0"/>
    </xf>
    <xf numFmtId="0" fontId="37" fillId="0" borderId="2" xfId="3" applyFont="1" applyBorder="1" applyAlignment="1">
      <alignment horizontal="distributed" vertical="center" justifyLastLine="1"/>
    </xf>
    <xf numFmtId="0" fontId="37" fillId="0" borderId="3" xfId="3" applyFont="1" applyBorder="1" applyAlignment="1">
      <alignment horizontal="distributed" vertical="center" justifyLastLine="1"/>
    </xf>
    <xf numFmtId="0" fontId="37" fillId="0" borderId="36" xfId="3" applyFont="1" applyBorder="1" applyProtection="1">
      <protection locked="0"/>
    </xf>
    <xf numFmtId="0" fontId="37" fillId="0" borderId="8" xfId="3" applyFont="1" applyBorder="1" applyAlignment="1">
      <alignment horizontal="distributed" vertical="center" justifyLastLine="1"/>
    </xf>
    <xf numFmtId="0" fontId="37" fillId="0" borderId="9" xfId="3" applyFont="1" applyBorder="1" applyAlignment="1">
      <alignment horizontal="distributed" vertical="center" justifyLastLine="1"/>
    </xf>
    <xf numFmtId="0" fontId="37" fillId="0" borderId="5" xfId="1" applyFont="1" applyBorder="1"/>
    <xf numFmtId="0" fontId="37" fillId="0" borderId="5" xfId="0" applyFont="1" applyBorder="1" applyAlignment="1"/>
    <xf numFmtId="0" fontId="37" fillId="0" borderId="0" xfId="1" applyFont="1"/>
    <xf numFmtId="0" fontId="37" fillId="0" borderId="59" xfId="0" applyFont="1" applyBorder="1">
      <alignment vertical="center"/>
    </xf>
    <xf numFmtId="0" fontId="37" fillId="0" borderId="60" xfId="0" applyFont="1" applyBorder="1">
      <alignment vertical="center"/>
    </xf>
    <xf numFmtId="0" fontId="37" fillId="0" borderId="61" xfId="0" applyFont="1" applyBorder="1">
      <alignment vertical="center"/>
    </xf>
    <xf numFmtId="0" fontId="37" fillId="0" borderId="62" xfId="0" applyFont="1" applyBorder="1">
      <alignment vertical="center"/>
    </xf>
    <xf numFmtId="0" fontId="37" fillId="0" borderId="63" xfId="0" applyFont="1" applyBorder="1">
      <alignment vertical="center"/>
    </xf>
    <xf numFmtId="0" fontId="46" fillId="0" borderId="0" xfId="0" applyFont="1" applyAlignment="1">
      <alignment horizontal="center" vertical="center"/>
    </xf>
    <xf numFmtId="0" fontId="37" fillId="0" borderId="64" xfId="0" applyFont="1" applyBorder="1">
      <alignment vertical="center"/>
    </xf>
    <xf numFmtId="176" fontId="43" fillId="0" borderId="0" xfId="0" applyNumberFormat="1" applyFont="1">
      <alignment vertical="center"/>
    </xf>
    <xf numFmtId="0" fontId="38" fillId="0" borderId="65" xfId="0" applyFont="1" applyBorder="1" applyAlignment="1">
      <alignment horizontal="center" vertical="center"/>
    </xf>
    <xf numFmtId="3" fontId="38" fillId="0" borderId="66" xfId="0" applyNumberFormat="1" applyFont="1" applyBorder="1">
      <alignment vertical="center"/>
    </xf>
    <xf numFmtId="3" fontId="38" fillId="0" borderId="67" xfId="0" applyNumberFormat="1" applyFont="1" applyBorder="1">
      <alignment vertical="center"/>
    </xf>
    <xf numFmtId="3" fontId="38" fillId="0" borderId="68" xfId="0" applyNumberFormat="1" applyFont="1" applyBorder="1">
      <alignment vertical="center"/>
    </xf>
    <xf numFmtId="3" fontId="38" fillId="0" borderId="69" xfId="0" applyNumberFormat="1" applyFont="1" applyBorder="1">
      <alignment vertical="center"/>
    </xf>
    <xf numFmtId="3" fontId="38" fillId="0" borderId="70" xfId="0" applyNumberFormat="1" applyFont="1" applyBorder="1">
      <alignment vertical="center"/>
    </xf>
    <xf numFmtId="0" fontId="37" fillId="0" borderId="71" xfId="0" applyFont="1" applyBorder="1">
      <alignment vertical="center"/>
    </xf>
    <xf numFmtId="0" fontId="37" fillId="0" borderId="72" xfId="0" applyFont="1" applyBorder="1" applyAlignment="1"/>
    <xf numFmtId="0" fontId="37" fillId="0" borderId="72" xfId="0" applyFont="1" applyBorder="1">
      <alignment vertical="center"/>
    </xf>
    <xf numFmtId="0" fontId="37" fillId="0" borderId="73" xfId="0" applyFont="1" applyBorder="1">
      <alignment vertical="center"/>
    </xf>
    <xf numFmtId="0" fontId="37" fillId="0" borderId="74" xfId="0" applyFont="1" applyBorder="1">
      <alignment vertical="center"/>
    </xf>
    <xf numFmtId="0" fontId="37" fillId="0" borderId="75" xfId="0" applyFont="1" applyBorder="1">
      <alignment vertical="center"/>
    </xf>
    <xf numFmtId="58" fontId="43" fillId="0" borderId="0" xfId="0" applyNumberFormat="1" applyFont="1">
      <alignment vertical="center"/>
    </xf>
    <xf numFmtId="0" fontId="37" fillId="0" borderId="76" xfId="0" applyFont="1" applyBorder="1">
      <alignment vertical="center"/>
    </xf>
    <xf numFmtId="0" fontId="47" fillId="0" borderId="0" xfId="2" applyFont="1">
      <alignment vertical="center"/>
    </xf>
    <xf numFmtId="0" fontId="37" fillId="0" borderId="0" xfId="4" applyFont="1"/>
    <xf numFmtId="0" fontId="37" fillId="0" borderId="0" xfId="0" applyFont="1" applyAlignment="1"/>
    <xf numFmtId="0" fontId="47" fillId="0" borderId="0" xfId="2" applyFont="1" applyAlignment="1">
      <alignment horizontal="center" vertical="center"/>
    </xf>
    <xf numFmtId="0" fontId="37" fillId="0" borderId="94" xfId="0" applyFont="1" applyBorder="1">
      <alignment vertical="center"/>
    </xf>
    <xf numFmtId="0" fontId="37" fillId="0" borderId="95" xfId="0" applyFont="1" applyBorder="1">
      <alignment vertical="center"/>
    </xf>
    <xf numFmtId="0" fontId="37" fillId="0" borderId="94" xfId="0" applyFont="1" applyBorder="1" applyAlignment="1"/>
    <xf numFmtId="0" fontId="37" fillId="0" borderId="96" xfId="0" applyFont="1" applyBorder="1">
      <alignment vertical="center"/>
    </xf>
    <xf numFmtId="0" fontId="37" fillId="0" borderId="13" xfId="0" applyFont="1" applyBorder="1">
      <alignment vertical="center"/>
    </xf>
    <xf numFmtId="0" fontId="37" fillId="0" borderId="96" xfId="0" applyFont="1" applyBorder="1" applyAlignment="1"/>
    <xf numFmtId="0" fontId="44" fillId="0" borderId="99" xfId="2" applyFont="1" applyBorder="1" applyAlignment="1">
      <alignment horizontal="center" vertical="center" shrinkToFit="1"/>
    </xf>
    <xf numFmtId="0" fontId="44" fillId="0" borderId="100" xfId="2" applyFont="1" applyBorder="1" applyAlignment="1">
      <alignment horizontal="center" vertical="center" shrinkToFit="1"/>
    </xf>
    <xf numFmtId="0" fontId="47" fillId="0" borderId="16" xfId="2" applyFont="1" applyBorder="1" applyAlignment="1">
      <alignment horizontal="center" vertical="center"/>
    </xf>
    <xf numFmtId="0" fontId="47" fillId="0" borderId="48" xfId="2" applyFont="1" applyBorder="1" applyAlignment="1">
      <alignment horizontal="center" vertical="center"/>
    </xf>
    <xf numFmtId="0" fontId="47" fillId="0" borderId="12" xfId="2" applyFont="1" applyBorder="1" applyAlignment="1">
      <alignment horizontal="center" vertical="center"/>
    </xf>
    <xf numFmtId="0" fontId="37" fillId="0" borderId="0" xfId="4" applyFont="1" applyAlignment="1">
      <alignment horizontal="center" vertical="center"/>
    </xf>
    <xf numFmtId="0" fontId="47" fillId="0" borderId="39" xfId="2" applyFont="1" applyBorder="1" applyAlignment="1">
      <alignment horizontal="center" vertical="center"/>
    </xf>
    <xf numFmtId="0" fontId="42" fillId="0" borderId="123" xfId="2" applyFont="1" applyBorder="1" applyAlignment="1">
      <alignment horizontal="center" vertical="center" shrinkToFit="1"/>
    </xf>
    <xf numFmtId="0" fontId="42" fillId="0" borderId="0" xfId="2" applyFont="1" applyAlignment="1">
      <alignment horizontal="center" vertical="center" shrinkToFit="1"/>
    </xf>
    <xf numFmtId="0" fontId="42" fillId="0" borderId="124" xfId="2" applyFont="1" applyBorder="1" applyAlignment="1">
      <alignment horizontal="center" vertical="center" shrinkToFit="1"/>
    </xf>
    <xf numFmtId="0" fontId="47" fillId="0" borderId="39" xfId="4" applyFont="1" applyBorder="1" applyAlignment="1">
      <alignment horizontal="center" vertical="center"/>
    </xf>
    <xf numFmtId="0" fontId="47" fillId="0" borderId="14" xfId="2" applyFont="1" applyBorder="1" applyAlignment="1">
      <alignment horizontal="center" vertical="center"/>
    </xf>
    <xf numFmtId="0" fontId="47" fillId="0" borderId="15" xfId="2" applyFont="1" applyBorder="1" applyAlignment="1">
      <alignment horizontal="center" vertical="center"/>
    </xf>
    <xf numFmtId="0" fontId="47" fillId="0" borderId="21" xfId="2" applyFont="1" applyBorder="1" applyAlignment="1">
      <alignment horizontal="center" vertical="center"/>
    </xf>
    <xf numFmtId="0" fontId="42" fillId="0" borderId="112" xfId="2" applyFont="1" applyBorder="1" applyAlignment="1">
      <alignment horizontal="center" vertical="center" shrinkToFit="1"/>
    </xf>
    <xf numFmtId="0" fontId="42" fillId="0" borderId="109" xfId="2" applyFont="1" applyBorder="1" applyAlignment="1">
      <alignment horizontal="center" vertical="center" shrinkToFit="1"/>
    </xf>
    <xf numFmtId="0" fontId="42" fillId="0" borderId="86" xfId="2" applyFont="1" applyBorder="1" applyAlignment="1">
      <alignment horizontal="center" vertical="center" shrinkToFit="1"/>
    </xf>
    <xf numFmtId="0" fontId="42" fillId="0" borderId="87" xfId="2" applyFont="1" applyBorder="1" applyAlignment="1">
      <alignment horizontal="center" vertical="center" shrinkToFit="1"/>
    </xf>
    <xf numFmtId="0" fontId="42" fillId="0" borderId="85" xfId="2" applyFont="1" applyBorder="1" applyAlignment="1">
      <alignment horizontal="center" vertical="center" shrinkToFit="1"/>
    </xf>
    <xf numFmtId="0" fontId="42" fillId="0" borderId="84" xfId="2" applyFont="1" applyBorder="1" applyAlignment="1">
      <alignment horizontal="center" vertical="center" shrinkToFit="1"/>
    </xf>
    <xf numFmtId="0" fontId="37" fillId="0" borderId="0" xfId="4" applyFont="1" applyAlignment="1">
      <alignment horizontal="right"/>
    </xf>
    <xf numFmtId="0" fontId="37" fillId="4" borderId="0" xfId="4" applyFont="1" applyFill="1"/>
    <xf numFmtId="0" fontId="42" fillId="0" borderId="101" xfId="2" applyFont="1" applyBorder="1" applyAlignment="1">
      <alignment horizontal="center" vertical="center" shrinkToFit="1"/>
    </xf>
    <xf numFmtId="0" fontId="42" fillId="0" borderId="117" xfId="2" applyFont="1" applyBorder="1" applyAlignment="1">
      <alignment horizontal="center" vertical="center" shrinkToFit="1"/>
    </xf>
    <xf numFmtId="0" fontId="42" fillId="0" borderId="113" xfId="2" applyFont="1" applyBorder="1" applyAlignment="1">
      <alignment horizontal="center" vertical="center" shrinkToFit="1"/>
    </xf>
    <xf numFmtId="0" fontId="42" fillId="0" borderId="119" xfId="2" applyFont="1" applyBorder="1" applyAlignment="1">
      <alignment horizontal="center" vertical="center" shrinkToFit="1"/>
    </xf>
    <xf numFmtId="0" fontId="42" fillId="0" borderId="120" xfId="2" applyFont="1" applyBorder="1" applyAlignment="1">
      <alignment horizontal="center" vertical="center" shrinkToFit="1"/>
    </xf>
    <xf numFmtId="0" fontId="42" fillId="0" borderId="104" xfId="2" applyFont="1" applyBorder="1" applyAlignment="1">
      <alignment horizontal="center" vertical="center" shrinkToFit="1"/>
    </xf>
    <xf numFmtId="0" fontId="42" fillId="0" borderId="78" xfId="2" applyFont="1" applyBorder="1" applyAlignment="1">
      <alignment horizontal="center" vertical="center" shrinkToFit="1"/>
    </xf>
    <xf numFmtId="0" fontId="42" fillId="0" borderId="102" xfId="2" applyFont="1" applyBorder="1" applyAlignment="1">
      <alignment horizontal="center" vertical="center" shrinkToFit="1"/>
    </xf>
    <xf numFmtId="0" fontId="42" fillId="0" borderId="82" xfId="2" applyFont="1" applyBorder="1" applyAlignment="1">
      <alignment horizontal="center" vertical="center" shrinkToFit="1"/>
    </xf>
    <xf numFmtId="0" fontId="42" fillId="0" borderId="83" xfId="2" applyFont="1" applyBorder="1" applyAlignment="1">
      <alignment horizontal="center" vertical="center" shrinkToFit="1"/>
    </xf>
    <xf numFmtId="0" fontId="42" fillId="0" borderId="111" xfId="2" applyFont="1" applyBorder="1" applyAlignment="1">
      <alignment horizontal="center" vertical="center" shrinkToFit="1"/>
    </xf>
    <xf numFmtId="0" fontId="42" fillId="0" borderId="108" xfId="2" applyFont="1" applyBorder="1" applyAlignment="1">
      <alignment horizontal="center" vertical="center" shrinkToFit="1"/>
    </xf>
    <xf numFmtId="0" fontId="42" fillId="0" borderId="105" xfId="2" applyFont="1" applyBorder="1" applyAlignment="1">
      <alignment horizontal="center" vertical="center" shrinkToFit="1"/>
    </xf>
    <xf numFmtId="0" fontId="42" fillId="0" borderId="103" xfId="2" applyFont="1" applyBorder="1" applyAlignment="1">
      <alignment horizontal="center" vertical="center" shrinkToFit="1"/>
    </xf>
    <xf numFmtId="0" fontId="37" fillId="0" borderId="97" xfId="0" applyFont="1" applyBorder="1">
      <alignment vertical="center"/>
    </xf>
    <xf numFmtId="0" fontId="37" fillId="0" borderId="98" xfId="0" applyFont="1" applyBorder="1">
      <alignment vertical="center"/>
    </xf>
    <xf numFmtId="0" fontId="37" fillId="0" borderId="97" xfId="0" applyFont="1" applyBorder="1" applyAlignment="1"/>
    <xf numFmtId="0" fontId="42" fillId="0" borderId="114" xfId="2" applyFont="1" applyBorder="1" applyAlignment="1">
      <alignment horizontal="center" vertical="center" shrinkToFit="1"/>
    </xf>
    <xf numFmtId="0" fontId="42" fillId="0" borderId="118" xfId="2" applyFont="1" applyBorder="1" applyAlignment="1">
      <alignment horizontal="center" vertical="center" shrinkToFit="1"/>
    </xf>
    <xf numFmtId="0" fontId="42" fillId="0" borderId="115" xfId="2" applyFont="1" applyBorder="1" applyAlignment="1">
      <alignment horizontal="center" vertical="center" shrinkToFit="1"/>
    </xf>
    <xf numFmtId="0" fontId="42" fillId="0" borderId="121" xfId="2" applyFont="1" applyBorder="1" applyAlignment="1">
      <alignment horizontal="center" vertical="center" shrinkToFit="1"/>
    </xf>
    <xf numFmtId="0" fontId="42" fillId="0" borderId="122" xfId="2" applyFont="1" applyBorder="1" applyAlignment="1">
      <alignment horizontal="center" vertical="center" shrinkToFit="1"/>
    </xf>
    <xf numFmtId="0" fontId="42" fillId="0" borderId="116" xfId="2" applyFont="1" applyBorder="1" applyAlignment="1">
      <alignment horizontal="center" vertical="center" shrinkToFit="1"/>
    </xf>
    <xf numFmtId="0" fontId="42" fillId="0" borderId="79" xfId="2" applyFont="1" applyBorder="1" applyAlignment="1">
      <alignment horizontal="center" vertical="center" shrinkToFit="1"/>
    </xf>
    <xf numFmtId="0" fontId="42" fillId="0" borderId="106" xfId="2" applyFont="1" applyBorder="1" applyAlignment="1">
      <alignment horizontal="center" vertical="center" shrinkToFit="1"/>
    </xf>
    <xf numFmtId="0" fontId="42" fillId="0" borderId="88" xfId="2" applyFont="1" applyBorder="1" applyAlignment="1">
      <alignment horizontal="center" vertical="center" shrinkToFit="1"/>
    </xf>
    <xf numFmtId="0" fontId="42" fillId="0" borderId="89" xfId="2" applyFont="1" applyBorder="1" applyAlignment="1">
      <alignment horizontal="center" vertical="center" shrinkToFit="1"/>
    </xf>
    <xf numFmtId="0" fontId="42" fillId="0" borderId="110" xfId="2" applyFont="1" applyBorder="1" applyAlignment="1">
      <alignment horizontal="center" vertical="center" shrinkToFit="1"/>
    </xf>
    <xf numFmtId="0" fontId="42" fillId="0" borderId="107" xfId="2" applyFont="1" applyBorder="1" applyAlignment="1">
      <alignment horizontal="center" vertical="center" shrinkToFit="1"/>
    </xf>
    <xf numFmtId="0" fontId="47" fillId="0" borderId="89" xfId="2" applyFont="1" applyBorder="1" applyAlignment="1">
      <alignment horizontal="center" vertical="center"/>
    </xf>
    <xf numFmtId="0" fontId="47" fillId="0" borderId="90" xfId="2" applyFont="1" applyBorder="1" applyAlignment="1">
      <alignment horizontal="center" vertical="center"/>
    </xf>
    <xf numFmtId="0" fontId="47" fillId="0" borderId="82" xfId="2" applyFont="1" applyBorder="1" applyAlignment="1">
      <alignment horizontal="center" vertical="center"/>
    </xf>
    <xf numFmtId="0" fontId="47" fillId="0" borderId="83" xfId="2" applyFont="1" applyBorder="1" applyAlignment="1">
      <alignment horizontal="center" vertical="center"/>
    </xf>
    <xf numFmtId="0" fontId="47" fillId="0" borderId="86" xfId="2" applyFont="1" applyBorder="1" applyAlignment="1">
      <alignment horizontal="center" vertical="center"/>
    </xf>
    <xf numFmtId="0" fontId="47" fillId="0" borderId="87" xfId="2" applyFont="1" applyBorder="1" applyAlignment="1">
      <alignment horizontal="center" vertical="center"/>
    </xf>
    <xf numFmtId="0" fontId="42" fillId="0" borderId="77" xfId="2" applyFont="1" applyBorder="1" applyAlignment="1">
      <alignment horizontal="center" vertical="center" shrinkToFit="1"/>
    </xf>
    <xf numFmtId="0" fontId="47" fillId="0" borderId="101" xfId="4" applyFont="1" applyBorder="1" applyAlignment="1">
      <alignment horizontal="right" shrinkToFit="1"/>
    </xf>
    <xf numFmtId="0" fontId="47" fillId="0" borderId="104" xfId="4" applyFont="1" applyBorder="1" applyAlignment="1">
      <alignment horizontal="left" shrinkToFit="1"/>
    </xf>
    <xf numFmtId="0" fontId="47" fillId="0" borderId="102" xfId="4" applyFont="1" applyBorder="1" applyAlignment="1">
      <alignment horizontal="right" shrinkToFit="1"/>
    </xf>
    <xf numFmtId="0" fontId="47" fillId="0" borderId="105" xfId="4" applyFont="1" applyBorder="1" applyAlignment="1">
      <alignment horizontal="left" shrinkToFit="1"/>
    </xf>
    <xf numFmtId="0" fontId="42" fillId="0" borderId="84" xfId="4" applyFont="1" applyBorder="1" applyAlignment="1">
      <alignment horizontal="center" shrinkToFit="1"/>
    </xf>
    <xf numFmtId="0" fontId="42" fillId="0" borderId="105" xfId="4" applyFont="1" applyBorder="1" applyAlignment="1">
      <alignment horizontal="center" shrinkToFit="1"/>
    </xf>
    <xf numFmtId="0" fontId="47" fillId="0" borderId="91" xfId="2" applyFont="1" applyBorder="1" applyAlignment="1">
      <alignment horizontal="center" vertical="center"/>
    </xf>
    <xf numFmtId="0" fontId="47" fillId="0" borderId="92" xfId="2" applyFont="1" applyBorder="1" applyAlignment="1">
      <alignment horizontal="center" vertical="center"/>
    </xf>
    <xf numFmtId="0" fontId="47" fillId="0" borderId="93" xfId="2" applyFont="1" applyBorder="1" applyAlignment="1">
      <alignment horizontal="center" vertical="center"/>
    </xf>
    <xf numFmtId="0" fontId="47" fillId="0" borderId="76" xfId="2" applyFont="1" applyBorder="1" applyAlignment="1">
      <alignment horizontal="center" vertical="center"/>
    </xf>
    <xf numFmtId="0" fontId="47" fillId="0" borderId="79" xfId="2" applyFont="1" applyBorder="1" applyAlignment="1">
      <alignment horizontal="center" vertical="center"/>
    </xf>
    <xf numFmtId="0" fontId="47" fillId="0" borderId="84" xfId="2" applyFont="1" applyBorder="1" applyAlignment="1">
      <alignment horizontal="center" vertical="center"/>
    </xf>
    <xf numFmtId="0" fontId="47" fillId="0" borderId="85" xfId="2" applyFont="1" applyBorder="1" applyAlignment="1">
      <alignment horizontal="center" vertical="center"/>
    </xf>
    <xf numFmtId="0" fontId="47" fillId="0" borderId="88" xfId="2" applyFont="1" applyBorder="1" applyAlignment="1">
      <alignment horizontal="center" vertical="center"/>
    </xf>
    <xf numFmtId="0" fontId="42" fillId="0" borderId="0" xfId="2" applyFont="1" applyAlignment="1">
      <alignment vertical="center" shrinkToFit="1"/>
    </xf>
    <xf numFmtId="0" fontId="55" fillId="0" borderId="0" xfId="2" applyFont="1" applyAlignment="1">
      <alignment horizontal="right" vertical="center"/>
    </xf>
    <xf numFmtId="0" fontId="43" fillId="0" borderId="21" xfId="3" applyFont="1" applyBorder="1" applyAlignment="1">
      <alignment horizontal="distributed" vertical="center" justifyLastLine="1"/>
    </xf>
    <xf numFmtId="0" fontId="45" fillId="0" borderId="28" xfId="3" applyFont="1" applyBorder="1" applyAlignment="1">
      <alignment horizontal="distributed" vertical="center" justifyLastLine="1"/>
    </xf>
    <xf numFmtId="0" fontId="45" fillId="0" borderId="2" xfId="3" applyFont="1" applyBorder="1" applyAlignment="1">
      <alignment horizontal="distributed" vertical="center" justifyLastLine="1"/>
    </xf>
    <xf numFmtId="0" fontId="45" fillId="0" borderId="24" xfId="3" applyFont="1" applyBorder="1" applyAlignment="1">
      <alignment horizontal="distributed" vertical="center" justifyLastLine="1"/>
    </xf>
    <xf numFmtId="0" fontId="45" fillId="0" borderId="22" xfId="3" applyFont="1" applyBorder="1" applyAlignment="1">
      <alignment horizontal="distributed" vertical="center" justifyLastLine="1"/>
    </xf>
    <xf numFmtId="0" fontId="45" fillId="0" borderId="29" xfId="3" applyFont="1" applyBorder="1" applyAlignment="1">
      <alignment horizontal="distributed" vertical="center" justifyLastLine="1"/>
    </xf>
    <xf numFmtId="0" fontId="45" fillId="0" borderId="38" xfId="3" applyFont="1" applyBorder="1" applyAlignment="1">
      <alignment horizontal="distributed" vertical="center" justifyLastLine="1"/>
    </xf>
    <xf numFmtId="0" fontId="45" fillId="0" borderId="21" xfId="3" applyFont="1" applyBorder="1" applyAlignment="1">
      <alignment horizontal="distributed" vertical="center" justifyLastLine="1"/>
    </xf>
    <xf numFmtId="0" fontId="45" fillId="0" borderId="25" xfId="3" applyFont="1" applyBorder="1" applyAlignment="1">
      <alignment horizontal="distributed" vertical="center" justifyLastLine="1"/>
    </xf>
    <xf numFmtId="0" fontId="45" fillId="0" borderId="189" xfId="3" applyFont="1" applyBorder="1" applyAlignment="1">
      <alignment horizontal="distributed" vertical="center" justifyLastLine="1"/>
    </xf>
    <xf numFmtId="0" fontId="38" fillId="0" borderId="0" xfId="0" applyFont="1" applyAlignment="1">
      <alignment horizontal="left" vertical="center"/>
    </xf>
    <xf numFmtId="0" fontId="37" fillId="0" borderId="0" xfId="0" applyFont="1" applyAlignment="1">
      <alignment horizontal="right" vertical="center" shrinkToFit="1"/>
    </xf>
    <xf numFmtId="0" fontId="37" fillId="0" borderId="0" xfId="0" applyFont="1" applyAlignment="1">
      <alignment horizontal="center" vertical="center" shrinkToFit="1"/>
    </xf>
    <xf numFmtId="0" fontId="37" fillId="0" borderId="0" xfId="0" applyFont="1" applyAlignment="1">
      <alignment horizontal="left" vertical="center" shrinkToFit="1"/>
    </xf>
    <xf numFmtId="49" fontId="37" fillId="0" borderId="0" xfId="0" applyNumberFormat="1" applyFont="1">
      <alignment vertical="center"/>
    </xf>
    <xf numFmtId="0" fontId="37" fillId="0" borderId="170" xfId="0" applyFont="1" applyBorder="1">
      <alignment vertical="center"/>
    </xf>
    <xf numFmtId="0" fontId="37" fillId="0" borderId="0" xfId="0" applyFont="1" applyAlignment="1">
      <alignment horizontal="left" vertical="center"/>
    </xf>
    <xf numFmtId="0" fontId="37" fillId="0" borderId="170" xfId="0" applyFont="1" applyBorder="1" applyAlignment="1">
      <alignment horizontal="right" vertical="center" shrinkToFit="1"/>
    </xf>
    <xf numFmtId="0" fontId="58" fillId="0" borderId="0" xfId="0" applyFont="1">
      <alignment vertical="center"/>
    </xf>
    <xf numFmtId="0" fontId="56" fillId="0" borderId="0" xfId="0" applyFont="1" applyAlignment="1">
      <alignment horizontal="right" vertical="center"/>
    </xf>
    <xf numFmtId="0" fontId="56" fillId="0" borderId="0" xfId="0" applyFont="1">
      <alignment vertical="center"/>
    </xf>
    <xf numFmtId="0" fontId="56" fillId="0" borderId="0" xfId="0" applyFont="1" applyAlignment="1">
      <alignment horizontal="left" vertical="center"/>
    </xf>
    <xf numFmtId="0" fontId="56" fillId="0" borderId="0" xfId="0" applyFont="1" applyAlignment="1">
      <alignment vertical="center" shrinkToFit="1"/>
    </xf>
    <xf numFmtId="0" fontId="56" fillId="0" borderId="0" xfId="0" applyFont="1" applyAlignment="1">
      <alignment horizontal="right" vertical="center" shrinkToFit="1"/>
    </xf>
    <xf numFmtId="0" fontId="56" fillId="0" borderId="0" xfId="0" applyFont="1" applyAlignment="1">
      <alignment horizontal="center" vertical="center" shrinkToFit="1"/>
    </xf>
    <xf numFmtId="0" fontId="56" fillId="0" borderId="0" xfId="0" applyFont="1" applyAlignment="1">
      <alignment horizontal="left" vertical="center" shrinkToFit="1"/>
    </xf>
    <xf numFmtId="0" fontId="37" fillId="0" borderId="5" xfId="0" applyFont="1" applyBorder="1" applyAlignment="1">
      <alignment horizontal="center" vertical="center"/>
    </xf>
    <xf numFmtId="0" fontId="37" fillId="0" borderId="5" xfId="0" applyFont="1" applyBorder="1" applyAlignment="1">
      <alignment horizontal="center" vertical="center" wrapText="1"/>
    </xf>
    <xf numFmtId="0" fontId="37" fillId="0" borderId="16" xfId="0" applyFont="1" applyBorder="1" applyAlignment="1">
      <alignment horizontal="center" vertical="center" shrinkToFit="1"/>
    </xf>
    <xf numFmtId="0" fontId="37" fillId="0" borderId="12" xfId="0" applyFont="1" applyBorder="1" applyAlignment="1">
      <alignment vertical="center" shrinkToFit="1"/>
    </xf>
    <xf numFmtId="0" fontId="37" fillId="0" borderId="0" xfId="0" applyFont="1" applyAlignment="1" applyProtection="1">
      <alignment horizontal="right" vertical="center" shrinkToFit="1"/>
      <protection locked="0"/>
    </xf>
    <xf numFmtId="0" fontId="37" fillId="0" borderId="0" xfId="0" applyFont="1" applyAlignment="1" applyProtection="1">
      <alignment horizontal="left" vertical="center" shrinkToFit="1"/>
      <protection locked="0"/>
    </xf>
    <xf numFmtId="0" fontId="37" fillId="0" borderId="39" xfId="0" applyFont="1" applyBorder="1" applyAlignment="1">
      <alignment vertical="center" shrinkToFit="1"/>
    </xf>
    <xf numFmtId="0" fontId="37" fillId="0" borderId="14" xfId="0" applyFont="1" applyBorder="1" applyAlignment="1">
      <alignment vertical="center" shrinkToFit="1"/>
    </xf>
    <xf numFmtId="0" fontId="37" fillId="0" borderId="15" xfId="0" applyFont="1" applyBorder="1" applyAlignment="1">
      <alignment vertical="center" shrinkToFit="1"/>
    </xf>
    <xf numFmtId="0" fontId="37" fillId="0" borderId="15" xfId="0" applyFont="1" applyBorder="1" applyAlignment="1">
      <alignment horizontal="right" vertical="center" shrinkToFit="1"/>
    </xf>
    <xf numFmtId="0" fontId="37" fillId="0" borderId="15" xfId="0" applyFont="1" applyBorder="1" applyAlignment="1">
      <alignment horizontal="center" vertical="center" shrinkToFit="1"/>
    </xf>
    <xf numFmtId="0" fontId="37" fillId="0" borderId="15" xfId="0" applyFont="1" applyBorder="1" applyAlignment="1">
      <alignment horizontal="left" vertical="center" shrinkToFit="1"/>
    </xf>
    <xf numFmtId="0" fontId="37" fillId="0" borderId="21" xfId="0" applyFont="1" applyBorder="1" applyAlignment="1">
      <alignment vertical="center" shrinkToFit="1"/>
    </xf>
    <xf numFmtId="0" fontId="59" fillId="0" borderId="0" xfId="0" applyFont="1">
      <alignment vertical="center"/>
    </xf>
    <xf numFmtId="0" fontId="37" fillId="0" borderId="0" xfId="0" applyFont="1" applyAlignment="1">
      <alignment horizontal="center" vertical="center"/>
    </xf>
    <xf numFmtId="0" fontId="38" fillId="0" borderId="0" xfId="0" applyFont="1">
      <alignment vertical="center"/>
    </xf>
    <xf numFmtId="0" fontId="37" fillId="0" borderId="81" xfId="0" applyFont="1" applyBorder="1" applyAlignment="1">
      <alignment horizontal="right" vertical="center"/>
    </xf>
    <xf numFmtId="0" fontId="37" fillId="3" borderId="57" xfId="0" applyFont="1" applyFill="1" applyBorder="1" applyAlignment="1" applyProtection="1">
      <alignment horizontal="center" vertical="center"/>
      <protection locked="0"/>
    </xf>
    <xf numFmtId="0" fontId="37" fillId="0" borderId="0" xfId="0" applyFont="1" applyAlignment="1">
      <alignment horizontal="distributed" vertical="center"/>
    </xf>
    <xf numFmtId="0" fontId="60" fillId="0" borderId="0" xfId="0" applyFont="1" applyAlignment="1">
      <alignment horizontal="center" vertical="center"/>
    </xf>
    <xf numFmtId="0" fontId="37" fillId="0" borderId="0" xfId="0" applyFont="1" applyAlignment="1">
      <alignment horizontal="distributed" vertical="center" shrinkToFit="1"/>
    </xf>
    <xf numFmtId="0" fontId="37" fillId="0" borderId="0" xfId="0" applyFont="1" applyAlignment="1" applyProtection="1">
      <alignment horizontal="center" vertical="center"/>
      <protection hidden="1"/>
    </xf>
    <xf numFmtId="0" fontId="56" fillId="0" borderId="0" xfId="0" applyFont="1" applyAlignment="1">
      <alignment horizontal="center" vertical="center"/>
    </xf>
    <xf numFmtId="0" fontId="56" fillId="0" borderId="0" xfId="0" applyFont="1" applyAlignment="1" applyProtection="1">
      <alignment horizontal="distributed" vertical="center" shrinkToFit="1"/>
      <protection hidden="1"/>
    </xf>
    <xf numFmtId="0" fontId="40" fillId="0" borderId="0" xfId="0" applyFont="1" applyAlignment="1">
      <alignment horizontal="distributed" vertical="center" indent="1"/>
    </xf>
    <xf numFmtId="0" fontId="37" fillId="0" borderId="51" xfId="0" applyFont="1" applyBorder="1" applyAlignment="1">
      <alignment horizontal="center" vertical="center" shrinkToFit="1"/>
    </xf>
    <xf numFmtId="0" fontId="62" fillId="0" borderId="0" xfId="0" applyFont="1" applyAlignment="1">
      <alignment horizontal="center" vertical="center" shrinkToFit="1"/>
    </xf>
    <xf numFmtId="0" fontId="62" fillId="0" borderId="0" xfId="0" applyFont="1" applyAlignment="1">
      <alignment horizontal="center" vertical="center"/>
    </xf>
    <xf numFmtId="0" fontId="62" fillId="0" borderId="0" xfId="0" applyFont="1" applyAlignment="1">
      <alignment horizontal="right" vertical="center" shrinkToFit="1"/>
    </xf>
    <xf numFmtId="0" fontId="62" fillId="0" borderId="0" xfId="0" applyFont="1" applyAlignment="1">
      <alignment horizontal="left" vertical="center" shrinkToFit="1"/>
    </xf>
    <xf numFmtId="0" fontId="37" fillId="0" borderId="49" xfId="0" applyFont="1" applyBorder="1" applyAlignment="1">
      <alignment vertical="center" shrinkToFit="1"/>
    </xf>
    <xf numFmtId="0" fontId="37" fillId="0" borderId="55" xfId="0" applyFont="1" applyBorder="1" applyAlignment="1">
      <alignment vertical="center" shrinkToFit="1"/>
    </xf>
    <xf numFmtId="0" fontId="37" fillId="0" borderId="0" xfId="0" applyFont="1" applyAlignment="1">
      <alignment vertical="top" textRotation="255" shrinkToFit="1"/>
    </xf>
    <xf numFmtId="0" fontId="37" fillId="0" borderId="0" xfId="0" applyFont="1" applyAlignment="1">
      <alignment horizontal="left" vertical="top" textRotation="255" shrinkToFit="1"/>
    </xf>
    <xf numFmtId="0" fontId="37" fillId="0" borderId="178" xfId="0" applyFont="1" applyBorder="1" applyAlignment="1">
      <alignment horizontal="center" vertical="center" shrinkToFit="1"/>
    </xf>
    <xf numFmtId="0" fontId="42" fillId="0" borderId="0" xfId="0" applyFont="1" applyAlignment="1">
      <alignment horizontal="center" vertical="center" shrinkToFit="1"/>
    </xf>
    <xf numFmtId="0" fontId="37" fillId="0" borderId="0" xfId="0" applyFont="1" applyAlignment="1">
      <alignment horizontal="right" shrinkToFit="1"/>
    </xf>
    <xf numFmtId="0" fontId="37" fillId="0" borderId="0" xfId="0" applyFont="1" applyAlignment="1">
      <alignment horizontal="center" shrinkToFit="1"/>
    </xf>
    <xf numFmtId="0" fontId="37" fillId="0" borderId="0" xfId="0" applyFont="1" applyAlignment="1">
      <alignment horizontal="left" shrinkToFit="1"/>
    </xf>
    <xf numFmtId="0" fontId="37" fillId="0" borderId="0" xfId="0" applyFont="1" applyAlignment="1" applyProtection="1">
      <alignment horizontal="center"/>
      <protection hidden="1"/>
    </xf>
    <xf numFmtId="0" fontId="37" fillId="0" borderId="0" xfId="0" applyFont="1" applyAlignment="1">
      <alignment horizontal="center"/>
    </xf>
    <xf numFmtId="0" fontId="39" fillId="0" borderId="0" xfId="0" applyFont="1" applyAlignment="1" applyProtection="1">
      <alignment horizontal="center" vertical="center"/>
      <protection hidden="1"/>
    </xf>
    <xf numFmtId="0" fontId="39" fillId="0" borderId="0" xfId="0" applyFont="1" applyAlignment="1">
      <alignment horizontal="center" vertical="center" shrinkToFit="1"/>
    </xf>
    <xf numFmtId="0" fontId="39" fillId="0" borderId="0" xfId="0" applyFont="1" applyAlignment="1">
      <alignment horizontal="center" vertical="center"/>
    </xf>
    <xf numFmtId="0" fontId="39" fillId="0" borderId="0" xfId="0" applyFont="1" applyAlignment="1">
      <alignment horizontal="right" vertical="center" shrinkToFit="1"/>
    </xf>
    <xf numFmtId="0" fontId="62" fillId="0" borderId="0" xfId="0" applyFont="1" applyAlignment="1" applyProtection="1">
      <alignment horizontal="center" vertical="center"/>
      <protection hidden="1"/>
    </xf>
    <xf numFmtId="0" fontId="62" fillId="0" borderId="0" xfId="0" applyFont="1" applyAlignment="1">
      <alignment vertical="center" shrinkToFit="1"/>
    </xf>
    <xf numFmtId="0" fontId="37" fillId="0" borderId="0" xfId="0" applyFont="1" applyAlignment="1" applyProtection="1">
      <alignment vertical="center" shrinkToFit="1"/>
      <protection locked="0"/>
    </xf>
    <xf numFmtId="0" fontId="42" fillId="0" borderId="0" xfId="0" applyFont="1" applyAlignment="1">
      <alignment vertical="center" shrinkToFit="1"/>
    </xf>
    <xf numFmtId="0" fontId="37" fillId="0" borderId="0" xfId="0" applyFont="1" applyAlignment="1">
      <alignment shrinkToFit="1"/>
    </xf>
    <xf numFmtId="0" fontId="39" fillId="0" borderId="0" xfId="0" applyFont="1" applyAlignment="1">
      <alignment vertical="center" shrinkToFit="1"/>
    </xf>
    <xf numFmtId="0" fontId="37" fillId="0" borderId="173" xfId="0" applyFont="1" applyBorder="1" applyAlignment="1">
      <alignment horizontal="center" vertical="center" shrinkToFit="1"/>
    </xf>
    <xf numFmtId="0" fontId="37" fillId="0" borderId="173" xfId="0" applyFont="1" applyBorder="1" applyAlignment="1" applyProtection="1">
      <alignment vertical="center" shrinkToFit="1"/>
      <protection locked="0"/>
    </xf>
    <xf numFmtId="0" fontId="37" fillId="0" borderId="174" xfId="0" applyFont="1" applyBorder="1" applyAlignment="1">
      <alignment horizontal="center" vertical="center" shrinkToFit="1"/>
    </xf>
    <xf numFmtId="0" fontId="37" fillId="0" borderId="0" xfId="0" applyFont="1" applyAlignment="1">
      <alignment horizontal="right"/>
    </xf>
    <xf numFmtId="0" fontId="42" fillId="0" borderId="0" xfId="0" applyFont="1" applyAlignment="1">
      <alignment horizontal="right" vertical="center" shrinkToFit="1"/>
    </xf>
    <xf numFmtId="0" fontId="40" fillId="0" borderId="0" xfId="0" applyFont="1" applyAlignment="1">
      <alignment horizontal="distributed" vertical="center" justifyLastLine="1" shrinkToFit="1"/>
    </xf>
    <xf numFmtId="0" fontId="37" fillId="0" borderId="173" xfId="0" applyFont="1" applyBorder="1" applyAlignment="1">
      <alignment vertical="center" shrinkToFit="1"/>
    </xf>
    <xf numFmtId="0" fontId="37" fillId="0" borderId="173" xfId="0" applyFont="1" applyBorder="1" applyAlignment="1">
      <alignment vertical="top" textRotation="255" shrinkToFit="1"/>
    </xf>
    <xf numFmtId="0" fontId="37" fillId="0" borderId="185" xfId="0" applyFont="1" applyBorder="1" applyAlignment="1">
      <alignment vertical="top" textRotation="255" shrinkToFit="1"/>
    </xf>
    <xf numFmtId="0" fontId="37" fillId="0" borderId="178" xfId="0" applyFont="1" applyBorder="1" applyAlignment="1">
      <alignment vertical="top" textRotation="255" shrinkToFit="1"/>
    </xf>
    <xf numFmtId="0" fontId="37" fillId="0" borderId="178" xfId="0" applyFont="1" applyBorder="1" applyAlignment="1">
      <alignment horizontal="center" shrinkToFit="1"/>
    </xf>
    <xf numFmtId="0" fontId="39" fillId="0" borderId="178" xfId="0" applyFont="1" applyBorder="1" applyAlignment="1">
      <alignment horizontal="center" vertical="center" shrinkToFit="1"/>
    </xf>
    <xf numFmtId="0" fontId="37" fillId="0" borderId="178" xfId="0" applyFont="1" applyBorder="1" applyAlignment="1">
      <alignment vertical="center" shrinkToFit="1"/>
    </xf>
    <xf numFmtId="0" fontId="62" fillId="0" borderId="178" xfId="0" applyFont="1" applyBorder="1" applyAlignment="1">
      <alignment vertical="center" shrinkToFit="1"/>
    </xf>
    <xf numFmtId="0" fontId="37" fillId="0" borderId="0" xfId="0" applyFont="1" applyAlignment="1">
      <alignment horizontal="center" vertical="top" textRotation="255" shrinkToFit="1"/>
    </xf>
    <xf numFmtId="0" fontId="63" fillId="0" borderId="0" xfId="0" applyFont="1" applyAlignment="1">
      <alignment horizontal="center" vertical="center"/>
    </xf>
    <xf numFmtId="0" fontId="64" fillId="0" borderId="0" xfId="0" applyFont="1" applyAlignment="1" applyProtection="1">
      <alignment horizontal="center" vertical="distributed" textRotation="180" justifyLastLine="1" shrinkToFit="1"/>
      <protection hidden="1"/>
    </xf>
    <xf numFmtId="0" fontId="64" fillId="0" borderId="12" xfId="0" applyFont="1" applyBorder="1" applyAlignment="1">
      <alignment horizontal="center" vertical="distributed" textRotation="180" justifyLastLine="1" shrinkToFit="1"/>
    </xf>
    <xf numFmtId="0" fontId="64" fillId="0" borderId="0" xfId="0" applyFont="1" applyAlignment="1">
      <alignment horizontal="center" vertical="distributed" textRotation="180" justifyLastLine="1" shrinkToFit="1"/>
    </xf>
    <xf numFmtId="0" fontId="37" fillId="0" borderId="57" xfId="0" applyFont="1" applyBorder="1" applyAlignment="1">
      <alignment horizontal="center" vertical="center"/>
    </xf>
    <xf numFmtId="0" fontId="37" fillId="0" borderId="0" xfId="0" applyFont="1" applyAlignment="1">
      <alignment horizontal="center" vertical="center" textRotation="255" shrinkToFit="1"/>
    </xf>
    <xf numFmtId="0" fontId="37" fillId="0" borderId="0" xfId="0" applyFont="1" applyAlignment="1" applyProtection="1">
      <alignment horizontal="center" vertical="center" shrinkToFit="1"/>
      <protection locked="0"/>
    </xf>
    <xf numFmtId="0" fontId="37" fillId="0" borderId="0" xfId="0" applyFont="1" applyAlignment="1">
      <alignment vertical="center" textRotation="255" shrinkToFit="1"/>
    </xf>
    <xf numFmtId="0" fontId="37" fillId="0" borderId="177" xfId="0" applyFont="1" applyBorder="1" applyAlignment="1" applyProtection="1">
      <alignment horizontal="center" vertical="center" shrinkToFit="1"/>
      <protection locked="0"/>
    </xf>
    <xf numFmtId="0" fontId="37" fillId="0" borderId="178" xfId="0" applyFont="1" applyBorder="1" applyAlignment="1" applyProtection="1">
      <alignment horizontal="center" vertical="center" shrinkToFit="1"/>
      <protection locked="0"/>
    </xf>
    <xf numFmtId="0" fontId="37" fillId="0" borderId="50" xfId="0" applyFont="1" applyBorder="1" applyAlignment="1" applyProtection="1">
      <alignment horizontal="center" vertical="center"/>
      <protection locked="0"/>
    </xf>
    <xf numFmtId="0" fontId="37" fillId="0" borderId="0" xfId="0" applyFont="1" applyAlignment="1" applyProtection="1">
      <alignment horizontal="center" vertical="center"/>
      <protection locked="0"/>
    </xf>
    <xf numFmtId="0" fontId="37" fillId="0" borderId="51" xfId="0" applyFont="1" applyBorder="1" applyAlignment="1" applyProtection="1">
      <alignment horizontal="center" vertical="center"/>
      <protection locked="0"/>
    </xf>
    <xf numFmtId="0" fontId="40" fillId="0" borderId="0" xfId="0" applyFont="1" applyAlignment="1">
      <alignment horizontal="distributed" vertical="center" shrinkToFit="1"/>
    </xf>
    <xf numFmtId="0" fontId="62" fillId="0" borderId="178" xfId="0" applyFont="1" applyBorder="1" applyAlignment="1">
      <alignment horizontal="center" vertical="center" shrinkToFit="1"/>
    </xf>
    <xf numFmtId="0" fontId="37" fillId="0" borderId="16" xfId="0" applyFont="1" applyBorder="1" applyAlignment="1">
      <alignment horizontal="center" vertical="center"/>
    </xf>
    <xf numFmtId="0" fontId="41" fillId="0" borderId="0" xfId="0" applyFont="1" applyAlignment="1">
      <alignment vertical="top"/>
    </xf>
    <xf numFmtId="0" fontId="41" fillId="0" borderId="0" xfId="0" applyFont="1">
      <alignment vertical="center"/>
    </xf>
    <xf numFmtId="0" fontId="40" fillId="0" borderId="0" xfId="0" applyFont="1">
      <alignment vertical="center"/>
    </xf>
    <xf numFmtId="0" fontId="62" fillId="0" borderId="0" xfId="0" applyFont="1">
      <alignment vertical="center"/>
    </xf>
    <xf numFmtId="0" fontId="56" fillId="0" borderId="0" xfId="0" applyFont="1" applyAlignment="1">
      <alignment horizontal="center" vertical="top"/>
    </xf>
    <xf numFmtId="0" fontId="56" fillId="0" borderId="15" xfId="0" applyFont="1" applyBorder="1">
      <alignment vertical="center"/>
    </xf>
    <xf numFmtId="0" fontId="37" fillId="0" borderId="12" xfId="0" applyFont="1" applyBorder="1">
      <alignment vertical="center"/>
    </xf>
    <xf numFmtId="0" fontId="37" fillId="0" borderId="39" xfId="0" applyFont="1" applyBorder="1">
      <alignment vertical="center"/>
    </xf>
    <xf numFmtId="0" fontId="37" fillId="0" borderId="14" xfId="0" applyFont="1" applyBorder="1">
      <alignment vertical="center"/>
    </xf>
    <xf numFmtId="0" fontId="37" fillId="0" borderId="15" xfId="0" applyFont="1" applyBorder="1">
      <alignment vertical="center"/>
    </xf>
    <xf numFmtId="0" fontId="37" fillId="0" borderId="15" xfId="0" applyFont="1" applyBorder="1" applyAlignment="1">
      <alignment horizontal="center" vertical="center"/>
    </xf>
    <xf numFmtId="0" fontId="37" fillId="0" borderId="21" xfId="0" applyFont="1" applyBorder="1">
      <alignment vertical="center"/>
    </xf>
    <xf numFmtId="0" fontId="59" fillId="0" borderId="0" xfId="0" applyFont="1" applyAlignment="1">
      <alignment vertical="center" shrinkToFit="1"/>
    </xf>
    <xf numFmtId="0" fontId="59" fillId="0" borderId="15" xfId="0" applyFont="1" applyBorder="1" applyAlignment="1">
      <alignment vertical="center" shrinkToFit="1"/>
    </xf>
    <xf numFmtId="0" fontId="66" fillId="0" borderId="0" xfId="0" applyFont="1" applyAlignment="1">
      <alignment vertical="center" shrinkToFit="1"/>
    </xf>
    <xf numFmtId="0" fontId="40" fillId="0" borderId="15" xfId="0" applyFont="1" applyBorder="1" applyAlignment="1">
      <alignment horizontal="distributed" vertical="center" shrinkToFit="1"/>
    </xf>
    <xf numFmtId="0" fontId="67" fillId="0" borderId="0" xfId="0" applyFont="1" applyAlignment="1">
      <alignment vertical="center" shrinkToFit="1"/>
    </xf>
    <xf numFmtId="0" fontId="45" fillId="0" borderId="0" xfId="0" applyFont="1" applyAlignment="1">
      <alignment vertical="center" shrinkToFit="1"/>
    </xf>
    <xf numFmtId="0" fontId="37" fillId="4" borderId="0" xfId="0" applyFont="1" applyFill="1" applyAlignment="1">
      <alignment vertical="center" shrinkToFit="1"/>
    </xf>
    <xf numFmtId="0" fontId="42" fillId="0" borderId="0" xfId="0" applyFont="1" applyAlignment="1">
      <alignment horizontal="left" vertical="center" shrinkToFit="1"/>
    </xf>
    <xf numFmtId="0" fontId="42" fillId="0" borderId="0" xfId="0" applyFont="1">
      <alignment vertical="center"/>
    </xf>
    <xf numFmtId="0" fontId="68" fillId="0" borderId="0" xfId="0" applyFont="1" applyAlignment="1">
      <alignment vertical="center" shrinkToFit="1"/>
    </xf>
    <xf numFmtId="0" fontId="68" fillId="0" borderId="0" xfId="0" applyFont="1" applyAlignment="1">
      <alignment horizontal="left" vertical="center" shrinkToFit="1"/>
    </xf>
    <xf numFmtId="0" fontId="42" fillId="0" borderId="0" xfId="0" applyFont="1" applyAlignment="1" applyProtection="1">
      <alignment vertical="center" shrinkToFit="1"/>
      <protection locked="0"/>
    </xf>
    <xf numFmtId="0" fontId="42" fillId="0" borderId="0" xfId="0" applyFont="1" applyAlignment="1" applyProtection="1">
      <alignment horizontal="left" vertical="center" shrinkToFit="1"/>
      <protection locked="0"/>
    </xf>
    <xf numFmtId="0" fontId="42" fillId="4" borderId="0" xfId="0" applyFont="1" applyFill="1">
      <alignment vertical="center"/>
    </xf>
    <xf numFmtId="56" fontId="42" fillId="0" borderId="0" xfId="0" applyNumberFormat="1" applyFont="1" applyAlignment="1">
      <alignment horizontal="left" vertical="center" shrinkToFit="1"/>
    </xf>
    <xf numFmtId="0" fontId="42" fillId="0" borderId="0" xfId="0" applyFont="1" applyAlignment="1">
      <alignment horizontal="center" vertical="top" shrinkToFit="1"/>
    </xf>
    <xf numFmtId="0" fontId="42" fillId="0" borderId="0" xfId="0" applyFont="1" applyAlignment="1">
      <alignment vertical="top" textRotation="255" shrinkToFit="1"/>
    </xf>
    <xf numFmtId="0" fontId="42" fillId="0" borderId="49" xfId="0" applyFont="1" applyBorder="1" applyAlignment="1">
      <alignment vertical="center" shrinkToFit="1"/>
    </xf>
    <xf numFmtId="0" fontId="42" fillId="0" borderId="0" xfId="0" applyFont="1" applyAlignment="1">
      <alignment shrinkToFit="1"/>
    </xf>
    <xf numFmtId="0" fontId="69" fillId="0" borderId="0" xfId="0" applyFont="1" applyAlignment="1">
      <alignment shrinkToFit="1"/>
    </xf>
    <xf numFmtId="0" fontId="66" fillId="0" borderId="0" xfId="0" applyFont="1" applyAlignment="1">
      <alignment vertical="center" textRotation="255" shrinkToFit="1"/>
    </xf>
    <xf numFmtId="0" fontId="66" fillId="0" borderId="12" xfId="0" applyFont="1" applyBorder="1" applyAlignment="1">
      <alignment vertical="center" textRotation="255" shrinkToFit="1"/>
    </xf>
    <xf numFmtId="0" fontId="66" fillId="0" borderId="39" xfId="0" applyFont="1" applyBorder="1" applyAlignment="1">
      <alignment vertical="center" textRotation="255" shrinkToFit="1"/>
    </xf>
    <xf numFmtId="0" fontId="56" fillId="0" borderId="12" xfId="0" applyFont="1" applyBorder="1" applyAlignment="1">
      <alignment horizontal="center" vertical="distributed" textRotation="255" shrinkToFit="1"/>
    </xf>
    <xf numFmtId="0" fontId="56" fillId="0" borderId="39" xfId="0" applyFont="1" applyBorder="1" applyAlignment="1">
      <alignment horizontal="center" vertical="distributed" textRotation="255" shrinkToFit="1"/>
    </xf>
    <xf numFmtId="0" fontId="56" fillId="0" borderId="0" xfId="0" applyFont="1" applyAlignment="1">
      <alignment horizontal="center" vertical="distributed" textRotation="255" shrinkToFit="1"/>
    </xf>
    <xf numFmtId="0" fontId="42" fillId="0" borderId="0" xfId="0" applyFont="1" applyAlignment="1">
      <alignment horizontal="right" vertical="center"/>
    </xf>
    <xf numFmtId="0" fontId="42" fillId="0" borderId="0" xfId="0" applyFont="1" applyAlignment="1">
      <alignment horizontal="left" vertical="center" indent="1"/>
    </xf>
    <xf numFmtId="56" fontId="42" fillId="0" borderId="0" xfId="0" applyNumberFormat="1" applyFont="1" applyAlignment="1">
      <alignment horizontal="left" vertical="center"/>
    </xf>
    <xf numFmtId="56" fontId="42" fillId="0" borderId="0" xfId="0" applyNumberFormat="1" applyFont="1" applyAlignment="1">
      <alignment horizontal="center" vertical="center"/>
    </xf>
    <xf numFmtId="14" fontId="42" fillId="0" borderId="0" xfId="0" applyNumberFormat="1" applyFont="1" applyAlignment="1">
      <alignment vertical="center" shrinkToFit="1"/>
    </xf>
    <xf numFmtId="56" fontId="42" fillId="0" borderId="0" xfId="0" applyNumberFormat="1" applyFont="1">
      <alignment vertical="center"/>
    </xf>
    <xf numFmtId="0" fontId="42" fillId="0" borderId="190" xfId="0" applyFont="1" applyBorder="1" applyAlignment="1">
      <alignment vertical="center" shrinkToFit="1"/>
    </xf>
    <xf numFmtId="0" fontId="42" fillId="0" borderId="190" xfId="0" applyFont="1" applyBorder="1" applyAlignment="1">
      <alignment horizontal="right" vertical="center"/>
    </xf>
    <xf numFmtId="0" fontId="42" fillId="0" borderId="190" xfId="0" applyFont="1" applyBorder="1" applyAlignment="1">
      <alignment horizontal="center" vertical="top" shrinkToFit="1"/>
    </xf>
    <xf numFmtId="0" fontId="42" fillId="0" borderId="0" xfId="0" applyFont="1" applyAlignment="1">
      <alignment horizontal="left" vertical="center"/>
    </xf>
    <xf numFmtId="56" fontId="42" fillId="0" borderId="0" xfId="0" applyNumberFormat="1" applyFont="1" applyAlignment="1">
      <alignment horizontal="right" vertical="center"/>
    </xf>
    <xf numFmtId="56" fontId="42" fillId="0" borderId="0" xfId="0" applyNumberFormat="1" applyFont="1" applyAlignment="1">
      <alignment horizontal="right" vertical="center" shrinkToFit="1"/>
    </xf>
    <xf numFmtId="0" fontId="59" fillId="0" borderId="0" xfId="0" applyFont="1" applyAlignment="1">
      <alignment horizontal="center" vertical="distributed" textRotation="180" justifyLastLine="1" shrinkToFit="1"/>
    </xf>
    <xf numFmtId="0" fontId="70" fillId="0" borderId="0" xfId="0" applyFont="1" applyAlignment="1">
      <alignment horizontal="center" vertical="distributed" textRotation="180" justifyLastLine="1" shrinkToFit="1"/>
    </xf>
    <xf numFmtId="0" fontId="70" fillId="0" borderId="12" xfId="0" applyFont="1" applyBorder="1" applyAlignment="1">
      <alignment horizontal="center" vertical="distributed" textRotation="180" justifyLastLine="1" shrinkToFit="1"/>
    </xf>
    <xf numFmtId="0" fontId="70" fillId="0" borderId="39" xfId="0" applyFont="1" applyBorder="1" applyAlignment="1">
      <alignment horizontal="center" vertical="distributed" textRotation="180" justifyLastLine="1" shrinkToFit="1"/>
    </xf>
    <xf numFmtId="20" fontId="0" fillId="0" borderId="72" xfId="0" applyNumberFormat="1" applyBorder="1" applyAlignment="1">
      <alignment horizontal="right" vertical="center"/>
    </xf>
    <xf numFmtId="56" fontId="0" fillId="0" borderId="72" xfId="0" applyNumberFormat="1" applyBorder="1" applyAlignment="1">
      <alignment horizontal="left" vertical="center"/>
    </xf>
    <xf numFmtId="0" fontId="67" fillId="0" borderId="0" xfId="0" applyFont="1" applyAlignment="1">
      <alignment vertical="top" shrinkToFit="1"/>
    </xf>
    <xf numFmtId="0" fontId="67" fillId="0" borderId="155" xfId="0" applyFont="1" applyBorder="1" applyAlignment="1">
      <alignment vertical="top" shrinkToFit="1"/>
    </xf>
    <xf numFmtId="0" fontId="59" fillId="0" borderId="12" xfId="0" applyFont="1" applyBorder="1" applyAlignment="1">
      <alignment horizontal="center" vertical="distributed" textRotation="180" shrinkToFit="1"/>
    </xf>
    <xf numFmtId="0" fontId="59" fillId="0" borderId="39" xfId="0" applyFont="1" applyBorder="1" applyAlignment="1">
      <alignment horizontal="center" vertical="distributed" textRotation="180" shrinkToFit="1"/>
    </xf>
    <xf numFmtId="0" fontId="59" fillId="0" borderId="0" xfId="0" applyFont="1" applyAlignment="1">
      <alignment horizontal="center" vertical="distributed" textRotation="180" shrinkToFit="1"/>
    </xf>
    <xf numFmtId="180" fontId="42" fillId="0" borderId="50" xfId="0" applyNumberFormat="1" applyFont="1" applyBorder="1" applyAlignment="1">
      <alignment vertical="center" shrinkToFit="1"/>
    </xf>
    <xf numFmtId="180" fontId="42" fillId="0" borderId="51" xfId="0" applyNumberFormat="1" applyFont="1" applyBorder="1" applyAlignment="1">
      <alignment vertical="center" shrinkToFit="1"/>
    </xf>
    <xf numFmtId="0" fontId="37" fillId="0" borderId="11" xfId="0" applyFont="1" applyBorder="1" applyAlignment="1">
      <alignment horizontal="distributed" vertical="center" justifyLastLine="1"/>
    </xf>
    <xf numFmtId="0" fontId="37" fillId="0" borderId="18" xfId="0" applyFont="1" applyBorder="1" applyAlignment="1">
      <alignment horizontal="distributed" vertical="center" justifyLastLine="1"/>
    </xf>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9" fillId="0" borderId="47"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48" xfId="0" applyFont="1" applyBorder="1" applyAlignment="1">
      <alignment horizontal="center" vertical="center" shrinkToFit="1"/>
    </xf>
    <xf numFmtId="0" fontId="9" fillId="0" borderId="5" xfId="0" applyFont="1" applyBorder="1" applyAlignment="1">
      <alignment horizontal="center" vertical="center" wrapText="1" shrinkToFit="1"/>
    </xf>
    <xf numFmtId="0" fontId="9" fillId="0" borderId="0" xfId="0" applyFont="1" applyAlignment="1" applyProtection="1">
      <alignment horizontal="right" vertical="center"/>
      <protection locked="0"/>
    </xf>
    <xf numFmtId="0" fontId="9" fillId="0" borderId="0" xfId="0" applyFont="1" applyAlignment="1">
      <alignment horizontal="center" vertical="center"/>
    </xf>
    <xf numFmtId="0" fontId="9" fillId="0" borderId="0" xfId="0" applyFont="1" applyAlignment="1" applyProtection="1">
      <alignment horizontal="left" vertical="center"/>
      <protection locked="0"/>
    </xf>
    <xf numFmtId="0" fontId="11" fillId="0" borderId="0" xfId="0" applyFont="1" applyAlignment="1">
      <alignment horizontal="center" vertical="top" textRotation="255"/>
    </xf>
    <xf numFmtId="0" fontId="12" fillId="0" borderId="0" xfId="0" applyFont="1" applyAlignment="1">
      <alignment horizontal="center" vertical="center" shrinkToFit="1"/>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9" fillId="0" borderId="0" xfId="0" applyFont="1" applyAlignment="1">
      <alignment horizontal="left" vertical="center"/>
    </xf>
    <xf numFmtId="0" fontId="9" fillId="0" borderId="51" xfId="0" applyFont="1" applyBorder="1" applyAlignment="1">
      <alignment horizontal="left" vertical="center"/>
    </xf>
    <xf numFmtId="0" fontId="9" fillId="0" borderId="50" xfId="0" applyFont="1" applyBorder="1" applyAlignment="1">
      <alignment horizontal="right" vertical="center"/>
    </xf>
    <xf numFmtId="0" fontId="9" fillId="0" borderId="0" xfId="0" applyFont="1" applyAlignment="1">
      <alignment horizontal="right" vertical="center"/>
    </xf>
    <xf numFmtId="0" fontId="9" fillId="0" borderId="49" xfId="0" applyFont="1" applyBorder="1" applyAlignment="1">
      <alignment horizontal="center" vertical="center"/>
    </xf>
    <xf numFmtId="0" fontId="10" fillId="0" borderId="0" xfId="0" applyFont="1" applyAlignment="1">
      <alignment horizontal="center" vertical="center"/>
    </xf>
    <xf numFmtId="0" fontId="9" fillId="0" borderId="55" xfId="0" applyFont="1" applyBorder="1" applyAlignment="1">
      <alignment horizontal="center" vertical="center"/>
    </xf>
    <xf numFmtId="0" fontId="9" fillId="0" borderId="0" xfId="0" applyFont="1" applyAlignment="1">
      <alignment horizontal="left" vertical="top" textRotation="255"/>
    </xf>
    <xf numFmtId="0" fontId="30" fillId="0" borderId="0" xfId="0" applyFont="1" applyAlignment="1">
      <alignment horizontal="right" vertical="center"/>
    </xf>
    <xf numFmtId="0" fontId="30" fillId="0" borderId="0" xfId="0" applyFont="1" applyAlignment="1">
      <alignment horizontal="left" vertical="center"/>
    </xf>
    <xf numFmtId="0" fontId="9" fillId="0" borderId="0" xfId="0" applyFont="1" applyAlignment="1">
      <alignment horizontal="right" vertical="top" textRotation="255"/>
    </xf>
    <xf numFmtId="0" fontId="9" fillId="0" borderId="54" xfId="0" applyFont="1" applyBorder="1" applyAlignment="1">
      <alignment horizontal="center" vertical="center"/>
    </xf>
    <xf numFmtId="0" fontId="13" fillId="0" borderId="0" xfId="0" applyFont="1" applyAlignment="1">
      <alignment horizontal="center" vertical="top"/>
    </xf>
    <xf numFmtId="0" fontId="9" fillId="0" borderId="0" xfId="0" applyFont="1" applyAlignment="1">
      <alignment horizontal="center" vertical="center" shrinkToFit="1"/>
    </xf>
    <xf numFmtId="0" fontId="29" fillId="0" borderId="0" xfId="0" applyFont="1" applyAlignment="1">
      <alignment horizontal="left" vertical="center"/>
    </xf>
    <xf numFmtId="0" fontId="9" fillId="0" borderId="161" xfId="0" applyFont="1" applyBorder="1" applyAlignment="1">
      <alignment horizontal="center" vertical="center" shrinkToFit="1"/>
    </xf>
    <xf numFmtId="0" fontId="9" fillId="0" borderId="162" xfId="0" applyFont="1" applyBorder="1" applyAlignment="1">
      <alignment horizontal="center" vertical="center" shrinkToFit="1"/>
    </xf>
    <xf numFmtId="0" fontId="9" fillId="0" borderId="162" xfId="0" applyFont="1" applyBorder="1" applyAlignment="1">
      <alignment vertical="center" shrinkToFit="1"/>
    </xf>
    <xf numFmtId="0" fontId="9" fillId="0" borderId="163" xfId="0" applyFont="1" applyBorder="1" applyAlignment="1">
      <alignment vertical="center" shrinkToFit="1"/>
    </xf>
    <xf numFmtId="0" fontId="9" fillId="0" borderId="164" xfId="0" applyFont="1" applyBorder="1" applyAlignment="1">
      <alignment vertical="center" shrinkToFit="1"/>
    </xf>
    <xf numFmtId="0" fontId="9" fillId="0" borderId="165" xfId="0" applyFont="1" applyBorder="1" applyAlignment="1">
      <alignment vertical="center" shrinkToFit="1"/>
    </xf>
    <xf numFmtId="0" fontId="9" fillId="0" borderId="166" xfId="0" applyFont="1" applyBorder="1" applyAlignment="1">
      <alignment vertical="center" shrinkToFit="1"/>
    </xf>
    <xf numFmtId="0" fontId="9" fillId="0" borderId="167" xfId="0" applyFont="1" applyBorder="1" applyAlignment="1">
      <alignment vertical="center" shrinkToFit="1"/>
    </xf>
    <xf numFmtId="0" fontId="9" fillId="0" borderId="168" xfId="0" applyFont="1" applyBorder="1" applyAlignment="1">
      <alignment vertical="center" shrinkToFit="1"/>
    </xf>
    <xf numFmtId="0" fontId="9" fillId="0" borderId="169" xfId="0" applyFont="1" applyBorder="1" applyAlignment="1">
      <alignment vertical="center" shrinkToFit="1"/>
    </xf>
    <xf numFmtId="0" fontId="9" fillId="0" borderId="5" xfId="0" applyFont="1" applyBorder="1" applyAlignment="1">
      <alignment horizontal="center" vertical="center" textRotation="255" wrapText="1"/>
    </xf>
    <xf numFmtId="0" fontId="9" fillId="0" borderId="26" xfId="0" applyFont="1" applyBorder="1" applyAlignment="1">
      <alignment horizontal="center" vertical="center"/>
    </xf>
    <xf numFmtId="0" fontId="9" fillId="0" borderId="37" xfId="0" applyFont="1" applyBorder="1" applyAlignment="1">
      <alignment horizontal="center" vertical="center"/>
    </xf>
    <xf numFmtId="0" fontId="9" fillId="0" borderId="22" xfId="0" applyFont="1" applyBorder="1" applyAlignment="1">
      <alignment horizontal="center" vertical="center"/>
    </xf>
    <xf numFmtId="0" fontId="11" fillId="0" borderId="159" xfId="0" applyFont="1" applyBorder="1" applyAlignment="1">
      <alignment horizontal="distributed" vertical="center" shrinkToFit="1"/>
    </xf>
    <xf numFmtId="20" fontId="9" fillId="0" borderId="50" xfId="0" applyNumberFormat="1" applyFont="1" applyBorder="1" applyAlignment="1">
      <alignment horizontal="center" vertical="center"/>
    </xf>
    <xf numFmtId="0" fontId="34" fillId="0" borderId="0" xfId="0" applyFont="1" applyAlignment="1">
      <alignment horizontal="center" vertical="top"/>
    </xf>
    <xf numFmtId="0" fontId="28" fillId="0" borderId="47" xfId="0" applyFont="1" applyBorder="1" applyAlignment="1">
      <alignment horizontal="center" vertical="center" wrapText="1" shrinkToFit="1"/>
    </xf>
    <xf numFmtId="0" fontId="28" fillId="0" borderId="16" xfId="0" applyFont="1" applyBorder="1" applyAlignment="1">
      <alignment horizontal="center" vertical="center" shrinkToFit="1"/>
    </xf>
    <xf numFmtId="0" fontId="28" fillId="0" borderId="48" xfId="0" applyFont="1" applyBorder="1" applyAlignment="1">
      <alignment horizontal="center" vertical="center" shrinkToFit="1"/>
    </xf>
    <xf numFmtId="0" fontId="28" fillId="0" borderId="12" xfId="0" applyFont="1" applyBorder="1" applyAlignment="1">
      <alignment horizontal="center" vertical="center" shrinkToFit="1"/>
    </xf>
    <xf numFmtId="0" fontId="28" fillId="0" borderId="0" xfId="0" applyFont="1" applyAlignment="1">
      <alignment horizontal="center" vertical="center" shrinkToFit="1"/>
    </xf>
    <xf numFmtId="0" fontId="28" fillId="0" borderId="39" xfId="0" applyFont="1" applyBorder="1" applyAlignment="1">
      <alignment horizontal="center" vertical="center" shrinkToFit="1"/>
    </xf>
    <xf numFmtId="0" fontId="28" fillId="0" borderId="14" xfId="0" applyFont="1" applyBorder="1" applyAlignment="1">
      <alignment horizontal="center" vertical="center" shrinkToFit="1"/>
    </xf>
    <xf numFmtId="0" fontId="28" fillId="0" borderId="15" xfId="0" applyFont="1" applyBorder="1" applyAlignment="1">
      <alignment horizontal="center" vertical="center" shrinkToFit="1"/>
    </xf>
    <xf numFmtId="0" fontId="28" fillId="0" borderId="21" xfId="0" applyFont="1" applyBorder="1" applyAlignment="1">
      <alignment horizontal="center" vertical="center" shrinkToFit="1"/>
    </xf>
    <xf numFmtId="0" fontId="9" fillId="0" borderId="161" xfId="0" applyFont="1" applyBorder="1" applyAlignment="1">
      <alignment horizontal="center" vertical="center" wrapText="1" shrinkToFit="1"/>
    </xf>
    <xf numFmtId="0" fontId="9" fillId="0" borderId="163" xfId="0" applyFont="1" applyBorder="1" applyAlignment="1">
      <alignment horizontal="center" vertical="center" shrinkToFit="1"/>
    </xf>
    <xf numFmtId="0" fontId="9" fillId="0" borderId="164" xfId="0" applyFont="1" applyBorder="1" applyAlignment="1">
      <alignment horizontal="center" vertical="center" shrinkToFit="1"/>
    </xf>
    <xf numFmtId="0" fontId="9" fillId="0" borderId="165" xfId="0" applyFont="1" applyBorder="1" applyAlignment="1">
      <alignment horizontal="center" vertical="center" shrinkToFit="1"/>
    </xf>
    <xf numFmtId="0" fontId="9" fillId="0" borderId="166" xfId="0" applyFont="1" applyBorder="1" applyAlignment="1">
      <alignment horizontal="center" vertical="center" shrinkToFit="1"/>
    </xf>
    <xf numFmtId="0" fontId="9" fillId="0" borderId="167" xfId="0" applyFont="1" applyBorder="1" applyAlignment="1">
      <alignment horizontal="center" vertical="center" shrinkToFit="1"/>
    </xf>
    <xf numFmtId="0" fontId="9" fillId="0" borderId="168" xfId="0" applyFont="1" applyBorder="1" applyAlignment="1">
      <alignment horizontal="center" vertical="center" shrinkToFit="1"/>
    </xf>
    <xf numFmtId="0" fontId="9" fillId="0" borderId="169" xfId="0" applyFont="1" applyBorder="1" applyAlignment="1">
      <alignment horizontal="center" vertical="center" shrinkToFit="1"/>
    </xf>
    <xf numFmtId="0" fontId="11" fillId="0" borderId="47" xfId="0" applyFont="1" applyBorder="1" applyAlignment="1">
      <alignment horizontal="center" vertical="center" wrapText="1" shrinkToFit="1"/>
    </xf>
    <xf numFmtId="0" fontId="11" fillId="0" borderId="16" xfId="0" applyFont="1" applyBorder="1" applyAlignment="1">
      <alignment horizontal="center" vertical="center" shrinkToFit="1"/>
    </xf>
    <xf numFmtId="0" fontId="11" fillId="0" borderId="48"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0" xfId="0" applyFont="1" applyAlignment="1">
      <alignment horizontal="center" vertical="center" shrinkToFit="1"/>
    </xf>
    <xf numFmtId="0" fontId="11" fillId="0" borderId="39"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21" xfId="0" applyFont="1" applyBorder="1" applyAlignment="1">
      <alignment horizontal="center" vertical="center" shrinkToFit="1"/>
    </xf>
    <xf numFmtId="0" fontId="35" fillId="0" borderId="160" xfId="0" applyFont="1" applyBorder="1" applyAlignment="1">
      <alignment horizontal="distributed" vertical="center" shrinkToFit="1"/>
    </xf>
    <xf numFmtId="0" fontId="32" fillId="0" borderId="160" xfId="0" applyFont="1" applyBorder="1" applyAlignment="1">
      <alignment horizontal="distributed" vertical="center" shrinkToFit="1"/>
    </xf>
    <xf numFmtId="0" fontId="9" fillId="0" borderId="159" xfId="0" applyFont="1" applyBorder="1" applyAlignment="1">
      <alignment horizontal="distributed" vertical="center" shrinkToFit="1"/>
    </xf>
    <xf numFmtId="0" fontId="11" fillId="0" borderId="160" xfId="0" applyFont="1" applyBorder="1" applyAlignment="1">
      <alignment horizontal="distributed" vertical="center" shrinkToFit="1"/>
    </xf>
    <xf numFmtId="0" fontId="9" fillId="0" borderId="160" xfId="0" applyFont="1" applyBorder="1" applyAlignment="1">
      <alignment horizontal="distributed" vertical="center" shrinkToFit="1"/>
    </xf>
    <xf numFmtId="0" fontId="11" fillId="0" borderId="0" xfId="0" applyFont="1" applyAlignment="1" applyProtection="1">
      <alignment horizontal="center" vertical="top" textRotation="255" indent="1" shrinkToFit="1"/>
      <protection hidden="1"/>
    </xf>
    <xf numFmtId="0" fontId="11" fillId="0" borderId="0" xfId="0" applyFont="1" applyAlignment="1">
      <alignment horizontal="center" vertical="top" textRotation="255" indent="1" shrinkToFit="1"/>
    </xf>
    <xf numFmtId="0" fontId="9" fillId="0" borderId="50" xfId="0" applyFont="1" applyBorder="1" applyAlignment="1">
      <alignment horizontal="center" vertical="center" shrinkToFit="1"/>
    </xf>
    <xf numFmtId="0" fontId="9" fillId="0" borderId="0" xfId="0" applyFont="1" applyAlignment="1" applyProtection="1">
      <alignment horizontal="right" vertical="center" shrinkToFit="1"/>
      <protection locked="0"/>
    </xf>
    <xf numFmtId="0" fontId="9" fillId="0" borderId="0" xfId="0" applyFont="1" applyAlignment="1" applyProtection="1">
      <alignment horizontal="left" vertical="center" shrinkToFit="1"/>
      <protection locked="0"/>
    </xf>
    <xf numFmtId="0" fontId="32" fillId="0" borderId="0" xfId="0" applyFont="1" applyAlignment="1">
      <alignment horizontal="center" vertical="center" shrinkToFit="1"/>
    </xf>
    <xf numFmtId="0" fontId="9" fillId="0" borderId="0" xfId="0" applyFont="1" applyAlignment="1">
      <alignment horizontal="center" shrinkToFit="1"/>
    </xf>
    <xf numFmtId="0" fontId="9" fillId="0" borderId="51" xfId="0" applyFont="1" applyBorder="1" applyAlignment="1" applyProtection="1">
      <alignment horizontal="center" vertical="center" shrinkToFit="1"/>
      <protection locked="0"/>
    </xf>
    <xf numFmtId="0" fontId="9" fillId="0" borderId="49" xfId="0" applyFont="1" applyBorder="1" applyAlignment="1" applyProtection="1">
      <alignment horizontal="right" vertical="center" shrinkToFit="1"/>
      <protection hidden="1"/>
    </xf>
    <xf numFmtId="0" fontId="9" fillId="0" borderId="49" xfId="0" applyFont="1" applyBorder="1" applyAlignment="1">
      <alignment vertical="center" shrinkToFit="1"/>
    </xf>
    <xf numFmtId="0" fontId="9" fillId="0" borderId="49" xfId="0" applyFont="1" applyBorder="1" applyAlignment="1" applyProtection="1">
      <alignment horizontal="center" vertical="center" shrinkToFit="1"/>
      <protection hidden="1"/>
    </xf>
    <xf numFmtId="0" fontId="9" fillId="0" borderId="0" xfId="0" applyFont="1" applyAlignment="1">
      <alignment horizontal="right" vertical="center" shrinkToFit="1"/>
    </xf>
    <xf numFmtId="0" fontId="9" fillId="0" borderId="0" xfId="0" applyFont="1" applyAlignment="1">
      <alignment horizontal="left" vertical="center" shrinkToFit="1"/>
    </xf>
    <xf numFmtId="0" fontId="30" fillId="0" borderId="0" xfId="0" applyFont="1" applyAlignment="1">
      <alignment horizontal="left" vertical="center" shrinkToFit="1"/>
    </xf>
    <xf numFmtId="0" fontId="30" fillId="0" borderId="0" xfId="0" applyFont="1" applyAlignment="1">
      <alignment horizontal="right" vertical="center" shrinkToFit="1"/>
    </xf>
    <xf numFmtId="0" fontId="9" fillId="0" borderId="51" xfId="0" applyFont="1" applyBorder="1" applyAlignment="1">
      <alignment horizontal="center" vertical="center" shrinkToFit="1"/>
    </xf>
    <xf numFmtId="0" fontId="9" fillId="0" borderId="54" xfId="0" applyFont="1" applyBorder="1" applyAlignment="1">
      <alignment horizontal="center" vertical="center" shrinkToFit="1"/>
    </xf>
    <xf numFmtId="0" fontId="9" fillId="0" borderId="50" xfId="0" applyFont="1" applyBorder="1" applyAlignment="1" applyProtection="1">
      <alignment horizontal="center" vertical="top" textRotation="255" shrinkToFit="1"/>
      <protection hidden="1"/>
    </xf>
    <xf numFmtId="0" fontId="9" fillId="0" borderId="50" xfId="0" applyFont="1" applyBorder="1" applyAlignment="1">
      <alignment vertical="center" shrinkToFit="1"/>
    </xf>
    <xf numFmtId="0" fontId="9" fillId="0" borderId="0" xfId="0" applyFont="1" applyAlignment="1">
      <alignment horizontal="right" vertical="top" textRotation="255" shrinkToFit="1"/>
    </xf>
    <xf numFmtId="0" fontId="10" fillId="0" borderId="77" xfId="0" applyFont="1" applyBorder="1" applyAlignment="1" applyProtection="1">
      <alignment horizontal="center" vertical="distributed" textRotation="255" indent="1" shrinkToFit="1"/>
      <protection hidden="1"/>
    </xf>
    <xf numFmtId="0" fontId="10" fillId="0" borderId="58" xfId="0" applyFont="1" applyBorder="1" applyAlignment="1">
      <alignment horizontal="center" vertical="distributed" textRotation="255" indent="1"/>
    </xf>
    <xf numFmtId="0" fontId="10" fillId="0" borderId="24" xfId="0" applyFont="1" applyBorder="1" applyAlignment="1">
      <alignment horizontal="center" vertical="distributed" textRotation="255" indent="1"/>
    </xf>
    <xf numFmtId="0" fontId="9" fillId="0" borderId="77" xfId="0" applyFont="1" applyBorder="1" applyAlignment="1">
      <alignment horizontal="distributed" vertical="center"/>
    </xf>
    <xf numFmtId="0" fontId="9" fillId="0" borderId="58" xfId="0" applyFont="1" applyBorder="1" applyAlignment="1">
      <alignment horizontal="distributed" vertical="center"/>
    </xf>
    <xf numFmtId="0" fontId="9" fillId="0" borderId="58" xfId="0" applyFont="1" applyBorder="1">
      <alignment vertical="center"/>
    </xf>
    <xf numFmtId="0" fontId="9" fillId="0" borderId="24" xfId="0" applyFont="1" applyBorder="1">
      <alignment vertical="center"/>
    </xf>
    <xf numFmtId="0" fontId="11" fillId="0" borderId="0" xfId="0" applyFont="1" applyAlignment="1">
      <alignment horizontal="center" vertical="top"/>
    </xf>
    <xf numFmtId="0" fontId="10" fillId="0" borderId="58" xfId="0" applyFont="1" applyBorder="1" applyAlignment="1" applyProtection="1">
      <alignment horizontal="center" vertical="distributed" textRotation="255" indent="1" shrinkToFit="1"/>
      <protection hidden="1"/>
    </xf>
    <xf numFmtId="0" fontId="9" fillId="0" borderId="49" xfId="0" applyFont="1" applyBorder="1" applyAlignment="1">
      <alignment horizontal="center" vertical="center" shrinkToFit="1"/>
    </xf>
    <xf numFmtId="0" fontId="9" fillId="0" borderId="0" xfId="0" applyFont="1" applyAlignment="1">
      <alignment horizontal="left" vertical="top" textRotation="255" shrinkToFit="1"/>
    </xf>
    <xf numFmtId="0" fontId="9" fillId="0" borderId="55" xfId="0" applyFont="1" applyBorder="1" applyAlignment="1">
      <alignment horizontal="center" vertical="center" shrinkToFit="1"/>
    </xf>
    <xf numFmtId="0" fontId="9" fillId="0" borderId="173" xfId="0" applyFont="1" applyBorder="1" applyAlignment="1" applyProtection="1">
      <alignment horizontal="right" vertical="center" shrinkToFit="1"/>
      <protection locked="0"/>
    </xf>
    <xf numFmtId="0" fontId="9" fillId="0" borderId="173" xfId="0" applyFont="1" applyBorder="1" applyAlignment="1">
      <alignment horizontal="center" vertical="center" shrinkToFit="1"/>
    </xf>
    <xf numFmtId="0" fontId="9" fillId="0" borderId="173" xfId="0" applyFont="1" applyBorder="1" applyAlignment="1" applyProtection="1">
      <alignment horizontal="left" vertical="center" shrinkToFit="1"/>
      <protection locked="0"/>
    </xf>
    <xf numFmtId="0" fontId="11" fillId="0" borderId="160" xfId="0" applyFont="1" applyBorder="1" applyAlignment="1" applyProtection="1">
      <alignment horizontal="distributed" vertical="center" shrinkToFit="1"/>
      <protection hidden="1"/>
    </xf>
    <xf numFmtId="0" fontId="10" fillId="0" borderId="160" xfId="0" applyFont="1" applyBorder="1" applyAlignment="1">
      <alignment horizontal="left" vertical="center"/>
    </xf>
    <xf numFmtId="0" fontId="10" fillId="0" borderId="0" xfId="0" applyFont="1" applyAlignment="1">
      <alignment horizontal="right" vertical="center" shrinkToFit="1"/>
    </xf>
    <xf numFmtId="0" fontId="0" fillId="0" borderId="0" xfId="0">
      <alignment vertical="center"/>
    </xf>
    <xf numFmtId="0" fontId="11" fillId="0" borderId="159" xfId="0" applyFont="1" applyBorder="1" applyAlignment="1" applyProtection="1">
      <alignment horizontal="distributed" vertical="center" shrinkToFit="1"/>
      <protection hidden="1"/>
    </xf>
    <xf numFmtId="0" fontId="10" fillId="0" borderId="159" xfId="0" applyFont="1" applyBorder="1" applyAlignment="1">
      <alignment horizontal="left" vertical="center"/>
    </xf>
    <xf numFmtId="0" fontId="11" fillId="0" borderId="0" xfId="0" applyFont="1" applyAlignment="1">
      <alignment horizontal="right" vertical="center" shrinkToFit="1"/>
    </xf>
    <xf numFmtId="0" fontId="13" fillId="0" borderId="0" xfId="0" applyFont="1" applyAlignment="1">
      <alignment horizontal="distributed" vertical="center" justifyLastLine="1" shrinkToFit="1"/>
    </xf>
    <xf numFmtId="0" fontId="13" fillId="0" borderId="15" xfId="0" applyFont="1" applyBorder="1" applyAlignment="1">
      <alignment horizontal="distributed" vertical="center" justifyLastLine="1" shrinkToFit="1"/>
    </xf>
    <xf numFmtId="0" fontId="30" fillId="0" borderId="51" xfId="0" applyFont="1" applyBorder="1" applyAlignment="1">
      <alignment horizontal="center" vertical="center" shrinkToFit="1"/>
    </xf>
    <xf numFmtId="0" fontId="30" fillId="0" borderId="54" xfId="0" applyFont="1" applyBorder="1" applyAlignment="1">
      <alignment horizontal="center" vertical="center" shrinkToFit="1"/>
    </xf>
    <xf numFmtId="0" fontId="10" fillId="0" borderId="0" xfId="0" applyFont="1" applyAlignment="1">
      <alignment horizontal="right" vertical="center"/>
    </xf>
    <xf numFmtId="0" fontId="11" fillId="0" borderId="160" xfId="0" applyFont="1" applyBorder="1" applyAlignment="1" applyProtection="1">
      <alignment horizontal="left" vertical="center" shrinkToFit="1"/>
      <protection hidden="1"/>
    </xf>
    <xf numFmtId="0" fontId="11" fillId="0" borderId="160" xfId="0" applyFont="1" applyBorder="1" applyAlignment="1">
      <alignment horizontal="left" vertical="center" shrinkToFit="1"/>
    </xf>
    <xf numFmtId="0" fontId="11" fillId="0" borderId="159" xfId="0" applyFont="1" applyBorder="1" applyAlignment="1" applyProtection="1">
      <alignment horizontal="left" vertical="center" shrinkToFit="1"/>
      <protection hidden="1"/>
    </xf>
    <xf numFmtId="0" fontId="13" fillId="0" borderId="0" xfId="0" applyFont="1" applyAlignment="1">
      <alignment horizontal="center" vertical="center" shrinkToFit="1"/>
    </xf>
    <xf numFmtId="0" fontId="13" fillId="0" borderId="15" xfId="0" applyFont="1" applyBorder="1" applyAlignment="1">
      <alignment horizontal="center" vertical="center" shrinkToFit="1"/>
    </xf>
    <xf numFmtId="0" fontId="11" fillId="0" borderId="159" xfId="0" applyFont="1" applyBorder="1" applyAlignment="1">
      <alignment horizontal="left" vertical="center" shrinkToFit="1"/>
    </xf>
    <xf numFmtId="0" fontId="9" fillId="0" borderId="175" xfId="0" applyFont="1" applyBorder="1" applyAlignment="1">
      <alignment horizontal="center" vertical="center" shrinkToFit="1"/>
    </xf>
    <xf numFmtId="0" fontId="9" fillId="0" borderId="176" xfId="0" applyFont="1" applyBorder="1" applyAlignment="1">
      <alignment horizontal="center" vertical="center" shrinkToFit="1"/>
    </xf>
    <xf numFmtId="180" fontId="9" fillId="0" borderId="0" xfId="0" applyNumberFormat="1" applyFont="1" applyAlignment="1">
      <alignment horizontal="center" vertical="center" shrinkToFit="1"/>
    </xf>
    <xf numFmtId="0" fontId="12" fillId="0" borderId="170" xfId="0" applyFont="1" applyBorder="1" applyAlignment="1">
      <alignment horizontal="center" vertical="center" shrinkToFit="1"/>
    </xf>
    <xf numFmtId="0" fontId="9" fillId="0" borderId="170" xfId="0" applyFont="1" applyBorder="1" applyAlignment="1">
      <alignment horizontal="left" vertical="center" shrinkToFit="1"/>
    </xf>
    <xf numFmtId="0" fontId="33" fillId="0" borderId="0" xfId="0" applyFont="1" applyAlignment="1">
      <alignment horizontal="left" vertical="center"/>
    </xf>
    <xf numFmtId="0" fontId="33" fillId="0" borderId="0" xfId="0" applyFont="1" applyAlignment="1">
      <alignment horizontal="right" vertical="center"/>
    </xf>
    <xf numFmtId="0" fontId="9" fillId="0" borderId="16" xfId="0" applyFont="1" applyBorder="1" applyAlignment="1">
      <alignment horizontal="right" vertical="center" shrinkToFit="1"/>
    </xf>
    <xf numFmtId="0" fontId="9" fillId="0" borderId="16" xfId="0" applyFont="1" applyBorder="1" applyAlignment="1">
      <alignment horizontal="left" vertical="center" shrinkToFit="1"/>
    </xf>
    <xf numFmtId="20" fontId="9" fillId="0" borderId="0" xfId="0" applyNumberFormat="1" applyFont="1" applyAlignment="1">
      <alignment horizontal="center" vertical="center" shrinkToFit="1"/>
    </xf>
    <xf numFmtId="0" fontId="9" fillId="0" borderId="170" xfId="0" applyFont="1" applyBorder="1" applyAlignment="1">
      <alignment horizontal="right" vertical="center" shrinkToFit="1"/>
    </xf>
    <xf numFmtId="0" fontId="9" fillId="0" borderId="170" xfId="0" applyFont="1" applyBorder="1" applyAlignment="1">
      <alignment horizontal="right" vertical="top" textRotation="255" shrinkToFit="1"/>
    </xf>
    <xf numFmtId="0" fontId="9" fillId="0" borderId="170" xfId="0" applyFont="1" applyBorder="1" applyAlignment="1">
      <alignment horizontal="left" vertical="top" textRotation="255" shrinkToFit="1"/>
    </xf>
    <xf numFmtId="0" fontId="9" fillId="0" borderId="39" xfId="0" applyFont="1" applyBorder="1" applyAlignment="1">
      <alignment horizontal="center" vertical="center" shrinkToFit="1"/>
    </xf>
    <xf numFmtId="0" fontId="9" fillId="0" borderId="16" xfId="0" applyFont="1" applyBorder="1" applyAlignment="1">
      <alignment horizontal="center" shrinkToFit="1"/>
    </xf>
    <xf numFmtId="0" fontId="9" fillId="0" borderId="12" xfId="0" applyFont="1" applyBorder="1" applyAlignment="1">
      <alignment horizontal="center" vertical="center" shrinkToFit="1"/>
    </xf>
    <xf numFmtId="20" fontId="9" fillId="0" borderId="12" xfId="0" applyNumberFormat="1" applyFont="1" applyBorder="1" applyAlignment="1">
      <alignment horizontal="center" vertical="center" shrinkToFit="1"/>
    </xf>
    <xf numFmtId="0" fontId="9" fillId="0" borderId="170" xfId="0" applyFont="1" applyBorder="1" applyAlignment="1">
      <alignment horizontal="center" vertical="center" shrinkToFit="1"/>
    </xf>
    <xf numFmtId="0" fontId="9" fillId="0" borderId="0" xfId="0" applyFont="1" applyAlignment="1" applyProtection="1">
      <alignment horizontal="right" vertical="top"/>
      <protection hidden="1"/>
    </xf>
    <xf numFmtId="0" fontId="9" fillId="0" borderId="47" xfId="0" applyFont="1" applyBorder="1" applyAlignment="1">
      <alignment horizontal="center"/>
    </xf>
    <xf numFmtId="0" fontId="9" fillId="0" borderId="16" xfId="0" applyFont="1" applyBorder="1" applyAlignment="1">
      <alignment horizontal="center"/>
    </xf>
    <xf numFmtId="0" fontId="9" fillId="0" borderId="48" xfId="0" applyFont="1" applyBorder="1" applyAlignment="1">
      <alignment horizontal="center"/>
    </xf>
    <xf numFmtId="0" fontId="9" fillId="0" borderId="47" xfId="0" applyFont="1" applyBorder="1" applyAlignment="1">
      <alignment horizontal="center" shrinkToFit="1"/>
    </xf>
    <xf numFmtId="0" fontId="9" fillId="0" borderId="48" xfId="0" applyFont="1" applyBorder="1" applyAlignment="1">
      <alignment horizontal="center" shrinkToFit="1"/>
    </xf>
    <xf numFmtId="0" fontId="9" fillId="0" borderId="39" xfId="0" applyFont="1" applyBorder="1" applyAlignment="1">
      <alignment horizontal="left" vertical="center" shrinkToFit="1"/>
    </xf>
    <xf numFmtId="0" fontId="9" fillId="0" borderId="12" xfId="0" applyFont="1" applyBorder="1" applyAlignment="1">
      <alignment horizontal="right" vertical="center" shrinkToFit="1"/>
    </xf>
    <xf numFmtId="180" fontId="9" fillId="0" borderId="12" xfId="0" applyNumberFormat="1" applyFont="1" applyBorder="1" applyAlignment="1">
      <alignment horizontal="center" vertical="center"/>
    </xf>
    <xf numFmtId="180" fontId="9" fillId="0" borderId="0" xfId="0" applyNumberFormat="1" applyFont="1" applyAlignment="1">
      <alignment horizontal="center" vertical="center"/>
    </xf>
    <xf numFmtId="180" fontId="9" fillId="0" borderId="39" xfId="0" applyNumberFormat="1" applyFont="1" applyBorder="1" applyAlignment="1">
      <alignment horizontal="center" vertical="center"/>
    </xf>
    <xf numFmtId="180" fontId="9" fillId="0" borderId="12" xfId="0" applyNumberFormat="1" applyFont="1" applyBorder="1" applyAlignment="1">
      <alignment horizontal="center" vertical="center" shrinkToFit="1"/>
    </xf>
    <xf numFmtId="180" fontId="9" fillId="0" borderId="39" xfId="0" applyNumberFormat="1" applyFont="1" applyBorder="1" applyAlignment="1">
      <alignment horizontal="center" vertical="center" shrinkToFit="1"/>
    </xf>
    <xf numFmtId="0" fontId="9" fillId="0" borderId="47" xfId="0" applyFont="1" applyBorder="1" applyAlignment="1">
      <alignment horizontal="right" vertical="center" shrinkToFit="1"/>
    </xf>
    <xf numFmtId="0" fontId="9" fillId="0" borderId="48" xfId="0" applyFont="1" applyBorder="1" applyAlignment="1">
      <alignment horizontal="left" vertical="center" shrinkToFit="1"/>
    </xf>
    <xf numFmtId="180" fontId="14" fillId="0" borderId="0" xfId="0" applyNumberFormat="1" applyFont="1" applyAlignment="1">
      <alignment horizontal="center" vertical="center" shrinkToFit="1"/>
    </xf>
    <xf numFmtId="180" fontId="14" fillId="0" borderId="12" xfId="0" applyNumberFormat="1" applyFont="1" applyBorder="1" applyAlignment="1">
      <alignment horizontal="center" vertical="center" shrinkToFit="1"/>
    </xf>
    <xf numFmtId="180" fontId="14" fillId="0" borderId="39" xfId="0" applyNumberFormat="1" applyFont="1" applyBorder="1" applyAlignment="1">
      <alignment horizontal="center" vertical="center" shrinkToFit="1"/>
    </xf>
    <xf numFmtId="0" fontId="9" fillId="0" borderId="12" xfId="0" applyFont="1" applyBorder="1" applyAlignment="1">
      <alignment horizontal="center" vertical="center"/>
    </xf>
    <xf numFmtId="0" fontId="9" fillId="0" borderId="39" xfId="0" applyFont="1" applyBorder="1" applyAlignment="1">
      <alignment horizontal="center" vertical="center"/>
    </xf>
    <xf numFmtId="180" fontId="9" fillId="0" borderId="0" xfId="0" applyNumberFormat="1" applyFont="1" applyAlignment="1" applyProtection="1">
      <alignment horizontal="center" vertical="center"/>
      <protection hidden="1"/>
    </xf>
    <xf numFmtId="0" fontId="9" fillId="0" borderId="0" xfId="0" applyFont="1" applyAlignment="1" applyProtection="1">
      <alignment horizontal="center" vertical="center"/>
      <protection hidden="1"/>
    </xf>
    <xf numFmtId="180" fontId="14" fillId="0" borderId="12" xfId="0" applyNumberFormat="1" applyFont="1" applyBorder="1" applyAlignment="1">
      <alignment horizontal="center" vertical="center"/>
    </xf>
    <xf numFmtId="180" fontId="14" fillId="0" borderId="0" xfId="0" applyNumberFormat="1" applyFont="1" applyAlignment="1">
      <alignment horizontal="center" vertical="center"/>
    </xf>
    <xf numFmtId="0" fontId="9" fillId="0" borderId="77" xfId="0" applyFont="1" applyBorder="1" applyAlignment="1" applyProtection="1">
      <alignment horizontal="center" vertical="distributed" textRotation="255" indent="1" shrinkToFit="1"/>
      <protection hidden="1"/>
    </xf>
    <xf numFmtId="0" fontId="9" fillId="0" borderId="58" xfId="0" applyFont="1" applyBorder="1" applyAlignment="1">
      <alignment horizontal="center" vertical="distributed" textRotation="255" indent="1"/>
    </xf>
    <xf numFmtId="0" fontId="9" fillId="0" borderId="24" xfId="0" applyFont="1" applyBorder="1" applyAlignment="1">
      <alignment horizontal="center" vertical="distributed" textRotation="255" indent="1"/>
    </xf>
    <xf numFmtId="0" fontId="9" fillId="0" borderId="0" xfId="0" applyFont="1" applyAlignment="1" applyProtection="1">
      <alignment horizontal="right" vertical="center" shrinkToFit="1"/>
      <protection hidden="1"/>
    </xf>
    <xf numFmtId="0" fontId="9" fillId="0" borderId="0" xfId="0" applyFont="1" applyAlignment="1">
      <alignment vertical="center" shrinkToFit="1"/>
    </xf>
    <xf numFmtId="0" fontId="9" fillId="0" borderId="0" xfId="0" applyFont="1" applyAlignment="1" applyProtection="1">
      <alignment horizontal="center" vertical="center" shrinkToFit="1"/>
      <protection hidden="1"/>
    </xf>
    <xf numFmtId="0" fontId="10" fillId="0" borderId="0" xfId="0" applyFont="1" applyAlignment="1">
      <alignment horizontal="left" vertical="top"/>
    </xf>
    <xf numFmtId="0" fontId="9" fillId="0" borderId="0" xfId="0" applyFont="1" applyAlignment="1">
      <alignment horizontal="distributed" vertical="top" indent="1"/>
    </xf>
    <xf numFmtId="0" fontId="33" fillId="7" borderId="16" xfId="0" applyFont="1" applyFill="1" applyBorder="1" applyAlignment="1">
      <alignment horizontal="center" vertical="center"/>
    </xf>
    <xf numFmtId="0" fontId="33" fillId="0" borderId="0" xfId="0" applyFont="1" applyAlignment="1">
      <alignment horizontal="center" vertical="center"/>
    </xf>
    <xf numFmtId="0" fontId="9" fillId="0" borderId="58" xfId="0" applyFont="1" applyBorder="1" applyAlignment="1" applyProtection="1">
      <alignment horizontal="center" vertical="distributed" textRotation="255" indent="1" shrinkToFit="1"/>
      <protection hidden="1"/>
    </xf>
    <xf numFmtId="0" fontId="9" fillId="0" borderId="12" xfId="0" applyFont="1" applyBorder="1" applyAlignment="1" applyProtection="1">
      <alignment horizontal="center" vertical="top" textRotation="255" shrinkToFit="1"/>
      <protection hidden="1"/>
    </xf>
    <xf numFmtId="0" fontId="9" fillId="0" borderId="12" xfId="0" applyFont="1" applyBorder="1" applyAlignment="1">
      <alignment vertical="center" shrinkToFit="1"/>
    </xf>
    <xf numFmtId="0" fontId="9" fillId="0" borderId="12" xfId="0" applyFont="1" applyBorder="1" applyAlignment="1" applyProtection="1">
      <alignment horizontal="center" vertical="center" shrinkToFit="1"/>
      <protection locked="0"/>
    </xf>
    <xf numFmtId="0" fontId="9" fillId="0" borderId="0" xfId="0" applyFont="1" applyAlignment="1" applyProtection="1">
      <alignment horizontal="center" vertical="center" shrinkToFit="1"/>
      <protection locked="0"/>
    </xf>
    <xf numFmtId="0" fontId="9" fillId="0" borderId="39" xfId="0" applyFont="1" applyBorder="1" applyAlignment="1" applyProtection="1">
      <alignment horizontal="center" vertical="center" shrinkToFit="1"/>
      <protection locked="0"/>
    </xf>
    <xf numFmtId="20" fontId="9" fillId="0" borderId="12" xfId="0" applyNumberFormat="1" applyFont="1" applyBorder="1" applyAlignment="1" applyProtection="1">
      <alignment horizontal="center" vertical="center" shrinkToFit="1"/>
      <protection locked="0"/>
    </xf>
    <xf numFmtId="0" fontId="9" fillId="0" borderId="171" xfId="0" applyFont="1" applyBorder="1" applyAlignment="1">
      <alignment horizontal="left" vertical="center" shrinkToFit="1"/>
    </xf>
    <xf numFmtId="0" fontId="9" fillId="0" borderId="171" xfId="0" applyFont="1" applyBorder="1" applyAlignment="1">
      <alignment horizontal="right" vertical="center" shrinkToFit="1"/>
    </xf>
    <xf numFmtId="0" fontId="9" fillId="0" borderId="12" xfId="0" applyFont="1" applyBorder="1" applyAlignment="1" applyProtection="1">
      <alignment horizontal="center" vertical="center" shrinkToFit="1"/>
      <protection hidden="1"/>
    </xf>
    <xf numFmtId="0" fontId="9" fillId="0" borderId="0" xfId="0" applyFont="1" applyAlignment="1" applyProtection="1">
      <alignment horizontal="center" vertical="top" textRotation="255" indent="1" shrinkToFit="1"/>
      <protection hidden="1"/>
    </xf>
    <xf numFmtId="0" fontId="9" fillId="0" borderId="0" xfId="0" applyFont="1" applyAlignment="1">
      <alignment horizontal="center" vertical="top" textRotation="255" indent="1" shrinkToFit="1"/>
    </xf>
    <xf numFmtId="0" fontId="11" fillId="0" borderId="0" xfId="0" applyFont="1" applyAlignment="1">
      <alignment horizontal="left" vertical="center"/>
    </xf>
    <xf numFmtId="0" fontId="33" fillId="0" borderId="16" xfId="0" applyFont="1" applyBorder="1" applyAlignment="1">
      <alignment horizontal="center" vertical="center"/>
    </xf>
    <xf numFmtId="20" fontId="9" fillId="0" borderId="0" xfId="0" applyNumberFormat="1" applyFont="1" applyAlignment="1" applyProtection="1">
      <alignment horizontal="center" vertical="center" shrinkToFit="1"/>
      <protection locked="0"/>
    </xf>
    <xf numFmtId="20" fontId="9" fillId="0" borderId="39" xfId="0" applyNumberFormat="1" applyFont="1" applyBorder="1" applyAlignment="1" applyProtection="1">
      <alignment horizontal="center" vertical="center" shrinkToFit="1"/>
      <protection locked="0"/>
    </xf>
    <xf numFmtId="0" fontId="37" fillId="0" borderId="0" xfId="0" applyFont="1" applyAlignment="1">
      <alignment horizontal="center" vertical="center" shrinkToFit="1"/>
    </xf>
    <xf numFmtId="0" fontId="56" fillId="0" borderId="170" xfId="0" applyFont="1" applyBorder="1" applyAlignment="1">
      <alignment horizontal="distributed" vertical="center" shrinkToFit="1"/>
    </xf>
    <xf numFmtId="0" fontId="37" fillId="0" borderId="170" xfId="0" applyFont="1" applyBorder="1" applyAlignment="1">
      <alignment horizontal="center" vertical="center"/>
    </xf>
    <xf numFmtId="0" fontId="59" fillId="0" borderId="5" xfId="0" applyFont="1" applyBorder="1" applyAlignment="1">
      <alignment horizontal="center" vertical="distributed" textRotation="180" justifyLastLine="1" shrinkToFit="1"/>
    </xf>
    <xf numFmtId="0" fontId="37" fillId="0" borderId="161" xfId="0" applyFont="1" applyBorder="1" applyAlignment="1">
      <alignment horizontal="center" vertical="center" wrapText="1" shrinkToFit="1"/>
    </xf>
    <xf numFmtId="0" fontId="37" fillId="0" borderId="162" xfId="0" applyFont="1" applyBorder="1" applyAlignment="1">
      <alignment horizontal="center" vertical="center" shrinkToFit="1"/>
    </xf>
    <xf numFmtId="0" fontId="37" fillId="0" borderId="163" xfId="0" applyFont="1" applyBorder="1" applyAlignment="1">
      <alignment horizontal="center" vertical="center" shrinkToFit="1"/>
    </xf>
    <xf numFmtId="0" fontId="37" fillId="0" borderId="164" xfId="0" applyFont="1" applyBorder="1" applyAlignment="1">
      <alignment horizontal="center" vertical="center" shrinkToFit="1"/>
    </xf>
    <xf numFmtId="0" fontId="37" fillId="0" borderId="165" xfId="0" applyFont="1" applyBorder="1" applyAlignment="1">
      <alignment horizontal="center" vertical="center" shrinkToFit="1"/>
    </xf>
    <xf numFmtId="0" fontId="37" fillId="0" borderId="166" xfId="0" applyFont="1" applyBorder="1" applyAlignment="1">
      <alignment horizontal="center" vertical="center" shrinkToFit="1"/>
    </xf>
    <xf numFmtId="0" fontId="37" fillId="0" borderId="167" xfId="0" applyFont="1" applyBorder="1" applyAlignment="1">
      <alignment horizontal="center" vertical="center" shrinkToFit="1"/>
    </xf>
    <xf numFmtId="0" fontId="37" fillId="0" borderId="168" xfId="0" applyFont="1" applyBorder="1" applyAlignment="1">
      <alignment horizontal="center" vertical="center" shrinkToFit="1"/>
    </xf>
    <xf numFmtId="0" fontId="37" fillId="0" borderId="169" xfId="0" applyFont="1" applyBorder="1" applyAlignment="1">
      <alignment horizontal="center" vertical="center" shrinkToFit="1"/>
    </xf>
    <xf numFmtId="0" fontId="37" fillId="0" borderId="47" xfId="0" applyFont="1" applyBorder="1" applyAlignment="1">
      <alignment horizontal="center" vertical="center" shrinkToFit="1"/>
    </xf>
    <xf numFmtId="0" fontId="37" fillId="0" borderId="16" xfId="0" applyFont="1" applyBorder="1" applyAlignment="1">
      <alignment horizontal="center" vertical="center" shrinkToFit="1"/>
    </xf>
    <xf numFmtId="0" fontId="37" fillId="0" borderId="48" xfId="0" applyFont="1" applyBorder="1" applyAlignment="1">
      <alignment horizontal="center" vertical="center" shrinkToFit="1"/>
    </xf>
    <xf numFmtId="0" fontId="57" fillId="0" borderId="0" xfId="0" applyFont="1" applyAlignment="1">
      <alignment horizontal="distributed" vertical="center" shrinkToFit="1"/>
    </xf>
    <xf numFmtId="0" fontId="39" fillId="0" borderId="0" xfId="0" applyFont="1" applyAlignment="1">
      <alignment horizontal="distributed" vertical="center" shrinkToFit="1"/>
    </xf>
    <xf numFmtId="0" fontId="37" fillId="0" borderId="5" xfId="0" applyFont="1" applyBorder="1" applyAlignment="1">
      <alignment horizontal="distributed" vertical="center" wrapText="1" justifyLastLine="1" shrinkToFit="1"/>
    </xf>
    <xf numFmtId="0" fontId="56" fillId="0" borderId="5" xfId="0" applyFont="1" applyBorder="1" applyAlignment="1">
      <alignment horizontal="center" vertical="center"/>
    </xf>
    <xf numFmtId="0" fontId="56" fillId="0" borderId="37" xfId="0" applyFont="1" applyBorder="1" applyAlignment="1">
      <alignment horizontal="center" vertical="center"/>
    </xf>
    <xf numFmtId="0" fontId="56" fillId="0" borderId="22" xfId="0" applyFont="1" applyBorder="1" applyAlignment="1">
      <alignment horizontal="center" vertical="center"/>
    </xf>
    <xf numFmtId="0" fontId="56" fillId="0" borderId="47" xfId="0" applyFont="1" applyBorder="1" applyAlignment="1">
      <alignment horizontal="center" vertical="center" wrapText="1" shrinkToFit="1"/>
    </xf>
    <xf numFmtId="0" fontId="56" fillId="0" borderId="16" xfId="0" applyFont="1" applyBorder="1" applyAlignment="1">
      <alignment horizontal="center" vertical="center" shrinkToFit="1"/>
    </xf>
    <xf numFmtId="0" fontId="56" fillId="0" borderId="48" xfId="0" applyFont="1" applyBorder="1" applyAlignment="1">
      <alignment horizontal="center" vertical="center" shrinkToFit="1"/>
    </xf>
    <xf numFmtId="0" fontId="56" fillId="0" borderId="12" xfId="0" applyFont="1" applyBorder="1" applyAlignment="1">
      <alignment horizontal="center" vertical="center" shrinkToFit="1"/>
    </xf>
    <xf numFmtId="0" fontId="56" fillId="0" borderId="0" xfId="0" applyFont="1" applyAlignment="1">
      <alignment horizontal="center" vertical="center" shrinkToFit="1"/>
    </xf>
    <xf numFmtId="0" fontId="56" fillId="0" borderId="39" xfId="0" applyFont="1" applyBorder="1" applyAlignment="1">
      <alignment horizontal="center" vertical="center" shrinkToFit="1"/>
    </xf>
    <xf numFmtId="0" fontId="56" fillId="0" borderId="14" xfId="0" applyFont="1" applyBorder="1" applyAlignment="1">
      <alignment horizontal="center" vertical="center" shrinkToFit="1"/>
    </xf>
    <xf numFmtId="0" fontId="56" fillId="0" borderId="15" xfId="0" applyFont="1" applyBorder="1" applyAlignment="1">
      <alignment horizontal="center" vertical="center" shrinkToFit="1"/>
    </xf>
    <xf numFmtId="0" fontId="56" fillId="0" borderId="21" xfId="0" applyFont="1" applyBorder="1" applyAlignment="1">
      <alignment horizontal="center" vertical="center" shrinkToFit="1"/>
    </xf>
    <xf numFmtId="0" fontId="37" fillId="0" borderId="5" xfId="0" applyFont="1" applyBorder="1" applyAlignment="1">
      <alignment horizontal="center" vertical="center"/>
    </xf>
    <xf numFmtId="0" fontId="38" fillId="0" borderId="47" xfId="0" applyFont="1" applyBorder="1" applyAlignment="1">
      <alignment horizontal="center" vertical="center" wrapText="1" shrinkToFit="1"/>
    </xf>
    <xf numFmtId="0" fontId="38" fillId="0" borderId="16" xfId="0" applyFont="1" applyBorder="1" applyAlignment="1">
      <alignment horizontal="center" vertical="center" shrinkToFit="1"/>
    </xf>
    <xf numFmtId="0" fontId="38" fillId="0" borderId="48" xfId="0" applyFont="1" applyBorder="1" applyAlignment="1">
      <alignment horizontal="center" vertical="center" shrinkToFit="1"/>
    </xf>
    <xf numFmtId="0" fontId="38" fillId="0" borderId="12" xfId="0" applyFont="1" applyBorder="1" applyAlignment="1">
      <alignment horizontal="center" vertical="center" shrinkToFit="1"/>
    </xf>
    <xf numFmtId="0" fontId="38" fillId="0" borderId="0" xfId="0" applyFont="1" applyAlignment="1">
      <alignment horizontal="center" vertical="center" shrinkToFit="1"/>
    </xf>
    <xf numFmtId="0" fontId="38" fillId="0" borderId="39" xfId="0" applyFont="1" applyBorder="1" applyAlignment="1">
      <alignment horizontal="center" vertical="center" shrinkToFit="1"/>
    </xf>
    <xf numFmtId="0" fontId="38" fillId="0" borderId="14" xfId="0" applyFont="1" applyBorder="1" applyAlignment="1">
      <alignment horizontal="center" vertical="center" shrinkToFit="1"/>
    </xf>
    <xf numFmtId="0" fontId="38" fillId="0" borderId="15" xfId="0" applyFont="1" applyBorder="1" applyAlignment="1">
      <alignment horizontal="center" vertical="center" shrinkToFit="1"/>
    </xf>
    <xf numFmtId="0" fontId="38" fillId="0" borderId="21" xfId="0" applyFont="1" applyBorder="1" applyAlignment="1">
      <alignment horizontal="center" vertical="center" shrinkToFit="1"/>
    </xf>
    <xf numFmtId="0" fontId="63" fillId="0" borderId="0" xfId="0" applyFont="1" applyAlignment="1">
      <alignment horizontal="center" vertical="center" wrapText="1"/>
    </xf>
    <xf numFmtId="0" fontId="42" fillId="0" borderId="0" xfId="0" applyFont="1" applyAlignment="1">
      <alignment horizontal="center" vertical="center" shrinkToFit="1"/>
    </xf>
    <xf numFmtId="0" fontId="37" fillId="0" borderId="0" xfId="0" applyFont="1" applyAlignment="1">
      <alignment horizontal="left" vertical="center" shrinkToFit="1"/>
    </xf>
    <xf numFmtId="0" fontId="37" fillId="0" borderId="180" xfId="0" applyFont="1" applyBorder="1" applyAlignment="1">
      <alignment horizontal="center" vertical="center" shrinkToFit="1"/>
    </xf>
    <xf numFmtId="0" fontId="37" fillId="0" borderId="55" xfId="0" applyFont="1" applyBorder="1" applyAlignment="1">
      <alignment horizontal="center" vertical="center" shrinkToFit="1"/>
    </xf>
    <xf numFmtId="0" fontId="37" fillId="0" borderId="49" xfId="0" applyFont="1" applyBorder="1" applyAlignment="1">
      <alignment horizontal="center" vertical="center" shrinkToFit="1"/>
    </xf>
    <xf numFmtId="0" fontId="37" fillId="0" borderId="178" xfId="0" applyFont="1" applyBorder="1" applyAlignment="1">
      <alignment horizontal="center" vertical="top" textRotation="255" shrinkToFit="1"/>
    </xf>
    <xf numFmtId="0" fontId="37" fillId="0" borderId="181" xfId="0" applyFont="1" applyBorder="1" applyAlignment="1">
      <alignment horizontal="center" vertical="top" textRotation="255" shrinkToFit="1"/>
    </xf>
    <xf numFmtId="0" fontId="37" fillId="0" borderId="177" xfId="0" applyFont="1" applyBorder="1" applyAlignment="1">
      <alignment horizontal="center" vertical="top" textRotation="255" shrinkToFit="1"/>
    </xf>
    <xf numFmtId="0" fontId="37" fillId="0" borderId="179" xfId="0" applyFont="1" applyBorder="1" applyAlignment="1">
      <alignment horizontal="center" vertical="top" textRotation="255" shrinkToFit="1"/>
    </xf>
    <xf numFmtId="0" fontId="37" fillId="0" borderId="0" xfId="0" applyFont="1" applyAlignment="1">
      <alignment horizontal="left" vertical="top" textRotation="255" shrinkToFit="1"/>
    </xf>
    <xf numFmtId="0" fontId="37" fillId="0" borderId="0" xfId="0" applyFont="1" applyAlignment="1">
      <alignment horizontal="right" vertical="top" textRotation="255" shrinkToFit="1"/>
    </xf>
    <xf numFmtId="0" fontId="62" fillId="0" borderId="0" xfId="0" applyFont="1" applyAlignment="1">
      <alignment horizontal="left" vertical="center" shrinkToFit="1"/>
    </xf>
    <xf numFmtId="0" fontId="61" fillId="0" borderId="159" xfId="0" applyFont="1" applyBorder="1" applyAlignment="1" applyProtection="1">
      <alignment horizontal="distributed" vertical="center" shrinkToFit="1"/>
      <protection hidden="1"/>
    </xf>
    <xf numFmtId="0" fontId="40" fillId="0" borderId="160" xfId="0" applyFont="1" applyBorder="1" applyAlignment="1">
      <alignment horizontal="distributed" vertical="center"/>
    </xf>
    <xf numFmtId="0" fontId="64" fillId="0" borderId="77" xfId="0" applyFont="1" applyBorder="1" applyAlignment="1" applyProtection="1">
      <alignment horizontal="center" vertical="distributed" textRotation="180" justifyLastLine="1" shrinkToFit="1"/>
      <protection hidden="1"/>
    </xf>
    <xf numFmtId="0" fontId="64" fillId="0" borderId="58" xfId="0" applyFont="1" applyBorder="1" applyAlignment="1">
      <alignment horizontal="center" vertical="distributed" textRotation="180" justifyLastLine="1" shrinkToFit="1"/>
    </xf>
    <xf numFmtId="0" fontId="64" fillId="0" borderId="24" xfId="0" applyFont="1" applyBorder="1" applyAlignment="1">
      <alignment horizontal="center" vertical="distributed" textRotation="180" justifyLastLine="1" shrinkToFit="1"/>
    </xf>
    <xf numFmtId="0" fontId="37" fillId="0" borderId="0" xfId="0" applyFont="1" applyAlignment="1" applyProtection="1">
      <alignment horizontal="left" vertical="center" shrinkToFit="1"/>
      <protection locked="0"/>
    </xf>
    <xf numFmtId="0" fontId="37" fillId="0" borderId="0" xfId="0" applyFont="1" applyAlignment="1" applyProtection="1">
      <alignment horizontal="right" vertical="center" shrinkToFit="1"/>
      <protection locked="0"/>
    </xf>
    <xf numFmtId="0" fontId="37" fillId="0" borderId="0" xfId="0" applyFont="1" applyAlignment="1">
      <alignment horizontal="center" shrinkToFit="1"/>
    </xf>
    <xf numFmtId="0" fontId="37" fillId="0" borderId="51" xfId="0" applyFont="1" applyBorder="1" applyAlignment="1">
      <alignment horizontal="center" vertical="center" shrinkToFit="1"/>
    </xf>
    <xf numFmtId="0" fontId="37" fillId="0" borderId="184" xfId="0" applyFont="1" applyBorder="1" applyAlignment="1">
      <alignment horizontal="center" vertical="center" shrinkToFit="1"/>
    </xf>
    <xf numFmtId="0" fontId="56" fillId="0" borderId="0" xfId="0" applyFont="1" applyAlignment="1">
      <alignment horizontal="center" vertical="center" justifyLastLine="1" shrinkToFit="1"/>
    </xf>
    <xf numFmtId="0" fontId="37" fillId="0" borderId="0" xfId="0" applyFont="1" applyAlignment="1">
      <alignment vertical="center" shrinkToFit="1"/>
    </xf>
    <xf numFmtId="0" fontId="62" fillId="0" borderId="0" xfId="0" applyFont="1" applyAlignment="1">
      <alignment horizontal="right" vertical="center" shrinkToFit="1"/>
    </xf>
    <xf numFmtId="0" fontId="37" fillId="0" borderId="54" xfId="0" applyFont="1" applyBorder="1" applyAlignment="1">
      <alignment horizontal="center" vertical="center" shrinkToFit="1"/>
    </xf>
    <xf numFmtId="0" fontId="37" fillId="0" borderId="0" xfId="0" applyFont="1" applyAlignment="1">
      <alignment horizontal="right" vertical="center" shrinkToFit="1"/>
    </xf>
    <xf numFmtId="0" fontId="64" fillId="0" borderId="58" xfId="0" applyFont="1" applyBorder="1" applyAlignment="1" applyProtection="1">
      <alignment horizontal="center" vertical="distributed" textRotation="180" justifyLastLine="1" shrinkToFit="1"/>
      <protection hidden="1"/>
    </xf>
    <xf numFmtId="0" fontId="39" fillId="0" borderId="0" xfId="0" applyFont="1" applyAlignment="1">
      <alignment horizontal="center" vertical="center" shrinkToFit="1"/>
    </xf>
    <xf numFmtId="0" fontId="37" fillId="0" borderId="50" xfId="0" applyFont="1" applyBorder="1" applyAlignment="1">
      <alignment horizontal="center" vertical="center" shrinkToFit="1"/>
    </xf>
    <xf numFmtId="0" fontId="37" fillId="0" borderId="0" xfId="0" applyFont="1" applyAlignment="1" applyProtection="1">
      <alignment horizontal="right" vertical="center"/>
      <protection locked="0"/>
    </xf>
    <xf numFmtId="0" fontId="37" fillId="0" borderId="178" xfId="0" applyFont="1" applyBorder="1" applyAlignment="1">
      <alignment horizontal="center" vertical="center" shrinkToFit="1"/>
    </xf>
    <xf numFmtId="0" fontId="37" fillId="0" borderId="177" xfId="0" applyFont="1" applyBorder="1" applyAlignment="1">
      <alignment horizontal="center" vertical="center" shrinkToFit="1"/>
    </xf>
    <xf numFmtId="0" fontId="37" fillId="0" borderId="183" xfId="0" applyFont="1" applyBorder="1" applyAlignment="1">
      <alignment horizontal="center" vertical="center" shrinkToFit="1"/>
    </xf>
    <xf numFmtId="0" fontId="37" fillId="0" borderId="51" xfId="0" applyFont="1" applyBorder="1" applyAlignment="1">
      <alignment horizontal="center" vertical="top" textRotation="255" shrinkToFit="1"/>
    </xf>
    <xf numFmtId="0" fontId="37" fillId="0" borderId="54" xfId="0" applyFont="1" applyBorder="1" applyAlignment="1">
      <alignment horizontal="center" vertical="top" textRotation="255" shrinkToFit="1"/>
    </xf>
    <xf numFmtId="0" fontId="56" fillId="0" borderId="0" xfId="0" applyFont="1" applyAlignment="1">
      <alignment horizontal="right" vertical="center" shrinkToFit="1"/>
    </xf>
    <xf numFmtId="0" fontId="41" fillId="0" borderId="0" xfId="0" applyFont="1" applyAlignment="1">
      <alignment horizontal="distributed" vertical="center" justifyLastLine="1" shrinkToFit="1"/>
    </xf>
    <xf numFmtId="0" fontId="41" fillId="0" borderId="15" xfId="0" applyFont="1" applyBorder="1" applyAlignment="1">
      <alignment horizontal="distributed" vertical="center" justifyLastLine="1" shrinkToFit="1"/>
    </xf>
    <xf numFmtId="0" fontId="62" fillId="0" borderId="51" xfId="0" applyFont="1" applyBorder="1" applyAlignment="1">
      <alignment horizontal="center" vertical="center" shrinkToFit="1"/>
    </xf>
    <xf numFmtId="0" fontId="62" fillId="0" borderId="54" xfId="0" applyFont="1" applyBorder="1" applyAlignment="1">
      <alignment horizontal="center" vertical="center" shrinkToFit="1"/>
    </xf>
    <xf numFmtId="0" fontId="40" fillId="0" borderId="0" xfId="0" applyFont="1" applyAlignment="1">
      <alignment horizontal="right" vertical="center" shrinkToFit="1"/>
    </xf>
    <xf numFmtId="0" fontId="37" fillId="0" borderId="0" xfId="0" applyFont="1">
      <alignment vertical="center"/>
    </xf>
    <xf numFmtId="0" fontId="40" fillId="0" borderId="159" xfId="0" applyFont="1" applyBorder="1" applyAlignment="1">
      <alignment horizontal="distributed" vertical="center"/>
    </xf>
    <xf numFmtId="0" fontId="37" fillId="0" borderId="50" xfId="0" applyFont="1" applyBorder="1" applyAlignment="1">
      <alignment horizontal="center" vertical="top" textRotation="255" shrinkToFit="1"/>
    </xf>
    <xf numFmtId="0" fontId="37" fillId="0" borderId="55" xfId="0" applyFont="1" applyBorder="1" applyAlignment="1">
      <alignment horizontal="center" vertical="top" textRotation="255" shrinkToFit="1"/>
    </xf>
    <xf numFmtId="0" fontId="37" fillId="0" borderId="179" xfId="0" applyFont="1" applyBorder="1" applyAlignment="1">
      <alignment horizontal="center" vertical="center" shrinkToFit="1"/>
    </xf>
    <xf numFmtId="0" fontId="37" fillId="0" borderId="182" xfId="0" applyFont="1" applyBorder="1" applyAlignment="1">
      <alignment horizontal="center" vertical="center" shrinkToFit="1"/>
    </xf>
    <xf numFmtId="0" fontId="61" fillId="0" borderId="160" xfId="0" applyFont="1" applyBorder="1" applyAlignment="1" applyProtection="1">
      <alignment horizontal="distributed" vertical="center" shrinkToFit="1"/>
      <protection hidden="1"/>
    </xf>
    <xf numFmtId="0" fontId="61" fillId="0" borderId="160" xfId="0" applyFont="1" applyBorder="1" applyAlignment="1" applyProtection="1">
      <alignment horizontal="distributed" vertical="center"/>
      <protection hidden="1"/>
    </xf>
    <xf numFmtId="0" fontId="37" fillId="0" borderId="77" xfId="0" applyFont="1" applyBorder="1" applyAlignment="1">
      <alignment horizontal="distributed" vertical="center"/>
    </xf>
    <xf numFmtId="0" fontId="37" fillId="0" borderId="58" xfId="0" applyFont="1" applyBorder="1" applyAlignment="1">
      <alignment horizontal="distributed" vertical="center"/>
    </xf>
    <xf numFmtId="0" fontId="37" fillId="0" borderId="24" xfId="0" applyFont="1" applyBorder="1" applyAlignment="1">
      <alignment horizontal="distributed" vertical="center"/>
    </xf>
    <xf numFmtId="20" fontId="37" fillId="0" borderId="50" xfId="0" applyNumberFormat="1" applyFont="1" applyBorder="1" applyAlignment="1">
      <alignment horizontal="center" vertical="center" shrinkToFit="1"/>
    </xf>
    <xf numFmtId="20" fontId="37" fillId="0" borderId="177" xfId="0" applyNumberFormat="1" applyFont="1" applyBorder="1" applyAlignment="1">
      <alignment horizontal="center" vertical="center" shrinkToFit="1"/>
    </xf>
    <xf numFmtId="0" fontId="37" fillId="0" borderId="187" xfId="0" applyFont="1" applyBorder="1" applyAlignment="1">
      <alignment horizontal="center" vertical="center" shrinkToFit="1"/>
    </xf>
    <xf numFmtId="0" fontId="37" fillId="0" borderId="186" xfId="0" applyFont="1" applyBorder="1" applyAlignment="1">
      <alignment horizontal="center" vertical="center" shrinkToFit="1"/>
    </xf>
    <xf numFmtId="0" fontId="37" fillId="0" borderId="188" xfId="0" applyFont="1" applyBorder="1" applyAlignment="1">
      <alignment horizontal="center" vertical="center" shrinkToFit="1"/>
    </xf>
    <xf numFmtId="0" fontId="37" fillId="0" borderId="172" xfId="0" applyFont="1" applyBorder="1" applyAlignment="1">
      <alignment horizontal="center" vertical="center" shrinkToFit="1"/>
    </xf>
    <xf numFmtId="0" fontId="37" fillId="0" borderId="173" xfId="0" applyFont="1" applyBorder="1" applyAlignment="1">
      <alignment horizontal="center" vertical="center" shrinkToFit="1"/>
    </xf>
    <xf numFmtId="0" fontId="37" fillId="0" borderId="185" xfId="0" applyFont="1" applyBorder="1" applyAlignment="1">
      <alignment horizontal="center" vertical="center" shrinkToFit="1"/>
    </xf>
    <xf numFmtId="0" fontId="37" fillId="0" borderId="172" xfId="0" applyFont="1" applyBorder="1" applyAlignment="1" applyProtection="1">
      <alignment horizontal="center" vertical="center"/>
      <protection locked="0"/>
    </xf>
    <xf numFmtId="0" fontId="37" fillId="0" borderId="173" xfId="0" applyFont="1" applyBorder="1" applyAlignment="1" applyProtection="1">
      <alignment horizontal="center" vertical="center"/>
      <protection locked="0"/>
    </xf>
    <xf numFmtId="0" fontId="37" fillId="0" borderId="174" xfId="0" applyFont="1" applyBorder="1" applyAlignment="1" applyProtection="1">
      <alignment horizontal="center" vertical="center"/>
      <protection locked="0"/>
    </xf>
    <xf numFmtId="0" fontId="37" fillId="0" borderId="50" xfId="0" applyFont="1" applyBorder="1" applyAlignment="1" applyProtection="1">
      <alignment horizontal="center" vertical="center"/>
      <protection locked="0"/>
    </xf>
    <xf numFmtId="0" fontId="37" fillId="0" borderId="0" xfId="0" applyFont="1" applyAlignment="1" applyProtection="1">
      <alignment horizontal="center" vertical="center"/>
      <protection locked="0"/>
    </xf>
    <xf numFmtId="0" fontId="37" fillId="0" borderId="51" xfId="0" applyFont="1" applyBorder="1" applyAlignment="1" applyProtection="1">
      <alignment horizontal="center" vertical="center"/>
      <protection locked="0"/>
    </xf>
    <xf numFmtId="20" fontId="37" fillId="0" borderId="50" xfId="0" applyNumberFormat="1" applyFont="1" applyBorder="1" applyAlignment="1">
      <alignment horizontal="center" vertical="center"/>
    </xf>
    <xf numFmtId="0" fontId="37" fillId="0" borderId="0" xfId="0" applyFont="1" applyAlignment="1">
      <alignment horizontal="center" vertical="center"/>
    </xf>
    <xf numFmtId="0" fontId="37" fillId="0" borderId="51" xfId="0" applyFont="1" applyBorder="1" applyAlignment="1">
      <alignment horizontal="center" vertical="center"/>
    </xf>
    <xf numFmtId="0" fontId="37" fillId="0" borderId="174" xfId="0" applyFont="1" applyBorder="1" applyAlignment="1">
      <alignment horizontal="center" vertical="center" shrinkToFit="1"/>
    </xf>
    <xf numFmtId="0" fontId="62" fillId="0" borderId="0" xfId="0" applyFont="1" applyAlignment="1">
      <alignment horizontal="center" vertical="center" shrinkToFit="1"/>
    </xf>
    <xf numFmtId="0" fontId="37" fillId="0" borderId="177" xfId="0" applyFont="1" applyBorder="1" applyAlignment="1" applyProtection="1">
      <alignment horizontal="center" vertical="center" shrinkToFit="1"/>
      <protection locked="0"/>
    </xf>
    <xf numFmtId="0" fontId="37" fillId="0" borderId="0" xfId="0" applyFont="1" applyAlignment="1" applyProtection="1">
      <alignment horizontal="center" vertical="center" shrinkToFit="1"/>
      <protection locked="0"/>
    </xf>
    <xf numFmtId="0" fontId="37" fillId="0" borderId="178" xfId="0" applyFont="1" applyBorder="1" applyAlignment="1" applyProtection="1">
      <alignment horizontal="center" vertical="center" shrinkToFit="1"/>
      <protection locked="0"/>
    </xf>
    <xf numFmtId="20" fontId="37" fillId="0" borderId="177" xfId="0" applyNumberFormat="1" applyFont="1" applyBorder="1" applyAlignment="1" applyProtection="1">
      <alignment horizontal="center" vertical="center" shrinkToFit="1"/>
      <protection locked="0"/>
    </xf>
    <xf numFmtId="0" fontId="37" fillId="0" borderId="181" xfId="0" applyFont="1" applyBorder="1" applyAlignment="1">
      <alignment horizontal="center" vertical="center" shrinkToFit="1"/>
    </xf>
    <xf numFmtId="0" fontId="37" fillId="0" borderId="0" xfId="0" applyFont="1" applyAlignment="1">
      <alignment horizontal="center" vertical="center" textRotation="255" shrinkToFit="1"/>
    </xf>
    <xf numFmtId="181" fontId="37" fillId="0" borderId="0" xfId="0" applyNumberFormat="1" applyFont="1" applyAlignment="1">
      <alignment horizontal="left" vertical="center"/>
    </xf>
    <xf numFmtId="0" fontId="37" fillId="0" borderId="50" xfId="0" applyFont="1" applyBorder="1" applyAlignment="1">
      <alignment horizontal="center" vertical="center" textRotation="255" shrinkToFit="1"/>
    </xf>
    <xf numFmtId="0" fontId="37" fillId="0" borderId="55" xfId="0" applyFont="1" applyBorder="1" applyAlignment="1">
      <alignment horizontal="center" vertical="center" textRotation="255" shrinkToFit="1"/>
    </xf>
    <xf numFmtId="0" fontId="37" fillId="0" borderId="51" xfId="0" applyFont="1" applyBorder="1" applyAlignment="1">
      <alignment horizontal="center" vertical="center" textRotation="255" shrinkToFit="1"/>
    </xf>
    <xf numFmtId="0" fontId="37" fillId="0" borderId="54" xfId="0" applyFont="1" applyBorder="1" applyAlignment="1">
      <alignment horizontal="center" vertical="center" textRotation="255" shrinkToFit="1"/>
    </xf>
    <xf numFmtId="0" fontId="56" fillId="0" borderId="0" xfId="0" applyFont="1" applyAlignment="1">
      <alignment horizontal="left" vertical="center"/>
    </xf>
    <xf numFmtId="0" fontId="56" fillId="0" borderId="159" xfId="0" applyFont="1" applyBorder="1" applyAlignment="1" applyProtection="1">
      <alignment horizontal="distributed" vertical="center" shrinkToFit="1"/>
      <protection hidden="1"/>
    </xf>
    <xf numFmtId="0" fontId="57" fillId="0" borderId="159" xfId="0" applyFont="1" applyBorder="1" applyAlignment="1" applyProtection="1">
      <alignment horizontal="distributed" vertical="center" shrinkToFit="1"/>
      <protection hidden="1"/>
    </xf>
    <xf numFmtId="0" fontId="58" fillId="0" borderId="159" xfId="0" applyFont="1" applyBorder="1" applyAlignment="1">
      <alignment horizontal="distributed" vertical="center"/>
    </xf>
    <xf numFmtId="0" fontId="56" fillId="0" borderId="160" xfId="0" applyFont="1" applyBorder="1" applyAlignment="1" applyProtection="1">
      <alignment horizontal="distributed" vertical="center" shrinkToFit="1"/>
      <protection hidden="1"/>
    </xf>
    <xf numFmtId="0" fontId="57" fillId="0" borderId="160" xfId="0" applyFont="1" applyBorder="1" applyAlignment="1" applyProtection="1">
      <alignment horizontal="distributed" vertical="center" shrinkToFit="1"/>
      <protection hidden="1"/>
    </xf>
    <xf numFmtId="0" fontId="58" fillId="0" borderId="160" xfId="0" applyFont="1" applyBorder="1" applyAlignment="1">
      <alignment horizontal="distributed" vertical="center"/>
    </xf>
    <xf numFmtId="0" fontId="9" fillId="0" borderId="16" xfId="0" applyFont="1" applyBorder="1" applyAlignment="1">
      <alignment horizontal="center" vertical="center"/>
    </xf>
    <xf numFmtId="0" fontId="9" fillId="0" borderId="5" xfId="0" applyFont="1" applyBorder="1" applyAlignment="1">
      <alignment horizontal="center" vertical="center" textRotation="255"/>
    </xf>
    <xf numFmtId="0" fontId="9" fillId="0" borderId="48" xfId="0" applyFont="1" applyBorder="1" applyAlignment="1">
      <alignment horizontal="center" vertical="center"/>
    </xf>
    <xf numFmtId="0" fontId="9" fillId="0" borderId="47" xfId="0" applyFont="1" applyBorder="1" applyAlignment="1">
      <alignment horizontal="center" vertical="center"/>
    </xf>
    <xf numFmtId="0" fontId="9" fillId="0" borderId="5" xfId="0" applyFont="1" applyBorder="1" applyAlignment="1">
      <alignment horizontal="center" vertical="center" shrinkToFit="1"/>
    </xf>
    <xf numFmtId="0" fontId="11" fillId="0" borderId="15" xfId="0" applyFont="1" applyBorder="1" applyAlignment="1">
      <alignment horizontal="left" vertical="center"/>
    </xf>
    <xf numFmtId="0" fontId="9" fillId="0" borderId="14"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77" xfId="0" applyFont="1" applyBorder="1" applyAlignment="1">
      <alignment horizontal="center" vertical="center" shrinkToFit="1"/>
    </xf>
    <xf numFmtId="0" fontId="9" fillId="0" borderId="58"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58" xfId="0" applyFont="1" applyBorder="1" applyAlignment="1">
      <alignment horizontal="center" vertical="center" wrapText="1" shrinkToFit="1"/>
    </xf>
    <xf numFmtId="0" fontId="11" fillId="0" borderId="160" xfId="0" applyFont="1" applyBorder="1" applyAlignment="1">
      <alignment horizontal="distributed" vertical="center"/>
    </xf>
    <xf numFmtId="0" fontId="0" fillId="0" borderId="160" xfId="0" applyBorder="1" applyAlignment="1">
      <alignment horizontal="distributed" vertical="center"/>
    </xf>
    <xf numFmtId="0" fontId="10" fillId="0" borderId="160" xfId="0" applyFont="1" applyBorder="1" applyAlignment="1">
      <alignment horizontal="center" vertical="center"/>
    </xf>
    <xf numFmtId="0" fontId="28" fillId="0" borderId="0" xfId="0" applyFont="1" applyAlignment="1">
      <alignment horizontal="left" vertical="center"/>
    </xf>
    <xf numFmtId="0" fontId="11" fillId="0" borderId="159" xfId="0" applyFont="1" applyBorder="1" applyAlignment="1">
      <alignment horizontal="distributed" vertical="center"/>
    </xf>
    <xf numFmtId="0" fontId="0" fillId="0" borderId="159" xfId="0" applyBorder="1" applyAlignment="1">
      <alignment horizontal="distributed" vertical="center"/>
    </xf>
    <xf numFmtId="0" fontId="10" fillId="0" borderId="159" xfId="0" applyFont="1" applyBorder="1" applyAlignment="1">
      <alignment horizontal="center" vertical="center"/>
    </xf>
    <xf numFmtId="0" fontId="10" fillId="0" borderId="159" xfId="0" applyFont="1" applyBorder="1" applyAlignment="1">
      <alignment horizontal="left" vertical="center" shrinkToFit="1"/>
    </xf>
    <xf numFmtId="20" fontId="9" fillId="0" borderId="39" xfId="0" applyNumberFormat="1" applyFont="1" applyBorder="1" applyAlignment="1">
      <alignment horizontal="center" vertical="center" shrinkToFit="1"/>
    </xf>
    <xf numFmtId="0" fontId="13" fillId="0" borderId="161" xfId="0" applyFont="1" applyBorder="1" applyAlignment="1">
      <alignment horizontal="center" vertical="center" shrinkToFit="1"/>
    </xf>
    <xf numFmtId="0" fontId="13" fillId="0" borderId="162" xfId="0" applyFont="1" applyBorder="1" applyAlignment="1">
      <alignment horizontal="center" vertical="center" shrinkToFit="1"/>
    </xf>
    <xf numFmtId="0" fontId="13" fillId="0" borderId="162" xfId="0" applyFont="1" applyBorder="1" applyAlignment="1">
      <alignment vertical="center" shrinkToFit="1"/>
    </xf>
    <xf numFmtId="0" fontId="13" fillId="0" borderId="163" xfId="0" applyFont="1" applyBorder="1" applyAlignment="1">
      <alignment vertical="center" shrinkToFit="1"/>
    </xf>
    <xf numFmtId="0" fontId="13" fillId="0" borderId="164" xfId="0" applyFont="1" applyBorder="1" applyAlignment="1">
      <alignment vertical="center" shrinkToFit="1"/>
    </xf>
    <xf numFmtId="0" fontId="13" fillId="0" borderId="165" xfId="0" applyFont="1" applyBorder="1" applyAlignment="1">
      <alignment vertical="center" shrinkToFit="1"/>
    </xf>
    <xf numFmtId="0" fontId="13" fillId="0" borderId="166" xfId="0" applyFont="1" applyBorder="1" applyAlignment="1">
      <alignment vertical="center" shrinkToFit="1"/>
    </xf>
    <xf numFmtId="0" fontId="13" fillId="0" borderId="167" xfId="0" applyFont="1" applyBorder="1" applyAlignment="1">
      <alignment vertical="center" shrinkToFit="1"/>
    </xf>
    <xf numFmtId="0" fontId="13" fillId="0" borderId="168" xfId="0" applyFont="1" applyBorder="1" applyAlignment="1">
      <alignment vertical="center" shrinkToFit="1"/>
    </xf>
    <xf numFmtId="0" fontId="13" fillId="0" borderId="169" xfId="0" applyFont="1" applyBorder="1" applyAlignment="1">
      <alignment vertical="center" shrinkToFit="1"/>
    </xf>
    <xf numFmtId="0" fontId="11" fillId="0" borderId="16" xfId="0" applyFont="1" applyBorder="1" applyAlignment="1">
      <alignment horizontal="center" vertical="center" wrapText="1" shrinkToFit="1"/>
    </xf>
    <xf numFmtId="0" fontId="11" fillId="0" borderId="48" xfId="0" applyFont="1" applyBorder="1" applyAlignment="1">
      <alignment horizontal="center" vertical="center" wrapText="1" shrinkToFit="1"/>
    </xf>
    <xf numFmtId="0" fontId="11" fillId="0" borderId="12" xfId="0" applyFont="1" applyBorder="1" applyAlignment="1">
      <alignment horizontal="center" vertical="center" wrapText="1" shrinkToFit="1"/>
    </xf>
    <xf numFmtId="0" fontId="11" fillId="0" borderId="0" xfId="0" applyFont="1" applyAlignment="1">
      <alignment horizontal="center" vertical="center" wrapText="1" shrinkToFit="1"/>
    </xf>
    <xf numFmtId="0" fontId="11" fillId="0" borderId="39" xfId="0" applyFont="1" applyBorder="1" applyAlignment="1">
      <alignment horizontal="center" vertical="center" wrapText="1" shrinkToFit="1"/>
    </xf>
    <xf numFmtId="0" fontId="11" fillId="0" borderId="14" xfId="0" applyFont="1" applyBorder="1" applyAlignment="1">
      <alignment horizontal="center" vertical="center" wrapText="1" shrinkToFit="1"/>
    </xf>
    <xf numFmtId="0" fontId="11" fillId="0" borderId="15" xfId="0" applyFont="1" applyBorder="1" applyAlignment="1">
      <alignment horizontal="center" vertical="center" wrapText="1" shrinkToFit="1"/>
    </xf>
    <xf numFmtId="0" fontId="11" fillId="0" borderId="21" xfId="0" applyFont="1" applyBorder="1" applyAlignment="1">
      <alignment horizontal="center" vertical="center" wrapText="1" shrinkToFit="1"/>
    </xf>
    <xf numFmtId="0" fontId="28" fillId="0" borderId="47" xfId="0" applyFont="1" applyBorder="1" applyAlignment="1">
      <alignment horizontal="center" vertical="center" shrinkToFit="1"/>
    </xf>
    <xf numFmtId="0" fontId="11" fillId="0" borderId="161" xfId="0" applyFont="1" applyBorder="1" applyAlignment="1">
      <alignment horizontal="center" vertical="center" shrinkToFit="1"/>
    </xf>
    <xf numFmtId="0" fontId="11" fillId="0" borderId="162" xfId="0" applyFont="1" applyBorder="1" applyAlignment="1">
      <alignment horizontal="center" vertical="center" shrinkToFit="1"/>
    </xf>
    <xf numFmtId="0" fontId="11" fillId="0" borderId="162" xfId="0" applyFont="1" applyBorder="1" applyAlignment="1">
      <alignment vertical="center" shrinkToFit="1"/>
    </xf>
    <xf numFmtId="0" fontId="11" fillId="0" borderId="163" xfId="0" applyFont="1" applyBorder="1" applyAlignment="1">
      <alignment vertical="center" shrinkToFit="1"/>
    </xf>
    <xf numFmtId="0" fontId="11" fillId="0" borderId="164" xfId="0" applyFont="1" applyBorder="1" applyAlignment="1">
      <alignment vertical="center" shrinkToFit="1"/>
    </xf>
    <xf numFmtId="0" fontId="11" fillId="0" borderId="165" xfId="0" applyFont="1" applyBorder="1" applyAlignment="1">
      <alignment vertical="center" shrinkToFit="1"/>
    </xf>
    <xf numFmtId="0" fontId="11" fillId="0" borderId="166" xfId="0" applyFont="1" applyBorder="1" applyAlignment="1">
      <alignment vertical="center" shrinkToFit="1"/>
    </xf>
    <xf numFmtId="0" fontId="11" fillId="0" borderId="167" xfId="0" applyFont="1" applyBorder="1" applyAlignment="1">
      <alignment vertical="center" shrinkToFit="1"/>
    </xf>
    <xf numFmtId="0" fontId="11" fillId="0" borderId="168" xfId="0" applyFont="1" applyBorder="1" applyAlignment="1">
      <alignment vertical="center" shrinkToFit="1"/>
    </xf>
    <xf numFmtId="0" fontId="11" fillId="0" borderId="169" xfId="0" applyFont="1" applyBorder="1" applyAlignment="1">
      <alignment vertical="center" shrinkToFit="1"/>
    </xf>
    <xf numFmtId="0" fontId="28" fillId="0" borderId="161" xfId="0" applyFont="1" applyBorder="1" applyAlignment="1">
      <alignment horizontal="center" vertical="center" shrinkToFit="1"/>
    </xf>
    <xf numFmtId="0" fontId="28" fillId="0" borderId="162" xfId="0" applyFont="1" applyBorder="1" applyAlignment="1">
      <alignment horizontal="center" vertical="center" shrinkToFit="1"/>
    </xf>
    <xf numFmtId="0" fontId="28" fillId="0" borderId="162" xfId="0" applyFont="1" applyBorder="1" applyAlignment="1">
      <alignment vertical="center" shrinkToFit="1"/>
    </xf>
    <xf numFmtId="0" fontId="28" fillId="0" borderId="163" xfId="0" applyFont="1" applyBorder="1" applyAlignment="1">
      <alignment vertical="center" shrinkToFit="1"/>
    </xf>
    <xf numFmtId="0" fontId="28" fillId="0" borderId="164" xfId="0" applyFont="1" applyBorder="1" applyAlignment="1">
      <alignment vertical="center" shrinkToFit="1"/>
    </xf>
    <xf numFmtId="0" fontId="28" fillId="0" borderId="165" xfId="0" applyFont="1" applyBorder="1" applyAlignment="1">
      <alignment vertical="center" shrinkToFit="1"/>
    </xf>
    <xf numFmtId="0" fontId="28" fillId="0" borderId="166" xfId="0" applyFont="1" applyBorder="1" applyAlignment="1">
      <alignment vertical="center" shrinkToFit="1"/>
    </xf>
    <xf numFmtId="0" fontId="28" fillId="0" borderId="167" xfId="0" applyFont="1" applyBorder="1" applyAlignment="1">
      <alignment vertical="center" shrinkToFit="1"/>
    </xf>
    <xf numFmtId="0" fontId="28" fillId="0" borderId="168" xfId="0" applyFont="1" applyBorder="1" applyAlignment="1">
      <alignment vertical="center" shrinkToFit="1"/>
    </xf>
    <xf numFmtId="0" fontId="28" fillId="0" borderId="169" xfId="0" applyFont="1" applyBorder="1" applyAlignment="1">
      <alignment vertical="center" shrinkToFit="1"/>
    </xf>
    <xf numFmtId="0" fontId="9" fillId="0" borderId="26" xfId="0" applyFont="1" applyBorder="1" applyAlignment="1">
      <alignment horizontal="center" vertical="center" textRotation="255"/>
    </xf>
    <xf numFmtId="0" fontId="9" fillId="0" borderId="0" xfId="0" applyFont="1" applyAlignment="1">
      <alignment horizontal="center" vertical="top" textRotation="255"/>
    </xf>
    <xf numFmtId="0" fontId="9" fillId="0" borderId="12" xfId="0" applyFont="1" applyBorder="1" applyAlignment="1">
      <alignment horizontal="right" vertical="center"/>
    </xf>
    <xf numFmtId="0" fontId="9" fillId="0" borderId="39" xfId="0" applyFont="1" applyBorder="1" applyAlignment="1">
      <alignment horizontal="left" vertical="center"/>
    </xf>
    <xf numFmtId="0" fontId="9" fillId="0" borderId="47" xfId="0" applyFont="1" applyBorder="1" applyAlignment="1">
      <alignment horizontal="right" vertical="center"/>
    </xf>
    <xf numFmtId="0" fontId="9" fillId="0" borderId="16" xfId="0" applyFont="1" applyBorder="1" applyAlignment="1">
      <alignment horizontal="right" vertical="center"/>
    </xf>
    <xf numFmtId="0" fontId="9" fillId="0" borderId="16" xfId="0" applyFont="1" applyBorder="1" applyAlignment="1">
      <alignment horizontal="left" vertical="center"/>
    </xf>
    <xf numFmtId="0" fontId="9" fillId="0" borderId="48" xfId="0" applyFont="1" applyBorder="1" applyAlignment="1">
      <alignment horizontal="left" vertical="center"/>
    </xf>
    <xf numFmtId="0" fontId="56" fillId="0" borderId="159" xfId="0" applyFont="1" applyBorder="1" applyAlignment="1">
      <alignment horizontal="distributed" vertical="center"/>
    </xf>
    <xf numFmtId="0" fontId="37" fillId="0" borderId="5" xfId="0" applyFont="1" applyBorder="1" applyAlignment="1">
      <alignment horizontal="distributed" vertical="center" justifyLastLine="1" shrinkToFit="1"/>
    </xf>
    <xf numFmtId="0" fontId="37" fillId="0" borderId="161" xfId="0" applyFont="1" applyBorder="1" applyAlignment="1">
      <alignment horizontal="center" vertical="center" shrinkToFit="1"/>
    </xf>
    <xf numFmtId="0" fontId="37" fillId="0" borderId="162" xfId="0" applyFont="1" applyBorder="1" applyAlignment="1">
      <alignment vertical="center" shrinkToFit="1"/>
    </xf>
    <xf numFmtId="0" fontId="37" fillId="0" borderId="163" xfId="0" applyFont="1" applyBorder="1" applyAlignment="1">
      <alignment vertical="center" shrinkToFit="1"/>
    </xf>
    <xf numFmtId="0" fontId="37" fillId="0" borderId="164" xfId="0" applyFont="1" applyBorder="1" applyAlignment="1">
      <alignment vertical="center" shrinkToFit="1"/>
    </xf>
    <xf numFmtId="0" fontId="37" fillId="0" borderId="165" xfId="0" applyFont="1" applyBorder="1" applyAlignment="1">
      <alignment vertical="center" shrinkToFit="1"/>
    </xf>
    <xf numFmtId="0" fontId="37" fillId="0" borderId="166" xfId="0" applyFont="1" applyBorder="1" applyAlignment="1">
      <alignment vertical="center" shrinkToFit="1"/>
    </xf>
    <xf numFmtId="0" fontId="37" fillId="0" borderId="167" xfId="0" applyFont="1" applyBorder="1" applyAlignment="1">
      <alignment vertical="center" shrinkToFit="1"/>
    </xf>
    <xf numFmtId="0" fontId="37" fillId="0" borderId="168" xfId="0" applyFont="1" applyBorder="1" applyAlignment="1">
      <alignment vertical="center" shrinkToFit="1"/>
    </xf>
    <xf numFmtId="0" fontId="37" fillId="0" borderId="169" xfId="0" applyFont="1" applyBorder="1" applyAlignment="1">
      <alignment vertical="center" shrinkToFit="1"/>
    </xf>
    <xf numFmtId="0" fontId="56" fillId="0" borderId="160" xfId="0" applyFont="1" applyBorder="1" applyAlignment="1">
      <alignment horizontal="distributed" vertical="center"/>
    </xf>
    <xf numFmtId="0" fontId="37" fillId="0" borderId="160" xfId="0" applyFont="1" applyBorder="1" applyAlignment="1">
      <alignment horizontal="distributed" vertical="center"/>
    </xf>
    <xf numFmtId="0" fontId="40" fillId="0" borderId="160" xfId="0" applyFont="1" applyBorder="1" applyAlignment="1">
      <alignment horizontal="center" vertical="center"/>
    </xf>
    <xf numFmtId="0" fontId="38" fillId="0" borderId="0" xfId="0" applyFont="1" applyAlignment="1">
      <alignment horizontal="left" vertical="center"/>
    </xf>
    <xf numFmtId="0" fontId="37" fillId="0" borderId="159" xfId="0" applyFont="1" applyBorder="1" applyAlignment="1">
      <alignment horizontal="distributed" vertical="center"/>
    </xf>
    <xf numFmtId="0" fontId="40" fillId="0" borderId="159" xfId="0" applyFont="1" applyBorder="1" applyAlignment="1">
      <alignment horizontal="center" vertical="center"/>
    </xf>
    <xf numFmtId="0" fontId="40" fillId="0" borderId="159" xfId="0" applyFont="1" applyBorder="1" applyAlignment="1">
      <alignment horizontal="left" vertical="center" shrinkToFit="1"/>
    </xf>
    <xf numFmtId="0" fontId="56" fillId="0" borderId="15" xfId="0" applyFont="1" applyBorder="1" applyAlignment="1">
      <alignment horizontal="left" vertical="center"/>
    </xf>
    <xf numFmtId="0" fontId="37" fillId="0" borderId="5" xfId="0" applyFont="1" applyBorder="1" applyAlignment="1">
      <alignment horizontal="center" vertical="distributed" textRotation="180" justifyLastLine="1" shrinkToFit="1"/>
    </xf>
    <xf numFmtId="0" fontId="59" fillId="0" borderId="162" xfId="0" applyFont="1" applyBorder="1" applyAlignment="1">
      <alignment horizontal="center" vertical="center" shrinkToFit="1"/>
    </xf>
    <xf numFmtId="0" fontId="59" fillId="0" borderId="165" xfId="0" applyFont="1" applyBorder="1" applyAlignment="1">
      <alignment vertical="center" shrinkToFit="1"/>
    </xf>
    <xf numFmtId="0" fontId="59" fillId="0" borderId="168" xfId="0" applyFont="1" applyBorder="1" applyAlignment="1">
      <alignment vertical="center" shrinkToFit="1"/>
    </xf>
    <xf numFmtId="0" fontId="59" fillId="0" borderId="16" xfId="0" applyFont="1" applyBorder="1" applyAlignment="1">
      <alignment horizontal="center" vertical="center" shrinkToFit="1"/>
    </xf>
    <xf numFmtId="0" fontId="37" fillId="0" borderId="16" xfId="0" applyFont="1" applyBorder="1" applyAlignment="1">
      <alignment horizontal="center" vertical="center"/>
    </xf>
    <xf numFmtId="0" fontId="37" fillId="0" borderId="0" xfId="0" applyFont="1" applyAlignment="1">
      <alignment horizontal="center" vertical="center" textRotation="255"/>
    </xf>
    <xf numFmtId="0" fontId="65" fillId="0" borderId="0" xfId="0" applyFont="1" applyAlignment="1">
      <alignment horizontal="left" vertical="center"/>
    </xf>
    <xf numFmtId="0" fontId="37" fillId="0" borderId="0" xfId="0" applyFont="1" applyAlignment="1">
      <alignment horizontal="right" vertical="center"/>
    </xf>
    <xf numFmtId="0" fontId="37" fillId="0" borderId="54" xfId="0" applyFont="1" applyBorder="1" applyAlignment="1">
      <alignment horizontal="center" vertical="center"/>
    </xf>
    <xf numFmtId="0" fontId="37" fillId="0" borderId="0" xfId="0" applyFont="1" applyAlignment="1">
      <alignment horizontal="left" vertical="center"/>
    </xf>
    <xf numFmtId="0" fontId="37" fillId="0" borderId="49" xfId="0" applyFont="1" applyBorder="1" applyAlignment="1">
      <alignment horizontal="center" vertical="center"/>
    </xf>
    <xf numFmtId="0" fontId="62" fillId="0" borderId="0" xfId="0" applyFont="1" applyAlignment="1">
      <alignment horizontal="right" vertical="center"/>
    </xf>
    <xf numFmtId="0" fontId="62" fillId="0" borderId="0" xfId="0" applyFont="1" applyAlignment="1">
      <alignment horizontal="left" vertical="center"/>
    </xf>
    <xf numFmtId="0" fontId="37" fillId="0" borderId="0" xfId="0" applyFont="1" applyAlignment="1" applyProtection="1">
      <alignment horizontal="left" vertical="center"/>
      <protection locked="0"/>
    </xf>
    <xf numFmtId="0" fontId="37" fillId="0" borderId="0" xfId="0" applyFont="1" applyAlignment="1">
      <alignment horizontal="right" vertical="top" textRotation="255"/>
    </xf>
    <xf numFmtId="0" fontId="37" fillId="0" borderId="50" xfId="0" applyFont="1" applyBorder="1" applyAlignment="1">
      <alignment horizontal="center" vertical="center"/>
    </xf>
    <xf numFmtId="0" fontId="37" fillId="0" borderId="55" xfId="0" applyFont="1" applyBorder="1" applyAlignment="1">
      <alignment horizontal="center" vertical="center"/>
    </xf>
    <xf numFmtId="0" fontId="37" fillId="0" borderId="0" xfId="0" applyFont="1" applyAlignment="1">
      <alignment horizontal="left" vertical="top" textRotation="255"/>
    </xf>
    <xf numFmtId="0" fontId="56" fillId="0" borderId="0" xfId="0" applyFont="1" applyAlignment="1">
      <alignment horizontal="center" vertical="top" textRotation="255"/>
    </xf>
    <xf numFmtId="0" fontId="38" fillId="0" borderId="0" xfId="0" applyFont="1" applyAlignment="1">
      <alignment horizontal="left" vertical="center" shrinkToFit="1"/>
    </xf>
    <xf numFmtId="0" fontId="37" fillId="0" borderId="77" xfId="0" applyFont="1" applyBorder="1" applyAlignment="1">
      <alignment horizontal="center" vertical="center" shrinkToFit="1"/>
    </xf>
    <xf numFmtId="0" fontId="37" fillId="0" borderId="58" xfId="0" applyFont="1" applyBorder="1" applyAlignment="1">
      <alignment horizontal="center" vertical="center" shrinkToFit="1"/>
    </xf>
    <xf numFmtId="0" fontId="37" fillId="0" borderId="24" xfId="0" applyFont="1" applyBorder="1" applyAlignment="1">
      <alignment horizontal="center" vertical="center" shrinkToFit="1"/>
    </xf>
    <xf numFmtId="0" fontId="37" fillId="0" borderId="58" xfId="0" applyFont="1" applyBorder="1" applyAlignment="1">
      <alignment horizontal="center" vertical="center" wrapText="1" shrinkToFit="1"/>
    </xf>
    <xf numFmtId="0" fontId="37" fillId="0" borderId="47" xfId="0" applyFont="1" applyBorder="1" applyAlignment="1">
      <alignment horizontal="center" vertical="center"/>
    </xf>
    <xf numFmtId="0" fontId="37" fillId="0" borderId="48" xfId="0" applyFont="1" applyBorder="1" applyAlignment="1">
      <alignment horizontal="center" vertical="center"/>
    </xf>
    <xf numFmtId="0" fontId="37" fillId="0" borderId="12" xfId="0" applyFont="1" applyBorder="1" applyAlignment="1">
      <alignment horizontal="center" vertical="center" shrinkToFit="1"/>
    </xf>
    <xf numFmtId="0" fontId="37" fillId="0" borderId="39" xfId="0" applyFont="1" applyBorder="1" applyAlignment="1">
      <alignment horizontal="center" vertical="center" shrinkToFit="1"/>
    </xf>
    <xf numFmtId="0" fontId="37" fillId="0" borderId="14" xfId="0" applyFont="1" applyBorder="1" applyAlignment="1">
      <alignment horizontal="center" vertical="center" shrinkToFit="1"/>
    </xf>
    <xf numFmtId="0" fontId="37" fillId="0" borderId="15" xfId="0" applyFont="1" applyBorder="1" applyAlignment="1">
      <alignment horizontal="center" vertical="center" shrinkToFit="1"/>
    </xf>
    <xf numFmtId="0" fontId="37" fillId="0" borderId="21" xfId="0" applyFont="1" applyBorder="1" applyAlignment="1">
      <alignment horizontal="center" vertical="center" shrinkToFit="1"/>
    </xf>
    <xf numFmtId="0" fontId="38" fillId="0" borderId="161" xfId="0" applyFont="1" applyBorder="1" applyAlignment="1">
      <alignment horizontal="center" vertical="center" shrinkToFit="1"/>
    </xf>
    <xf numFmtId="0" fontId="38" fillId="0" borderId="162" xfId="0" applyFont="1" applyBorder="1" applyAlignment="1">
      <alignment horizontal="center" vertical="center" shrinkToFit="1"/>
    </xf>
    <xf numFmtId="0" fontId="38" fillId="0" borderId="162" xfId="0" applyFont="1" applyBorder="1" applyAlignment="1">
      <alignment vertical="center" shrinkToFit="1"/>
    </xf>
    <xf numFmtId="0" fontId="38" fillId="0" borderId="163" xfId="0" applyFont="1" applyBorder="1" applyAlignment="1">
      <alignment vertical="center" shrinkToFit="1"/>
    </xf>
    <xf numFmtId="0" fontId="38" fillId="0" borderId="164" xfId="0" applyFont="1" applyBorder="1" applyAlignment="1">
      <alignment vertical="center" shrinkToFit="1"/>
    </xf>
    <xf numFmtId="0" fontId="38" fillId="0" borderId="165" xfId="0" applyFont="1" applyBorder="1" applyAlignment="1">
      <alignment vertical="center" shrinkToFit="1"/>
    </xf>
    <xf numFmtId="0" fontId="38" fillId="0" borderId="166" xfId="0" applyFont="1" applyBorder="1" applyAlignment="1">
      <alignment vertical="center" shrinkToFit="1"/>
    </xf>
    <xf numFmtId="0" fontId="38" fillId="0" borderId="167" xfId="0" applyFont="1" applyBorder="1" applyAlignment="1">
      <alignment vertical="center" shrinkToFit="1"/>
    </xf>
    <xf numFmtId="0" fontId="38" fillId="0" borderId="168" xfId="0" applyFont="1" applyBorder="1" applyAlignment="1">
      <alignment vertical="center" shrinkToFit="1"/>
    </xf>
    <xf numFmtId="0" fontId="38" fillId="0" borderId="169" xfId="0" applyFont="1" applyBorder="1" applyAlignment="1">
      <alignment vertical="center" shrinkToFit="1"/>
    </xf>
    <xf numFmtId="0" fontId="59" fillId="0" borderId="26" xfId="0" applyFont="1" applyBorder="1" applyAlignment="1">
      <alignment horizontal="center" vertical="distributed" textRotation="180" justifyLastLine="1" shrinkToFit="1"/>
    </xf>
    <xf numFmtId="0" fontId="59" fillId="0" borderId="37" xfId="0" applyFont="1" applyBorder="1" applyAlignment="1">
      <alignment horizontal="center" vertical="distributed" textRotation="180" justifyLastLine="1" shrinkToFit="1"/>
    </xf>
    <xf numFmtId="0" fontId="59" fillId="0" borderId="22" xfId="0" applyFont="1" applyBorder="1" applyAlignment="1">
      <alignment horizontal="center" vertical="distributed" textRotation="180" justifyLastLine="1" shrinkToFit="1"/>
    </xf>
    <xf numFmtId="0" fontId="38" fillId="0" borderId="47" xfId="0" applyFont="1" applyBorder="1" applyAlignment="1">
      <alignment horizontal="center" vertical="center" shrinkToFit="1"/>
    </xf>
    <xf numFmtId="0" fontId="56" fillId="0" borderId="161" xfId="0" applyFont="1" applyBorder="1" applyAlignment="1">
      <alignment horizontal="center" vertical="center" shrinkToFit="1"/>
    </xf>
    <xf numFmtId="0" fontId="56" fillId="0" borderId="162" xfId="0" applyFont="1" applyBorder="1" applyAlignment="1">
      <alignment horizontal="center" vertical="center" shrinkToFit="1"/>
    </xf>
    <xf numFmtId="0" fontId="56" fillId="0" borderId="162" xfId="0" applyFont="1" applyBorder="1" applyAlignment="1">
      <alignment vertical="center" shrinkToFit="1"/>
    </xf>
    <xf numFmtId="0" fontId="56" fillId="0" borderId="163" xfId="0" applyFont="1" applyBorder="1" applyAlignment="1">
      <alignment vertical="center" shrinkToFit="1"/>
    </xf>
    <xf numFmtId="0" fontId="56" fillId="0" borderId="164" xfId="0" applyFont="1" applyBorder="1" applyAlignment="1">
      <alignment vertical="center" shrinkToFit="1"/>
    </xf>
    <xf numFmtId="0" fontId="56" fillId="0" borderId="165" xfId="0" applyFont="1" applyBorder="1" applyAlignment="1">
      <alignment vertical="center" shrinkToFit="1"/>
    </xf>
    <xf numFmtId="0" fontId="56" fillId="0" borderId="166" xfId="0" applyFont="1" applyBorder="1" applyAlignment="1">
      <alignment vertical="center" shrinkToFit="1"/>
    </xf>
    <xf numFmtId="0" fontId="56" fillId="0" borderId="167" xfId="0" applyFont="1" applyBorder="1" applyAlignment="1">
      <alignment vertical="center" shrinkToFit="1"/>
    </xf>
    <xf numFmtId="0" fontId="56" fillId="0" borderId="168" xfId="0" applyFont="1" applyBorder="1" applyAlignment="1">
      <alignment vertical="center" shrinkToFit="1"/>
    </xf>
    <xf numFmtId="0" fontId="56" fillId="0" borderId="169" xfId="0" applyFont="1" applyBorder="1" applyAlignment="1">
      <alignment vertical="center" shrinkToFit="1"/>
    </xf>
    <xf numFmtId="0" fontId="37" fillId="0" borderId="16" xfId="0" applyFont="1" applyBorder="1" applyAlignment="1">
      <alignment horizontal="center" vertical="center" textRotation="255"/>
    </xf>
    <xf numFmtId="0" fontId="41" fillId="0" borderId="16" xfId="0" applyFont="1" applyBorder="1" applyAlignment="1">
      <alignment horizontal="center" vertical="center" shrinkToFit="1"/>
    </xf>
    <xf numFmtId="0" fontId="41" fillId="0" borderId="16" xfId="0" applyFont="1" applyBorder="1" applyAlignment="1">
      <alignment vertical="center" shrinkToFit="1"/>
    </xf>
    <xf numFmtId="0" fontId="41" fillId="0" borderId="0" xfId="0" applyFont="1" applyAlignment="1">
      <alignment vertical="center" shrinkToFit="1"/>
    </xf>
    <xf numFmtId="20" fontId="37" fillId="0" borderId="0" xfId="0" applyNumberFormat="1" applyFont="1" applyAlignment="1">
      <alignment horizontal="center" vertical="center" shrinkToFit="1"/>
    </xf>
    <xf numFmtId="180" fontId="37" fillId="0" borderId="12" xfId="0" applyNumberFormat="1" applyFont="1" applyBorder="1" applyAlignment="1">
      <alignment horizontal="center" vertical="center" shrinkToFit="1"/>
    </xf>
    <xf numFmtId="180" fontId="37" fillId="0" borderId="0" xfId="0" applyNumberFormat="1" applyFont="1" applyAlignment="1">
      <alignment horizontal="center" vertical="center" shrinkToFit="1"/>
    </xf>
    <xf numFmtId="180" fontId="37" fillId="0" borderId="39" xfId="0" applyNumberFormat="1" applyFont="1" applyBorder="1" applyAlignment="1">
      <alignment horizontal="center" vertical="center" shrinkToFit="1"/>
    </xf>
    <xf numFmtId="20" fontId="37" fillId="0" borderId="12" xfId="0" applyNumberFormat="1" applyFont="1" applyBorder="1" applyAlignment="1">
      <alignment horizontal="center" vertical="center" shrinkToFit="1"/>
    </xf>
    <xf numFmtId="20" fontId="37" fillId="0" borderId="39" xfId="0" applyNumberFormat="1" applyFont="1" applyBorder="1" applyAlignment="1">
      <alignment horizontal="center" vertical="center" shrinkToFit="1"/>
    </xf>
    <xf numFmtId="0" fontId="37" fillId="0" borderId="132" xfId="3" applyFont="1" applyBorder="1" applyAlignment="1">
      <alignment horizontal="center"/>
    </xf>
    <xf numFmtId="0" fontId="37" fillId="0" borderId="19" xfId="0" applyFont="1" applyBorder="1" applyAlignment="1">
      <alignment horizontal="center"/>
    </xf>
    <xf numFmtId="180" fontId="42" fillId="0" borderId="50" xfId="0" applyNumberFormat="1" applyFont="1" applyBorder="1" applyAlignment="1">
      <alignment horizontal="center" vertical="center" shrinkToFit="1"/>
    </xf>
    <xf numFmtId="180" fontId="42" fillId="0" borderId="0" xfId="0" applyNumberFormat="1" applyFont="1" applyAlignment="1">
      <alignment horizontal="center" vertical="center" shrinkToFit="1"/>
    </xf>
    <xf numFmtId="180" fontId="42" fillId="0" borderId="51" xfId="0" applyNumberFormat="1" applyFont="1" applyBorder="1" applyAlignment="1">
      <alignment horizontal="center" vertical="center" shrinkToFit="1"/>
    </xf>
    <xf numFmtId="0" fontId="70" fillId="0" borderId="14" xfId="0" applyFont="1" applyBorder="1" applyAlignment="1">
      <alignment horizontal="center" vertical="distributed" textRotation="180" justifyLastLine="1" shrinkToFit="1"/>
    </xf>
    <xf numFmtId="0" fontId="70" fillId="0" borderId="21" xfId="0" applyFont="1" applyBorder="1" applyAlignment="1">
      <alignment horizontal="center" vertical="distributed" textRotation="180" justifyLastLine="1" shrinkToFit="1"/>
    </xf>
    <xf numFmtId="0" fontId="66" fillId="0" borderId="47" xfId="0" applyFont="1" applyBorder="1" applyAlignment="1">
      <alignment horizontal="center" vertical="center" textRotation="255" shrinkToFit="1"/>
    </xf>
    <xf numFmtId="0" fontId="66" fillId="0" borderId="48" xfId="0" applyFont="1" applyBorder="1" applyAlignment="1">
      <alignment horizontal="center" vertical="center" textRotation="255" shrinkToFit="1"/>
    </xf>
    <xf numFmtId="0" fontId="59" fillId="0" borderId="12" xfId="0" applyFont="1" applyBorder="1" applyAlignment="1">
      <alignment horizontal="center" vertical="distributed" textRotation="180" shrinkToFit="1"/>
    </xf>
    <xf numFmtId="0" fontId="59" fillId="0" borderId="39" xfId="0" applyFont="1" applyBorder="1" applyAlignment="1">
      <alignment horizontal="center" vertical="distributed" textRotation="180" shrinkToFit="1"/>
    </xf>
    <xf numFmtId="0" fontId="70" fillId="0" borderId="15" xfId="0" applyFont="1" applyBorder="1" applyAlignment="1">
      <alignment horizontal="center" vertical="distributed" textRotation="180" justifyLastLine="1" shrinkToFit="1"/>
    </xf>
    <xf numFmtId="0" fontId="42" fillId="0" borderId="0" xfId="0" applyFont="1" applyAlignment="1">
      <alignment horizontal="right" vertical="center" shrinkToFit="1"/>
    </xf>
    <xf numFmtId="0" fontId="69" fillId="0" borderId="51" xfId="0" applyFont="1" applyBorder="1" applyAlignment="1">
      <alignment horizontal="center" shrinkToFit="1"/>
    </xf>
    <xf numFmtId="0" fontId="69" fillId="0" borderId="53" xfId="0" applyFont="1" applyBorder="1" applyAlignment="1">
      <alignment horizontal="center" shrinkToFit="1"/>
    </xf>
    <xf numFmtId="0" fontId="42" fillId="0" borderId="50" xfId="0" applyFont="1" applyBorder="1" applyAlignment="1">
      <alignment horizontal="center" vertical="center" shrinkToFit="1"/>
    </xf>
    <xf numFmtId="0" fontId="42" fillId="0" borderId="52" xfId="0" applyFont="1" applyBorder="1" applyAlignment="1">
      <alignment horizontal="center" vertical="center" shrinkToFit="1"/>
    </xf>
    <xf numFmtId="0" fontId="42" fillId="0" borderId="49" xfId="0" applyFont="1" applyBorder="1" applyAlignment="1">
      <alignment horizontal="center" vertical="center" shrinkToFit="1"/>
    </xf>
    <xf numFmtId="0" fontId="42" fillId="0" borderId="0" xfId="0" applyFont="1" applyAlignment="1">
      <alignment horizontal="left" vertical="center" shrinkToFit="1"/>
    </xf>
    <xf numFmtId="0" fontId="42" fillId="0" borderId="55" xfId="0" applyFont="1" applyBorder="1" applyAlignment="1">
      <alignment horizontal="center" vertical="center" shrinkToFit="1"/>
    </xf>
    <xf numFmtId="0" fontId="68" fillId="0" borderId="0" xfId="0" applyFont="1" applyAlignment="1">
      <alignment horizontal="center" vertical="center" shrinkToFit="1"/>
    </xf>
    <xf numFmtId="0" fontId="42" fillId="0" borderId="51" xfId="0" applyFont="1" applyBorder="1" applyAlignment="1">
      <alignment horizontal="center" vertical="center" shrinkToFit="1"/>
    </xf>
    <xf numFmtId="0" fontId="42" fillId="0" borderId="54" xfId="0" applyFont="1" applyBorder="1" applyAlignment="1">
      <alignment horizontal="center" vertical="center" shrinkToFit="1"/>
    </xf>
    <xf numFmtId="0" fontId="42" fillId="0" borderId="0" xfId="0" applyFont="1" applyAlignment="1">
      <alignment horizontal="right" vertical="top" textRotation="255" shrinkToFit="1"/>
    </xf>
    <xf numFmtId="0" fontId="41" fillId="0" borderId="0" xfId="0" applyFont="1" applyAlignment="1">
      <alignment horizontal="center" vertical="center" shrinkToFit="1"/>
    </xf>
    <xf numFmtId="0" fontId="43" fillId="0" borderId="15" xfId="0" applyFont="1" applyBorder="1" applyAlignment="1">
      <alignment horizontal="distributed" vertical="center" shrinkToFit="1"/>
    </xf>
    <xf numFmtId="0" fontId="44" fillId="0" borderId="15" xfId="0" applyFont="1" applyBorder="1" applyAlignment="1">
      <alignment horizontal="distributed" vertical="center" shrinkToFit="1"/>
    </xf>
    <xf numFmtId="0" fontId="42" fillId="0" borderId="0" xfId="0" applyFont="1" applyAlignment="1">
      <alignment horizontal="distributed" vertical="center" shrinkToFit="1"/>
    </xf>
    <xf numFmtId="0" fontId="67" fillId="0" borderId="0" xfId="0" applyFont="1" applyAlignment="1">
      <alignment horizontal="center" vertical="center" shrinkToFit="1"/>
    </xf>
    <xf numFmtId="0" fontId="67" fillId="0" borderId="0" xfId="0" applyFont="1" applyAlignment="1">
      <alignment horizontal="left" vertical="center" shrinkToFit="1"/>
    </xf>
    <xf numFmtId="0" fontId="40" fillId="0" borderId="0" xfId="0" applyFont="1" applyAlignment="1">
      <alignment horizontal="distributed" vertical="center" shrinkToFit="1"/>
    </xf>
    <xf numFmtId="0" fontId="67" fillId="0" borderId="49" xfId="0" applyFont="1" applyBorder="1" applyAlignment="1">
      <alignment horizontal="center" vertical="center" shrinkToFit="1"/>
    </xf>
    <xf numFmtId="0" fontId="67" fillId="0" borderId="55" xfId="0" applyFont="1" applyBorder="1" applyAlignment="1">
      <alignment horizontal="center" vertical="center" shrinkToFit="1"/>
    </xf>
    <xf numFmtId="0" fontId="67" fillId="0" borderId="178" xfId="0" applyFont="1" applyBorder="1" applyAlignment="1">
      <alignment horizontal="center" vertical="center" shrinkToFit="1"/>
    </xf>
    <xf numFmtId="0" fontId="67" fillId="0" borderId="177" xfId="0" applyFont="1" applyBorder="1" applyAlignment="1">
      <alignment horizontal="center" vertical="center" shrinkToFit="1"/>
    </xf>
    <xf numFmtId="0" fontId="42" fillId="0" borderId="0" xfId="0" applyFont="1" applyAlignment="1">
      <alignment horizontal="left" vertical="top" textRotation="255" shrinkToFit="1"/>
    </xf>
    <xf numFmtId="0" fontId="67" fillId="0" borderId="51" xfId="0" applyFont="1" applyBorder="1" applyAlignment="1">
      <alignment horizontal="center" vertical="center" shrinkToFit="1"/>
    </xf>
    <xf numFmtId="0" fontId="67" fillId="0" borderId="0" xfId="0" applyFont="1" applyAlignment="1">
      <alignment horizontal="right" vertical="center" shrinkToFit="1"/>
    </xf>
    <xf numFmtId="0" fontId="43" fillId="0" borderId="0" xfId="0" applyFont="1" applyAlignment="1">
      <alignment horizontal="left" vertical="center" shrinkToFit="1"/>
    </xf>
    <xf numFmtId="180" fontId="42" fillId="0" borderId="0" xfId="0" applyNumberFormat="1" applyFont="1" applyAlignment="1">
      <alignment horizontal="left" vertical="center" shrinkToFit="1"/>
    </xf>
    <xf numFmtId="0" fontId="67" fillId="0" borderId="0" xfId="0" applyFont="1" applyAlignment="1">
      <alignment horizontal="center" vertical="top" shrinkToFit="1"/>
    </xf>
    <xf numFmtId="0" fontId="67" fillId="0" borderId="155" xfId="0" applyFont="1" applyBorder="1" applyAlignment="1">
      <alignment horizontal="center" vertical="top" shrinkToFit="1"/>
    </xf>
    <xf numFmtId="180" fontId="42" fillId="0" borderId="177" xfId="0" applyNumberFormat="1" applyFont="1" applyBorder="1" applyAlignment="1">
      <alignment horizontal="center" vertical="center" shrinkToFit="1"/>
    </xf>
    <xf numFmtId="180" fontId="42" fillId="0" borderId="178" xfId="0" applyNumberFormat="1" applyFont="1" applyBorder="1" applyAlignment="1">
      <alignment horizontal="center" vertical="center" shrinkToFit="1"/>
    </xf>
    <xf numFmtId="0" fontId="46" fillId="0" borderId="15" xfId="0" applyFont="1" applyBorder="1" applyAlignment="1">
      <alignment horizontal="center" vertical="center" shrinkToFit="1"/>
    </xf>
    <xf numFmtId="0" fontId="46" fillId="0" borderId="133" xfId="0" applyFont="1" applyBorder="1" applyAlignment="1">
      <alignment horizontal="center" vertical="center"/>
    </xf>
    <xf numFmtId="0" fontId="38" fillId="0" borderId="64" xfId="0" applyFont="1" applyBorder="1" applyAlignment="1">
      <alignment horizontal="left" vertical="center"/>
    </xf>
    <xf numFmtId="0" fontId="0" fillId="0" borderId="137" xfId="0" applyBorder="1" applyAlignment="1">
      <alignment horizontal="distributed" vertical="center" indent="2"/>
    </xf>
    <xf numFmtId="0" fontId="0" fillId="0" borderId="138" xfId="0" applyBorder="1" applyAlignment="1">
      <alignment horizontal="distributed" vertical="center" indent="2"/>
    </xf>
    <xf numFmtId="0" fontId="0" fillId="0" borderId="72" xfId="0" applyBorder="1" applyAlignment="1">
      <alignment horizontal="left" vertical="center"/>
    </xf>
    <xf numFmtId="0" fontId="0" fillId="0" borderId="129" xfId="0" applyBorder="1" applyAlignment="1">
      <alignment horizontal="left" vertical="center"/>
    </xf>
    <xf numFmtId="0" fontId="3" fillId="0" borderId="77" xfId="0" applyFont="1" applyBorder="1" applyAlignment="1">
      <alignment horizontal="center" vertical="center"/>
    </xf>
    <xf numFmtId="0" fontId="3" fillId="0" borderId="58" xfId="0" applyFont="1" applyBorder="1" applyAlignment="1">
      <alignment horizontal="center" vertical="center"/>
    </xf>
    <xf numFmtId="0" fontId="3" fillId="0" borderId="24" xfId="0" applyFont="1" applyBorder="1" applyAlignment="1">
      <alignment horizontal="center" vertical="center"/>
    </xf>
    <xf numFmtId="0" fontId="0" fillId="0" borderId="15" xfId="0" applyBorder="1" applyAlignment="1">
      <alignment horizontal="center" vertical="center"/>
    </xf>
    <xf numFmtId="0" fontId="5" fillId="0" borderId="15" xfId="0" applyFont="1" applyBorder="1" applyAlignment="1">
      <alignment horizontal="left" vertical="center" indent="2"/>
    </xf>
    <xf numFmtId="0" fontId="0" fillId="0" borderId="16" xfId="0" applyBorder="1" applyAlignment="1">
      <alignment horizontal="distributed" vertical="center"/>
    </xf>
    <xf numFmtId="0" fontId="0" fillId="0" borderId="0" xfId="0" applyAlignment="1">
      <alignment horizontal="distributed" vertical="center"/>
    </xf>
    <xf numFmtId="0" fontId="0" fillId="0" borderId="77" xfId="0" applyBorder="1" applyAlignment="1">
      <alignment horizontal="distributed" vertical="center"/>
    </xf>
    <xf numFmtId="0" fontId="0" fillId="0" borderId="24" xfId="0" applyBorder="1" applyAlignment="1">
      <alignment horizontal="distributed" vertical="center"/>
    </xf>
    <xf numFmtId="0" fontId="0" fillId="0" borderId="136" xfId="0" applyBorder="1" applyAlignment="1">
      <alignment horizontal="distributed" vertical="center" indent="2"/>
    </xf>
    <xf numFmtId="0" fontId="0" fillId="0" borderId="8" xfId="0" applyBorder="1" applyAlignment="1">
      <alignment horizontal="distributed" vertical="center" indent="2"/>
    </xf>
    <xf numFmtId="0" fontId="0" fillId="0" borderId="130" xfId="0" applyBorder="1" applyAlignment="1">
      <alignment horizontal="left" vertical="center" indent="2"/>
    </xf>
    <xf numFmtId="0" fontId="0" fillId="0" borderId="131" xfId="0" applyBorder="1" applyAlignment="1">
      <alignment horizontal="left" vertical="center" indent="2"/>
    </xf>
    <xf numFmtId="0" fontId="0" fillId="0" borderId="140" xfId="0" applyBorder="1" applyAlignment="1">
      <alignment horizontal="left" vertical="center" indent="2"/>
    </xf>
    <xf numFmtId="0" fontId="0" fillId="0" borderId="134" xfId="0" applyBorder="1" applyAlignment="1">
      <alignment horizontal="distributed" vertical="center" indent="2"/>
    </xf>
    <xf numFmtId="0" fontId="0" fillId="0" borderId="5" xfId="0" applyBorder="1" applyAlignment="1">
      <alignment horizontal="distributed" vertical="center" indent="2"/>
    </xf>
    <xf numFmtId="0" fontId="0" fillId="0" borderId="141" xfId="0" applyBorder="1" applyAlignment="1">
      <alignment horizontal="distributed" vertical="center" indent="2"/>
    </xf>
    <xf numFmtId="0" fontId="0" fillId="0" borderId="26" xfId="0" applyBorder="1" applyAlignment="1">
      <alignment horizontal="distributed" vertical="center" indent="2"/>
    </xf>
    <xf numFmtId="0" fontId="0" fillId="0" borderId="58" xfId="0" applyBorder="1" applyAlignment="1">
      <alignment horizontal="center" vertical="center" shrinkToFit="1"/>
    </xf>
    <xf numFmtId="0" fontId="0" fillId="0" borderId="135" xfId="0" applyBorder="1" applyAlignment="1">
      <alignment horizontal="center" vertical="center" shrinkToFit="1"/>
    </xf>
    <xf numFmtId="0" fontId="0" fillId="0" borderId="5" xfId="0" applyBorder="1" applyAlignment="1">
      <alignment horizontal="center" vertical="center"/>
    </xf>
    <xf numFmtId="0" fontId="0" fillId="0" borderId="26" xfId="0" applyBorder="1" applyAlignment="1">
      <alignment horizontal="center" vertical="center"/>
    </xf>
    <xf numFmtId="0" fontId="0" fillId="0" borderId="78" xfId="0" applyBorder="1" applyAlignment="1">
      <alignment horizontal="center" vertical="center"/>
    </xf>
    <xf numFmtId="0" fontId="0" fillId="0" borderId="6" xfId="0" applyBorder="1" applyAlignment="1">
      <alignment horizontal="center" vertical="center"/>
    </xf>
    <xf numFmtId="0" fontId="0" fillId="0" borderId="27" xfId="0" applyBorder="1" applyAlignment="1">
      <alignment horizontal="center" vertical="center"/>
    </xf>
    <xf numFmtId="0" fontId="0" fillId="0" borderId="79" xfId="0" applyBorder="1" applyAlignment="1">
      <alignment horizontal="center" vertical="center"/>
    </xf>
    <xf numFmtId="0" fontId="0" fillId="0" borderId="137" xfId="0" applyBorder="1" applyAlignment="1">
      <alignment horizontal="distributed" vertical="center" indent="1"/>
    </xf>
    <xf numFmtId="0" fontId="0" fillId="0" borderId="138" xfId="0" applyBorder="1" applyAlignment="1">
      <alignment horizontal="distributed" vertical="center" indent="1"/>
    </xf>
    <xf numFmtId="0" fontId="0" fillId="0" borderId="138" xfId="0" applyBorder="1" applyAlignment="1">
      <alignment horizontal="center" vertical="center"/>
    </xf>
    <xf numFmtId="0" fontId="0" fillId="0" borderId="139" xfId="0" applyBorder="1" applyAlignment="1">
      <alignment horizontal="center" vertical="center"/>
    </xf>
    <xf numFmtId="0" fontId="0" fillId="0" borderId="134" xfId="0" applyBorder="1" applyAlignment="1">
      <alignment horizontal="distributed" vertical="center" indent="1"/>
    </xf>
    <xf numFmtId="0" fontId="0" fillId="0" borderId="5" xfId="0" applyBorder="1" applyAlignment="1">
      <alignment horizontal="distributed" vertical="center" indent="1"/>
    </xf>
    <xf numFmtId="0" fontId="0" fillId="0" borderId="77" xfId="0" applyBorder="1" applyAlignment="1">
      <alignment horizontal="center" vertical="center"/>
    </xf>
    <xf numFmtId="0" fontId="0" fillId="0" borderId="58" xfId="0" applyBorder="1" applyAlignment="1">
      <alignment horizontal="center" vertical="center"/>
    </xf>
    <xf numFmtId="0" fontId="0" fillId="0" borderId="135" xfId="0" applyBorder="1" applyAlignment="1">
      <alignment horizontal="center" vertical="center"/>
    </xf>
    <xf numFmtId="0" fontId="0" fillId="0" borderId="136" xfId="0" applyBorder="1" applyAlignment="1">
      <alignment horizontal="distributed" vertical="center" indent="1"/>
    </xf>
    <xf numFmtId="0" fontId="0" fillId="0" borderId="8" xfId="0" applyBorder="1" applyAlignment="1">
      <alignment horizontal="distributed" vertical="center" indent="1"/>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xf>
    <xf numFmtId="0" fontId="0" fillId="0" borderId="81" xfId="0" applyBorder="1" applyAlignment="1">
      <alignment horizontal="center" vertical="center"/>
    </xf>
    <xf numFmtId="0" fontId="0" fillId="0" borderId="41" xfId="0" applyBorder="1" applyAlignment="1">
      <alignment horizontal="center" vertical="center"/>
    </xf>
    <xf numFmtId="0" fontId="0" fillId="0" borderId="40" xfId="0" applyBorder="1" applyAlignment="1">
      <alignment horizontal="center" vertical="center"/>
    </xf>
    <xf numFmtId="0" fontId="0" fillId="0" borderId="127" xfId="0" applyBorder="1" applyAlignment="1">
      <alignment horizontal="center" vertical="center"/>
    </xf>
    <xf numFmtId="0" fontId="0" fillId="0" borderId="24" xfId="0" applyBorder="1" applyAlignment="1">
      <alignment horizontal="center" vertical="center"/>
    </xf>
    <xf numFmtId="176" fontId="0" fillId="0" borderId="128" xfId="0" applyNumberFormat="1" applyBorder="1" applyAlignment="1">
      <alignment horizontal="right" vertical="center"/>
    </xf>
    <xf numFmtId="176" fontId="0" fillId="0" borderId="72" xfId="0" applyNumberFormat="1" applyBorder="1" applyAlignment="1">
      <alignment horizontal="right" vertical="center"/>
    </xf>
    <xf numFmtId="0" fontId="42" fillId="0" borderId="0" xfId="2" applyFont="1" applyAlignment="1">
      <alignment horizontal="left" vertical="center"/>
    </xf>
    <xf numFmtId="0" fontId="47" fillId="0" borderId="78" xfId="2" applyFont="1" applyBorder="1" applyAlignment="1">
      <alignment horizontal="center" vertical="center"/>
    </xf>
    <xf numFmtId="0" fontId="41" fillId="0" borderId="153" xfId="2" applyFont="1" applyBorder="1" applyAlignment="1">
      <alignment horizontal="center" vertical="center"/>
    </xf>
    <xf numFmtId="0" fontId="41" fillId="0" borderId="22" xfId="2" applyFont="1" applyBorder="1" applyAlignment="1">
      <alignment horizontal="center" vertical="center"/>
    </xf>
    <xf numFmtId="0" fontId="47" fillId="0" borderId="15" xfId="2" applyFont="1" applyBorder="1" applyAlignment="1">
      <alignment horizontal="left" vertical="center" shrinkToFit="1"/>
    </xf>
    <xf numFmtId="0" fontId="44" fillId="0" borderId="117" xfId="2" applyFont="1" applyBorder="1" applyAlignment="1">
      <alignment horizontal="center" vertical="center" shrinkToFit="1"/>
    </xf>
    <xf numFmtId="0" fontId="44" fillId="0" borderId="143" xfId="2" applyFont="1" applyBorder="1" applyAlignment="1">
      <alignment horizontal="center" vertical="center" shrinkToFit="1"/>
    </xf>
    <xf numFmtId="31" fontId="44" fillId="0" borderId="143" xfId="2" applyNumberFormat="1" applyFont="1" applyBorder="1" applyAlignment="1">
      <alignment horizontal="center" vertical="center" shrinkToFit="1"/>
    </xf>
    <xf numFmtId="31" fontId="44" fillId="0" borderId="120" xfId="2" applyNumberFormat="1" applyFont="1" applyBorder="1" applyAlignment="1">
      <alignment horizontal="center" vertical="center" shrinkToFit="1"/>
    </xf>
    <xf numFmtId="20" fontId="44" fillId="0" borderId="119" xfId="2" applyNumberFormat="1" applyFont="1" applyBorder="1" applyAlignment="1">
      <alignment horizontal="center" vertical="center" shrinkToFit="1"/>
    </xf>
    <xf numFmtId="20" fontId="44" fillId="0" borderId="143" xfId="2" applyNumberFormat="1" applyFont="1" applyBorder="1" applyAlignment="1">
      <alignment horizontal="center" vertical="center" shrinkToFit="1"/>
    </xf>
    <xf numFmtId="0" fontId="44" fillId="0" borderId="113" xfId="2" applyFont="1" applyBorder="1" applyAlignment="1">
      <alignment horizontal="center" vertical="center" shrinkToFit="1"/>
    </xf>
    <xf numFmtId="0" fontId="48" fillId="0" borderId="0" xfId="2" applyFont="1" applyAlignment="1">
      <alignment horizontal="left" vertical="center" shrinkToFit="1"/>
    </xf>
    <xf numFmtId="0" fontId="44" fillId="0" borderId="108" xfId="2" applyFont="1" applyBorder="1" applyAlignment="1">
      <alignment horizontal="center" vertical="center" shrinkToFit="1"/>
    </xf>
    <xf numFmtId="0" fontId="44" fillId="0" borderId="106" xfId="2" applyFont="1" applyBorder="1" applyAlignment="1">
      <alignment horizontal="center" vertical="center" shrinkToFit="1"/>
    </xf>
    <xf numFmtId="0" fontId="44" fillId="0" borderId="106" xfId="4" applyFont="1" applyBorder="1" applyAlignment="1">
      <alignment horizontal="center" vertical="center" shrinkToFit="1"/>
    </xf>
    <xf numFmtId="0" fontId="44" fillId="0" borderId="111" xfId="4" applyFont="1" applyBorder="1" applyAlignment="1">
      <alignment horizontal="center" vertical="center" shrinkToFit="1"/>
    </xf>
    <xf numFmtId="0" fontId="44" fillId="0" borderId="99" xfId="2" applyFont="1" applyBorder="1" applyAlignment="1">
      <alignment horizontal="center" vertical="center" shrinkToFit="1"/>
    </xf>
    <xf numFmtId="0" fontId="44" fillId="0" borderId="83" xfId="2" applyFont="1" applyBorder="1" applyAlignment="1">
      <alignment horizontal="center" vertical="center" shrinkToFit="1"/>
    </xf>
    <xf numFmtId="0" fontId="44" fillId="0" borderId="82" xfId="2" applyFont="1" applyBorder="1" applyAlignment="1">
      <alignment horizontal="center" vertical="center" shrinkToFit="1"/>
    </xf>
    <xf numFmtId="177" fontId="44" fillId="0" borderId="99" xfId="2" applyNumberFormat="1" applyFont="1" applyBorder="1" applyAlignment="1">
      <alignment horizontal="center" vertical="center" shrinkToFit="1"/>
    </xf>
    <xf numFmtId="177" fontId="44" fillId="0" borderId="99" xfId="2" quotePrefix="1" applyNumberFormat="1" applyFont="1" applyBorder="1" applyAlignment="1">
      <alignment horizontal="center" vertical="center" shrinkToFit="1"/>
    </xf>
    <xf numFmtId="178" fontId="44" fillId="0" borderId="99" xfId="2" applyNumberFormat="1" applyFont="1" applyBorder="1" applyAlignment="1">
      <alignment horizontal="center" vertical="center" shrinkToFit="1"/>
    </xf>
    <xf numFmtId="178" fontId="44" fillId="0" borderId="99" xfId="2" quotePrefix="1" applyNumberFormat="1" applyFont="1" applyBorder="1" applyAlignment="1">
      <alignment horizontal="center" vertical="center" shrinkToFit="1"/>
    </xf>
    <xf numFmtId="0" fontId="50" fillId="0" borderId="109" xfId="2" applyFont="1" applyBorder="1" applyAlignment="1">
      <alignment horizontal="center" vertical="center"/>
    </xf>
    <xf numFmtId="0" fontId="50" fillId="0" borderId="85" xfId="2" applyFont="1" applyBorder="1" applyAlignment="1">
      <alignment horizontal="center" vertical="center"/>
    </xf>
    <xf numFmtId="0" fontId="50" fillId="0" borderId="101" xfId="2" applyFont="1" applyBorder="1" applyAlignment="1">
      <alignment horizontal="center" vertical="center"/>
    </xf>
    <xf numFmtId="0" fontId="50" fillId="0" borderId="119" xfId="2" applyFont="1" applyBorder="1" applyAlignment="1">
      <alignment horizontal="center" vertical="center"/>
    </xf>
    <xf numFmtId="0" fontId="42" fillId="0" borderId="120" xfId="2" applyFont="1" applyBorder="1" applyAlignment="1">
      <alignment horizontal="center" vertical="center" shrinkToFit="1"/>
    </xf>
    <xf numFmtId="0" fontId="42" fillId="0" borderId="142" xfId="2" applyFont="1" applyBorder="1" applyAlignment="1">
      <alignment horizontal="center" vertical="center" shrinkToFit="1"/>
    </xf>
    <xf numFmtId="0" fontId="42" fillId="0" borderId="119" xfId="2" applyFont="1" applyBorder="1" applyAlignment="1">
      <alignment horizontal="center" vertical="center" shrinkToFit="1"/>
    </xf>
    <xf numFmtId="179" fontId="44" fillId="0" borderId="99" xfId="2" applyNumberFormat="1" applyFont="1" applyBorder="1" applyAlignment="1">
      <alignment horizontal="center" vertical="center" shrinkToFit="1"/>
    </xf>
    <xf numFmtId="179" fontId="44" fillId="0" borderId="83" xfId="2" applyNumberFormat="1" applyFont="1" applyBorder="1" applyAlignment="1">
      <alignment horizontal="center" vertical="center" shrinkToFit="1"/>
    </xf>
    <xf numFmtId="179" fontId="44" fillId="0" borderId="100" xfId="2" applyNumberFormat="1" applyFont="1" applyBorder="1" applyAlignment="1">
      <alignment horizontal="center" vertical="center" shrinkToFit="1"/>
    </xf>
    <xf numFmtId="179" fontId="44" fillId="0" borderId="87" xfId="2" applyNumberFormat="1" applyFont="1" applyBorder="1" applyAlignment="1">
      <alignment horizontal="center" vertical="center" shrinkToFit="1"/>
    </xf>
    <xf numFmtId="0" fontId="44" fillId="0" borderId="100" xfId="2" applyFont="1" applyBorder="1" applyAlignment="1">
      <alignment horizontal="center" vertical="center" shrinkToFit="1"/>
    </xf>
    <xf numFmtId="0" fontId="44" fillId="0" borderId="86" xfId="2" applyFont="1" applyBorder="1" applyAlignment="1">
      <alignment horizontal="center" vertical="center" shrinkToFit="1"/>
    </xf>
    <xf numFmtId="0" fontId="40" fillId="0" borderId="47" xfId="2" applyFont="1" applyBorder="1" applyAlignment="1">
      <alignment horizontal="center" vertical="center" shrinkToFit="1"/>
    </xf>
    <xf numFmtId="0" fontId="40" fillId="0" borderId="16" xfId="2" applyFont="1" applyBorder="1" applyAlignment="1">
      <alignment horizontal="center" vertical="center" shrinkToFit="1"/>
    </xf>
    <xf numFmtId="0" fontId="50" fillId="0" borderId="108" xfId="2" applyFont="1" applyBorder="1" applyAlignment="1">
      <alignment horizontal="center" vertical="center"/>
    </xf>
    <xf numFmtId="0" fontId="50" fillId="0" borderId="105" xfId="2" applyFont="1" applyBorder="1" applyAlignment="1">
      <alignment horizontal="center" vertical="center"/>
    </xf>
    <xf numFmtId="0" fontId="50" fillId="0" borderId="102" xfId="2" applyFont="1" applyBorder="1" applyAlignment="1">
      <alignment horizontal="center" vertical="center"/>
    </xf>
    <xf numFmtId="0" fontId="50" fillId="0" borderId="111" xfId="2" applyFont="1" applyBorder="1" applyAlignment="1">
      <alignment horizontal="center" vertical="center"/>
    </xf>
    <xf numFmtId="0" fontId="47" fillId="0" borderId="77" xfId="2" applyFont="1" applyBorder="1" applyAlignment="1">
      <alignment horizontal="center" vertical="center"/>
    </xf>
    <xf numFmtId="0" fontId="47" fillId="0" borderId="58" xfId="2" applyFont="1" applyBorder="1" applyAlignment="1">
      <alignment horizontal="center" vertical="center"/>
    </xf>
    <xf numFmtId="0" fontId="54" fillId="0" borderId="58" xfId="2" applyFont="1" applyBorder="1" applyAlignment="1">
      <alignment horizontal="center" vertical="center"/>
    </xf>
    <xf numFmtId="0" fontId="54" fillId="0" borderId="154" xfId="2" applyFont="1" applyBorder="1" applyAlignment="1">
      <alignment horizontal="center" vertical="center"/>
    </xf>
    <xf numFmtId="0" fontId="47" fillId="0" borderId="144" xfId="2" applyFont="1" applyBorder="1" applyAlignment="1">
      <alignment horizontal="center" vertical="center"/>
    </xf>
    <xf numFmtId="0" fontId="47" fillId="0" borderId="154" xfId="2" applyFont="1" applyBorder="1" applyAlignment="1">
      <alignment horizontal="center" vertical="center"/>
    </xf>
    <xf numFmtId="0" fontId="54" fillId="0" borderId="144" xfId="2" applyFont="1" applyBorder="1" applyAlignment="1">
      <alignment horizontal="center" vertical="center"/>
    </xf>
    <xf numFmtId="0" fontId="47" fillId="0" borderId="24" xfId="2" applyFont="1" applyBorder="1" applyAlignment="1">
      <alignment horizontal="center" vertical="center"/>
    </xf>
    <xf numFmtId="0" fontId="42" fillId="0" borderId="101" xfId="2" applyFont="1" applyBorder="1" applyAlignment="1">
      <alignment horizontal="center" vertical="center" shrinkToFit="1"/>
    </xf>
    <xf numFmtId="0" fontId="42" fillId="0" borderId="84" xfId="2" applyFont="1" applyBorder="1" applyAlignment="1">
      <alignment horizontal="center" vertical="center" shrinkToFit="1"/>
    </xf>
    <xf numFmtId="0" fontId="42" fillId="0" borderId="117" xfId="2" applyFont="1" applyBorder="1" applyAlignment="1">
      <alignment horizontal="center" vertical="center" shrinkToFit="1"/>
    </xf>
    <xf numFmtId="0" fontId="42" fillId="0" borderId="113" xfId="2" applyFont="1" applyBorder="1" applyAlignment="1">
      <alignment horizontal="center" vertical="center" shrinkToFit="1"/>
    </xf>
    <xf numFmtId="0" fontId="42" fillId="0" borderId="86" xfId="2" applyFont="1" applyBorder="1" applyAlignment="1">
      <alignment horizontal="center" vertical="center" shrinkToFit="1"/>
    </xf>
    <xf numFmtId="0" fontId="42" fillId="0" borderId="87" xfId="2" applyFont="1" applyBorder="1" applyAlignment="1">
      <alignment horizontal="center" vertical="center" shrinkToFit="1"/>
    </xf>
    <xf numFmtId="0" fontId="42" fillId="0" borderId="143" xfId="2" applyFont="1" applyBorder="1" applyAlignment="1">
      <alignment horizontal="center" vertical="center" shrinkToFit="1"/>
    </xf>
    <xf numFmtId="0" fontId="42" fillId="0" borderId="78" xfId="2" applyFont="1" applyBorder="1" applyAlignment="1">
      <alignment horizontal="center" vertical="center" textRotation="255" shrinkToFit="1"/>
    </xf>
    <xf numFmtId="0" fontId="42" fillId="0" borderId="153" xfId="2" applyFont="1" applyBorder="1" applyAlignment="1">
      <alignment horizontal="center" vertical="center" textRotation="255" shrinkToFit="1"/>
    </xf>
    <xf numFmtId="0" fontId="42" fillId="0" borderId="114" xfId="2" applyFont="1" applyBorder="1" applyAlignment="1">
      <alignment horizontal="center" vertical="center" shrinkToFit="1"/>
    </xf>
    <xf numFmtId="0" fontId="42" fillId="0" borderId="59" xfId="2" applyFont="1" applyBorder="1" applyAlignment="1">
      <alignment horizontal="center" vertical="center" shrinkToFit="1"/>
    </xf>
    <xf numFmtId="0" fontId="44" fillId="0" borderId="102" xfId="2" applyFont="1" applyBorder="1" applyAlignment="1">
      <alignment horizontal="center" vertical="center" shrinkToFit="1"/>
    </xf>
    <xf numFmtId="0" fontId="44" fillId="0" borderId="105" xfId="2" applyFont="1" applyBorder="1" applyAlignment="1">
      <alignment horizontal="center" vertical="center" shrinkToFit="1"/>
    </xf>
    <xf numFmtId="0" fontId="42" fillId="0" borderId="104" xfId="2" applyFont="1" applyBorder="1" applyAlignment="1">
      <alignment horizontal="center" vertical="center" shrinkToFit="1"/>
    </xf>
    <xf numFmtId="0" fontId="42" fillId="0" borderId="85" xfId="2" applyFont="1" applyBorder="1" applyAlignment="1">
      <alignment horizontal="center" vertical="center" shrinkToFit="1"/>
    </xf>
    <xf numFmtId="0" fontId="44" fillId="0" borderId="101" xfId="2" applyFont="1" applyBorder="1" applyAlignment="1">
      <alignment horizontal="center" vertical="center" shrinkToFit="1"/>
    </xf>
    <xf numFmtId="0" fontId="44" fillId="0" borderId="142" xfId="2" applyFont="1" applyBorder="1" applyAlignment="1">
      <alignment horizontal="center" vertical="center" shrinkToFit="1"/>
    </xf>
    <xf numFmtId="0" fontId="44" fillId="0" borderId="104" xfId="2" applyFont="1" applyBorder="1" applyAlignment="1">
      <alignment horizontal="center" vertical="center" shrinkToFit="1"/>
    </xf>
    <xf numFmtId="0" fontId="42" fillId="0" borderId="101" xfId="2" applyFont="1" applyBorder="1" applyAlignment="1">
      <alignment horizontal="center" vertical="center" textRotation="255" shrinkToFit="1"/>
    </xf>
    <xf numFmtId="0" fontId="42" fillId="0" borderId="114" xfId="2" applyFont="1" applyBorder="1" applyAlignment="1">
      <alignment horizontal="center" vertical="center" textRotation="255" shrinkToFit="1"/>
    </xf>
    <xf numFmtId="0" fontId="42" fillId="0" borderId="116" xfId="2" applyFont="1" applyBorder="1" applyAlignment="1">
      <alignment horizontal="center" vertical="center" shrinkToFit="1"/>
    </xf>
    <xf numFmtId="0" fontId="44" fillId="0" borderId="84" xfId="2" applyFont="1" applyBorder="1" applyAlignment="1">
      <alignment horizontal="center" vertical="center" shrinkToFit="1"/>
    </xf>
    <xf numFmtId="0" fontId="44" fillId="0" borderId="88" xfId="2" applyFont="1" applyBorder="1" applyAlignment="1">
      <alignment horizontal="center" vertical="center" shrinkToFit="1"/>
    </xf>
    <xf numFmtId="0" fontId="44" fillId="0" borderId="85" xfId="2" applyFont="1" applyBorder="1" applyAlignment="1">
      <alignment horizontal="center" vertical="center" shrinkToFit="1"/>
    </xf>
    <xf numFmtId="0" fontId="47" fillId="0" borderId="14" xfId="2" applyFont="1" applyBorder="1" applyAlignment="1">
      <alignment horizontal="center" vertical="center" shrinkToFit="1"/>
    </xf>
    <xf numFmtId="0" fontId="47" fillId="0" borderId="15" xfId="2" applyFont="1" applyBorder="1" applyAlignment="1">
      <alignment horizontal="center" vertical="center" shrinkToFit="1"/>
    </xf>
    <xf numFmtId="0" fontId="44" fillId="0" borderId="147" xfId="2" applyFont="1" applyBorder="1" applyAlignment="1">
      <alignment horizontal="center" vertical="center" shrinkToFit="1"/>
    </xf>
    <xf numFmtId="0" fontId="44" fillId="0" borderId="90" xfId="2" applyFont="1" applyBorder="1" applyAlignment="1">
      <alignment horizontal="center" vertical="center" shrinkToFit="1"/>
    </xf>
    <xf numFmtId="0" fontId="47" fillId="0" borderId="150" xfId="2" applyFont="1" applyBorder="1" applyAlignment="1">
      <alignment horizontal="center" vertical="center"/>
    </xf>
    <xf numFmtId="0" fontId="47" fillId="0" borderId="151" xfId="2" applyFont="1" applyBorder="1" applyAlignment="1">
      <alignment horizontal="center" vertical="center"/>
    </xf>
    <xf numFmtId="0" fontId="47" fillId="0" borderId="152" xfId="2" applyFont="1" applyBorder="1" applyAlignment="1">
      <alignment horizontal="center" vertical="center"/>
    </xf>
    <xf numFmtId="0" fontId="42" fillId="0" borderId="100" xfId="2" quotePrefix="1" applyFont="1" applyBorder="1" applyAlignment="1">
      <alignment horizontal="center" vertical="center" shrinkToFit="1"/>
    </xf>
    <xf numFmtId="0" fontId="42" fillId="0" borderId="87" xfId="2" quotePrefix="1" applyFont="1" applyBorder="1" applyAlignment="1">
      <alignment horizontal="center" vertical="center" shrinkToFit="1"/>
    </xf>
    <xf numFmtId="0" fontId="42" fillId="0" borderId="110" xfId="2" applyFont="1" applyBorder="1" applyAlignment="1">
      <alignment horizontal="center" vertical="center" shrinkToFit="1"/>
    </xf>
    <xf numFmtId="0" fontId="42" fillId="0" borderId="107" xfId="2" applyFont="1" applyBorder="1" applyAlignment="1">
      <alignment horizontal="center" vertical="center" shrinkToFit="1"/>
    </xf>
    <xf numFmtId="0" fontId="47" fillId="0" borderId="77" xfId="2" applyFont="1" applyBorder="1" applyAlignment="1">
      <alignment horizontal="center" vertical="center" shrinkToFit="1"/>
    </xf>
    <xf numFmtId="0" fontId="47" fillId="0" borderId="58" xfId="2" applyFont="1" applyBorder="1" applyAlignment="1">
      <alignment horizontal="center" vertical="center" shrinkToFit="1"/>
    </xf>
    <xf numFmtId="0" fontId="47" fillId="0" borderId="15" xfId="2" applyFont="1" applyBorder="1" applyAlignment="1">
      <alignment horizontal="center" vertical="center"/>
    </xf>
    <xf numFmtId="0" fontId="47" fillId="0" borderId="21" xfId="2" applyFont="1" applyBorder="1" applyAlignment="1">
      <alignment horizontal="center" vertical="center"/>
    </xf>
    <xf numFmtId="0" fontId="47" fillId="0" borderId="12" xfId="2" applyFont="1" applyBorder="1" applyAlignment="1">
      <alignment horizontal="center" vertical="center"/>
    </xf>
    <xf numFmtId="0" fontId="47" fillId="0" borderId="0" xfId="2" applyFont="1" applyAlignment="1">
      <alignment horizontal="center" vertical="center"/>
    </xf>
    <xf numFmtId="0" fontId="47" fillId="0" borderId="39" xfId="2" applyFont="1" applyBorder="1" applyAlignment="1">
      <alignment horizontal="center" vertical="center"/>
    </xf>
    <xf numFmtId="0" fontId="42" fillId="0" borderId="119" xfId="2" applyFont="1" applyBorder="1" applyAlignment="1">
      <alignment horizontal="center" vertical="center" textRotation="255" shrinkToFit="1"/>
    </xf>
    <xf numFmtId="0" fontId="42" fillId="0" borderId="112" xfId="2" applyFont="1" applyBorder="1" applyAlignment="1">
      <alignment horizontal="center" vertical="center" textRotation="255" shrinkToFit="1"/>
    </xf>
    <xf numFmtId="0" fontId="42" fillId="0" borderId="89" xfId="2" applyFont="1" applyBorder="1" applyAlignment="1">
      <alignment horizontal="center" vertical="center" shrinkToFit="1"/>
    </xf>
    <xf numFmtId="0" fontId="44" fillId="0" borderId="107" xfId="2" applyFont="1" applyBorder="1" applyAlignment="1">
      <alignment horizontal="center" vertical="center" shrinkToFit="1"/>
    </xf>
    <xf numFmtId="0" fontId="42" fillId="0" borderId="112" xfId="2" applyFont="1" applyBorder="1" applyAlignment="1">
      <alignment horizontal="center" vertical="center" shrinkToFit="1"/>
    </xf>
    <xf numFmtId="0" fontId="42" fillId="0" borderId="82" xfId="2" applyFont="1" applyBorder="1" applyAlignment="1">
      <alignment horizontal="center" vertical="center" shrinkToFit="1"/>
    </xf>
    <xf numFmtId="0" fontId="42" fillId="0" borderId="108" xfId="2" applyFont="1" applyBorder="1" applyAlignment="1">
      <alignment horizontal="center" vertical="center" shrinkToFit="1"/>
    </xf>
    <xf numFmtId="0" fontId="42" fillId="0" borderId="111" xfId="2" applyFont="1" applyBorder="1" applyAlignment="1">
      <alignment horizontal="center" vertical="center" shrinkToFit="1"/>
    </xf>
    <xf numFmtId="0" fontId="42" fillId="0" borderId="120" xfId="2" applyFont="1" applyBorder="1" applyAlignment="1">
      <alignment horizontal="center" vertical="center" textRotation="255" shrinkToFit="1"/>
    </xf>
    <xf numFmtId="0" fontId="42" fillId="0" borderId="109" xfId="2" applyFont="1" applyBorder="1" applyAlignment="1">
      <alignment horizontal="center" vertical="center" textRotation="255" shrinkToFit="1"/>
    </xf>
    <xf numFmtId="0" fontId="42" fillId="0" borderId="47" xfId="2" applyFont="1" applyBorder="1" applyAlignment="1">
      <alignment horizontal="center" vertical="center" textRotation="255" shrinkToFit="1"/>
    </xf>
    <xf numFmtId="0" fontId="42" fillId="0" borderId="16" xfId="4" applyFont="1" applyBorder="1" applyAlignment="1">
      <alignment horizontal="center" vertical="center" textRotation="255" shrinkToFit="1"/>
    </xf>
    <xf numFmtId="0" fontId="42" fillId="0" borderId="14" xfId="2" applyFont="1" applyBorder="1" applyAlignment="1">
      <alignment horizontal="center" vertical="center" textRotation="255" shrinkToFit="1"/>
    </xf>
    <xf numFmtId="0" fontId="42" fillId="0" borderId="15" xfId="4" applyFont="1" applyBorder="1" applyAlignment="1">
      <alignment horizontal="center" vertical="center" textRotation="255" shrinkToFit="1"/>
    </xf>
    <xf numFmtId="0" fontId="42" fillId="0" borderId="148" xfId="2" applyFont="1" applyBorder="1" applyAlignment="1">
      <alignment horizontal="center" vertical="center" textRotation="255" shrinkToFit="1"/>
    </xf>
    <xf numFmtId="0" fontId="42" fillId="0" borderId="48" xfId="4" applyFont="1" applyBorder="1" applyAlignment="1">
      <alignment horizontal="center" vertical="center" textRotation="255" shrinkToFit="1"/>
    </xf>
    <xf numFmtId="0" fontId="42" fillId="0" borderId="149" xfId="4" applyFont="1" applyBorder="1" applyAlignment="1">
      <alignment horizontal="center" vertical="center" textRotation="255" shrinkToFit="1"/>
    </xf>
    <xf numFmtId="0" fontId="42" fillId="0" borderId="21" xfId="4" applyFont="1" applyBorder="1" applyAlignment="1">
      <alignment horizontal="center" vertical="center" textRotation="255" shrinkToFit="1"/>
    </xf>
    <xf numFmtId="0" fontId="42" fillId="0" borderId="100" xfId="2" applyFont="1" applyBorder="1" applyAlignment="1">
      <alignment horizontal="center" vertical="center" shrinkToFit="1"/>
    </xf>
    <xf numFmtId="0" fontId="42" fillId="0" borderId="117" xfId="2" applyFont="1" applyBorder="1" applyAlignment="1">
      <alignment horizontal="center" vertical="center" textRotation="255" shrinkToFit="1"/>
    </xf>
    <xf numFmtId="0" fontId="42" fillId="0" borderId="86" xfId="2" applyFont="1" applyBorder="1" applyAlignment="1">
      <alignment horizontal="center" vertical="center" textRotation="255" shrinkToFit="1"/>
    </xf>
    <xf numFmtId="0" fontId="42" fillId="0" borderId="113" xfId="2" applyFont="1" applyBorder="1" applyAlignment="1">
      <alignment horizontal="center" vertical="center" textRotation="255" shrinkToFit="1"/>
    </xf>
    <xf numFmtId="0" fontId="42" fillId="0" borderId="87" xfId="2" applyFont="1" applyBorder="1" applyAlignment="1">
      <alignment horizontal="center" vertical="center" textRotation="255" shrinkToFit="1"/>
    </xf>
    <xf numFmtId="0" fontId="42" fillId="0" borderId="102" xfId="2" applyFont="1" applyBorder="1" applyAlignment="1">
      <alignment horizontal="center" vertical="center" shrinkToFit="1"/>
    </xf>
    <xf numFmtId="0" fontId="42" fillId="0" borderId="106" xfId="4" applyFont="1" applyBorder="1" applyAlignment="1">
      <alignment horizontal="center" vertical="center" shrinkToFit="1"/>
    </xf>
    <xf numFmtId="0" fontId="42" fillId="0" borderId="105" xfId="4" applyFont="1" applyBorder="1" applyAlignment="1">
      <alignment horizontal="center" vertical="center" shrinkToFit="1"/>
    </xf>
    <xf numFmtId="0" fontId="42" fillId="0" borderId="99" xfId="2" applyFont="1" applyBorder="1" applyAlignment="1">
      <alignment horizontal="center" vertical="center" shrinkToFit="1"/>
    </xf>
    <xf numFmtId="0" fontId="42" fillId="0" borderId="104" xfId="4" applyFont="1" applyBorder="1" applyAlignment="1">
      <alignment horizontal="center" vertical="center" shrinkToFit="1"/>
    </xf>
    <xf numFmtId="0" fontId="42" fillId="0" borderId="147" xfId="2" applyFont="1" applyBorder="1" applyAlignment="1">
      <alignment horizontal="center" vertical="center" shrinkToFit="1"/>
    </xf>
    <xf numFmtId="0" fontId="42" fillId="0" borderId="109" xfId="2" applyFont="1" applyBorder="1" applyAlignment="1">
      <alignment horizontal="center" vertical="center" shrinkToFit="1"/>
    </xf>
    <xf numFmtId="0" fontId="44" fillId="0" borderId="145" xfId="2" applyFont="1" applyBorder="1" applyAlignment="1">
      <alignment horizontal="center" vertical="center" shrinkToFit="1"/>
    </xf>
    <xf numFmtId="0" fontId="44" fillId="0" borderId="146" xfId="2" applyFont="1" applyBorder="1" applyAlignment="1">
      <alignment horizontal="center" vertical="center" shrinkToFit="1"/>
    </xf>
    <xf numFmtId="0" fontId="42" fillId="0" borderId="88" xfId="4" applyFont="1" applyBorder="1" applyAlignment="1">
      <alignment horizontal="center" vertical="center" shrinkToFit="1"/>
    </xf>
    <xf numFmtId="0" fontId="42" fillId="0" borderId="85" xfId="4" applyFont="1" applyBorder="1" applyAlignment="1">
      <alignment horizontal="center" vertical="center" shrinkToFit="1"/>
    </xf>
    <xf numFmtId="0" fontId="44" fillId="0" borderId="87" xfId="2" applyFont="1" applyBorder="1" applyAlignment="1">
      <alignment horizontal="center" vertical="center" shrinkToFit="1"/>
    </xf>
    <xf numFmtId="0" fontId="44" fillId="0" borderId="120" xfId="2" applyFont="1" applyBorder="1" applyAlignment="1">
      <alignment horizontal="center" vertical="center" shrinkToFit="1"/>
    </xf>
    <xf numFmtId="0" fontId="42" fillId="0" borderId="142" xfId="4" applyFont="1" applyBorder="1" applyAlignment="1">
      <alignment horizontal="center" shrinkToFit="1"/>
    </xf>
    <xf numFmtId="0" fontId="42" fillId="0" borderId="105" xfId="2" applyFont="1" applyBorder="1" applyAlignment="1">
      <alignment horizontal="center" vertical="center" shrinkToFit="1"/>
    </xf>
    <xf numFmtId="0" fontId="42" fillId="0" borderId="14" xfId="2" applyFont="1" applyBorder="1" applyAlignment="1">
      <alignment horizontal="center" vertical="center" shrinkToFit="1"/>
    </xf>
    <xf numFmtId="0" fontId="42" fillId="0" borderId="21" xfId="2" applyFont="1" applyBorder="1" applyAlignment="1">
      <alignment horizontal="center" vertical="center" shrinkToFit="1"/>
    </xf>
    <xf numFmtId="0" fontId="42" fillId="0" borderId="77" xfId="2" applyFont="1" applyBorder="1" applyAlignment="1">
      <alignment horizontal="center" vertical="center" shrinkToFit="1"/>
    </xf>
    <xf numFmtId="0" fontId="42" fillId="0" borderId="58" xfId="2" applyFont="1" applyBorder="1" applyAlignment="1">
      <alignment horizontal="center" vertical="center" shrinkToFit="1"/>
    </xf>
    <xf numFmtId="0" fontId="42" fillId="0" borderId="24" xfId="2" applyFont="1" applyBorder="1" applyAlignment="1">
      <alignment horizontal="center" vertical="center" shrinkToFit="1"/>
    </xf>
    <xf numFmtId="0" fontId="42" fillId="0" borderId="144" xfId="2" applyFont="1" applyBorder="1" applyAlignment="1">
      <alignment horizontal="center" vertical="center" shrinkToFit="1"/>
    </xf>
    <xf numFmtId="0" fontId="42" fillId="0" borderId="83" xfId="2" applyFont="1" applyBorder="1" applyAlignment="1">
      <alignment horizontal="center" vertical="center" shrinkToFit="1"/>
    </xf>
    <xf numFmtId="0" fontId="42" fillId="0" borderId="106" xfId="4" applyFont="1" applyBorder="1" applyAlignment="1">
      <alignment horizontal="center" shrinkToFit="1"/>
    </xf>
    <xf numFmtId="0" fontId="44" fillId="0" borderId="109" xfId="2" applyFont="1" applyBorder="1" applyAlignment="1">
      <alignment horizontal="center" vertical="center" shrinkToFit="1"/>
    </xf>
    <xf numFmtId="0" fontId="42" fillId="0" borderId="88" xfId="4" applyFont="1" applyBorder="1" applyAlignment="1">
      <alignment horizontal="center" shrinkToFit="1"/>
    </xf>
    <xf numFmtId="0" fontId="47" fillId="0" borderId="15" xfId="2" applyFont="1" applyBorder="1" applyAlignment="1">
      <alignment horizontal="left" vertical="center"/>
    </xf>
    <xf numFmtId="0" fontId="47" fillId="0" borderId="47" xfId="2" applyFont="1" applyBorder="1" applyAlignment="1">
      <alignment horizontal="left" vertical="top" wrapText="1"/>
    </xf>
    <xf numFmtId="0" fontId="47" fillId="0" borderId="16" xfId="2" applyFont="1" applyBorder="1" applyAlignment="1">
      <alignment horizontal="left" vertical="top" wrapText="1"/>
    </xf>
    <xf numFmtId="0" fontId="47" fillId="0" borderId="48" xfId="2" applyFont="1" applyBorder="1" applyAlignment="1">
      <alignment horizontal="left" vertical="top" wrapText="1"/>
    </xf>
    <xf numFmtId="0" fontId="47" fillId="0" borderId="12" xfId="2" applyFont="1" applyBorder="1" applyAlignment="1">
      <alignment horizontal="left" vertical="top" wrapText="1"/>
    </xf>
    <xf numFmtId="0" fontId="47" fillId="0" borderId="0" xfId="2" applyFont="1" applyAlignment="1">
      <alignment horizontal="left" vertical="top" wrapText="1"/>
    </xf>
    <xf numFmtId="0" fontId="47" fillId="0" borderId="39" xfId="2" applyFont="1" applyBorder="1" applyAlignment="1">
      <alignment horizontal="left" vertical="top" wrapText="1"/>
    </xf>
    <xf numFmtId="0" fontId="47" fillId="0" borderId="14" xfId="2" applyFont="1" applyBorder="1" applyAlignment="1">
      <alignment horizontal="left" vertical="top" wrapText="1"/>
    </xf>
    <xf numFmtId="0" fontId="47" fillId="0" borderId="15" xfId="2" applyFont="1" applyBorder="1" applyAlignment="1">
      <alignment horizontal="left" vertical="top" wrapText="1"/>
    </xf>
    <xf numFmtId="0" fontId="47" fillId="0" borderId="21" xfId="2" applyFont="1" applyBorder="1" applyAlignment="1">
      <alignment horizontal="left" vertical="top" wrapText="1"/>
    </xf>
    <xf numFmtId="0" fontId="42" fillId="0" borderId="0" xfId="2" applyFont="1" applyAlignment="1">
      <alignment horizontal="left" vertical="center" shrinkToFit="1"/>
    </xf>
    <xf numFmtId="0" fontId="42" fillId="0" borderId="16" xfId="2" applyFont="1" applyBorder="1" applyAlignment="1">
      <alignment horizontal="left" vertical="center" shrinkToFit="1"/>
    </xf>
    <xf numFmtId="0" fontId="47" fillId="0" borderId="101" xfId="2" applyFont="1" applyBorder="1" applyAlignment="1">
      <alignment horizontal="center" vertical="center" shrinkToFit="1"/>
    </xf>
    <xf numFmtId="0" fontId="47" fillId="0" borderId="142" xfId="2" applyFont="1" applyBorder="1" applyAlignment="1">
      <alignment horizontal="center" vertical="center" shrinkToFit="1"/>
    </xf>
    <xf numFmtId="0" fontId="47" fillId="0" borderId="104" xfId="2" applyFont="1" applyBorder="1" applyAlignment="1">
      <alignment horizontal="center" vertical="center" shrinkToFit="1"/>
    </xf>
    <xf numFmtId="0" fontId="47" fillId="0" borderId="101" xfId="2" applyFont="1" applyBorder="1" applyAlignment="1">
      <alignment horizontal="center" vertical="center"/>
    </xf>
    <xf numFmtId="0" fontId="37" fillId="0" borderId="142" xfId="4" applyFont="1" applyBorder="1" applyAlignment="1">
      <alignment horizontal="center" vertical="center"/>
    </xf>
    <xf numFmtId="0" fontId="47" fillId="0" borderId="142" xfId="2" applyFont="1" applyBorder="1" applyAlignment="1">
      <alignment horizontal="center" vertical="center"/>
    </xf>
    <xf numFmtId="0" fontId="37" fillId="0" borderId="104" xfId="4" applyFont="1" applyBorder="1" applyAlignment="1">
      <alignment horizontal="center" vertical="center"/>
    </xf>
    <xf numFmtId="0" fontId="47" fillId="0" borderId="84" xfId="2" applyFont="1" applyBorder="1" applyAlignment="1">
      <alignment horizontal="center" vertical="center" shrinkToFit="1"/>
    </xf>
    <xf numFmtId="0" fontId="47" fillId="0" borderId="88" xfId="2" applyFont="1" applyBorder="1" applyAlignment="1">
      <alignment horizontal="center" vertical="center" shrinkToFit="1"/>
    </xf>
    <xf numFmtId="0" fontId="47" fillId="0" borderId="85" xfId="2" applyFont="1" applyBorder="1" applyAlignment="1">
      <alignment horizontal="center" vertical="center" shrinkToFit="1"/>
    </xf>
    <xf numFmtId="0" fontId="47" fillId="0" borderId="84" xfId="2" applyFont="1" applyBorder="1" applyAlignment="1">
      <alignment horizontal="center" vertical="center"/>
    </xf>
    <xf numFmtId="0" fontId="37" fillId="0" borderId="88" xfId="4" applyFont="1" applyBorder="1" applyAlignment="1">
      <alignment horizontal="center" vertical="center"/>
    </xf>
    <xf numFmtId="0" fontId="42" fillId="0" borderId="16" xfId="4" applyFont="1" applyBorder="1" applyAlignment="1">
      <alignment horizontal="left" vertical="center" shrinkToFit="1"/>
    </xf>
    <xf numFmtId="0" fontId="47" fillId="0" borderId="0" xfId="2" applyFont="1" applyAlignment="1">
      <alignment horizontal="left" vertical="center" shrinkToFit="1"/>
    </xf>
    <xf numFmtId="0" fontId="47" fillId="0" borderId="88" xfId="2" applyFont="1" applyBorder="1" applyAlignment="1">
      <alignment horizontal="center" vertical="center"/>
    </xf>
    <xf numFmtId="0" fontId="37" fillId="0" borderId="85" xfId="4" applyFont="1" applyBorder="1" applyAlignment="1">
      <alignment horizontal="center" vertical="center"/>
    </xf>
    <xf numFmtId="0" fontId="53" fillId="0" borderId="12" xfId="2" applyFont="1" applyBorder="1" applyAlignment="1">
      <alignment horizontal="right" vertical="center" indent="1"/>
    </xf>
    <xf numFmtId="0" fontId="53" fillId="0" borderId="0" xfId="4" applyFont="1" applyAlignment="1">
      <alignment horizontal="right" vertical="center" indent="1"/>
    </xf>
    <xf numFmtId="0" fontId="43" fillId="0" borderId="0" xfId="4" applyFont="1" applyAlignment="1">
      <alignment horizontal="right" vertical="center" indent="1"/>
    </xf>
    <xf numFmtId="0" fontId="43" fillId="0" borderId="39" xfId="4" applyFont="1" applyBorder="1" applyAlignment="1">
      <alignment horizontal="right" vertical="center" indent="1"/>
    </xf>
    <xf numFmtId="0" fontId="51" fillId="0" borderId="12" xfId="2" applyFont="1" applyBorder="1" applyAlignment="1">
      <alignment horizontal="center" vertical="center" shrinkToFit="1"/>
    </xf>
    <xf numFmtId="0" fontId="51" fillId="0" borderId="0" xfId="2" applyFont="1" applyAlignment="1">
      <alignment horizontal="center" vertical="center" shrinkToFit="1"/>
    </xf>
    <xf numFmtId="0" fontId="51" fillId="0" borderId="39" xfId="2" applyFont="1" applyBorder="1" applyAlignment="1">
      <alignment horizontal="center" vertical="center" shrinkToFit="1"/>
    </xf>
    <xf numFmtId="0" fontId="52" fillId="0" borderId="0" xfId="0" applyFont="1">
      <alignment vertical="center"/>
    </xf>
    <xf numFmtId="0" fontId="52" fillId="0" borderId="39" xfId="0" applyFont="1" applyBorder="1">
      <alignment vertical="center"/>
    </xf>
    <xf numFmtId="0" fontId="52" fillId="0" borderId="12" xfId="0" applyFont="1" applyBorder="1">
      <alignment vertical="center"/>
    </xf>
    <xf numFmtId="0" fontId="50" fillId="0" borderId="120" xfId="2" applyFont="1" applyBorder="1" applyAlignment="1">
      <alignment horizontal="center" vertical="center"/>
    </xf>
    <xf numFmtId="0" fontId="50" fillId="0" borderId="104" xfId="2" applyFont="1" applyBorder="1" applyAlignment="1">
      <alignment horizontal="center" vertical="center"/>
    </xf>
    <xf numFmtId="0" fontId="49" fillId="0" borderId="16" xfId="2" applyFont="1" applyBorder="1" applyAlignment="1">
      <alignment horizontal="center" vertical="center"/>
    </xf>
    <xf numFmtId="0" fontId="49" fillId="0" borderId="48" xfId="2" applyFont="1" applyBorder="1" applyAlignment="1">
      <alignment horizontal="center" vertical="center"/>
    </xf>
    <xf numFmtId="0" fontId="49" fillId="0" borderId="0" xfId="2" applyFont="1" applyAlignment="1">
      <alignment horizontal="center" vertical="center"/>
    </xf>
    <xf numFmtId="0" fontId="49" fillId="0" borderId="39" xfId="2" applyFont="1" applyBorder="1" applyAlignment="1">
      <alignment horizontal="center" vertical="center"/>
    </xf>
    <xf numFmtId="0" fontId="49" fillId="0" borderId="15" xfId="2" applyFont="1" applyBorder="1" applyAlignment="1">
      <alignment horizontal="center" vertical="center"/>
    </xf>
    <xf numFmtId="0" fontId="49" fillId="0" borderId="21" xfId="2" applyFont="1" applyBorder="1" applyAlignment="1">
      <alignment horizontal="center" vertical="center"/>
    </xf>
    <xf numFmtId="0" fontId="50" fillId="0" borderId="84" xfId="2" applyFont="1" applyBorder="1" applyAlignment="1">
      <alignment horizontal="center" vertical="center"/>
    </xf>
    <xf numFmtId="0" fontId="50" fillId="0" borderId="112" xfId="2" applyFont="1" applyBorder="1" applyAlignment="1">
      <alignment horizontal="center" vertical="center"/>
    </xf>
    <xf numFmtId="0" fontId="42" fillId="0" borderId="88" xfId="2" applyFont="1" applyBorder="1" applyAlignment="1">
      <alignment horizontal="center" vertical="center" shrinkToFit="1"/>
    </xf>
    <xf numFmtId="0" fontId="49" fillId="0" borderId="47" xfId="2" applyFont="1" applyBorder="1" applyAlignment="1">
      <alignment horizontal="center" vertical="center"/>
    </xf>
    <xf numFmtId="0" fontId="49" fillId="0" borderId="12" xfId="2" applyFont="1" applyBorder="1" applyAlignment="1">
      <alignment horizontal="center" vertical="center"/>
    </xf>
    <xf numFmtId="0" fontId="49" fillId="0" borderId="14" xfId="2" applyFont="1" applyBorder="1" applyAlignment="1">
      <alignment horizontal="center" vertical="center"/>
    </xf>
    <xf numFmtId="0" fontId="42" fillId="0" borderId="122" xfId="2" applyFont="1" applyBorder="1" applyAlignment="1">
      <alignment horizontal="center" vertical="center" shrinkToFit="1"/>
    </xf>
    <xf numFmtId="0" fontId="42" fillId="0" borderId="121" xfId="2" applyFont="1" applyBorder="1" applyAlignment="1">
      <alignment horizontal="center" vertical="center" shrinkToFit="1"/>
    </xf>
    <xf numFmtId="0" fontId="22" fillId="3" borderId="125" xfId="0" applyFont="1" applyFill="1" applyBorder="1">
      <alignment vertical="center"/>
    </xf>
    <xf numFmtId="0" fontId="20" fillId="0" borderId="0" xfId="0" applyFont="1">
      <alignment vertical="center"/>
    </xf>
    <xf numFmtId="0" fontId="16" fillId="5" borderId="0" xfId="0" applyFont="1" applyFill="1" applyAlignment="1">
      <alignment horizontal="left" vertical="center" wrapText="1"/>
    </xf>
    <xf numFmtId="0" fontId="18" fillId="0" borderId="0" xfId="0" applyFont="1" applyAlignment="1">
      <alignment horizontal="left"/>
    </xf>
    <xf numFmtId="0" fontId="23" fillId="3" borderId="0" xfId="0" applyFont="1" applyFill="1" applyAlignment="1">
      <alignment horizontal="left" vertical="center" wrapText="1"/>
    </xf>
    <xf numFmtId="0" fontId="20" fillId="0" borderId="0" xfId="0" applyFont="1" applyAlignment="1">
      <alignment horizontal="left" vertical="center"/>
    </xf>
    <xf numFmtId="0" fontId="22" fillId="3" borderId="0" xfId="0" applyFont="1" applyFill="1" applyAlignment="1">
      <alignment horizontal="center" wrapText="1"/>
    </xf>
    <xf numFmtId="0" fontId="22" fillId="3" borderId="0" xfId="0" applyFont="1" applyFill="1" applyAlignment="1">
      <alignment horizontal="center"/>
    </xf>
    <xf numFmtId="0" fontId="22" fillId="3" borderId="125" xfId="0" applyFont="1" applyFill="1" applyBorder="1" applyAlignment="1">
      <alignment vertical="center" shrinkToFit="1"/>
    </xf>
    <xf numFmtId="0" fontId="20" fillId="0" borderId="0" xfId="0" applyFont="1" applyAlignment="1">
      <alignment vertical="center" shrinkToFit="1"/>
    </xf>
    <xf numFmtId="0" fontId="20" fillId="2" borderId="65" xfId="0" applyFont="1" applyFill="1" applyBorder="1" applyAlignment="1" applyProtection="1">
      <alignment horizontal="center" vertical="center" shrinkToFit="1"/>
      <protection locked="0"/>
    </xf>
    <xf numFmtId="0" fontId="20" fillId="0" borderId="71" xfId="0" applyFont="1" applyBorder="1" applyAlignment="1">
      <alignment vertical="center" shrinkToFit="1"/>
    </xf>
    <xf numFmtId="0" fontId="20" fillId="0" borderId="156" xfId="0" applyFont="1" applyBorder="1" applyAlignment="1">
      <alignment vertical="center" shrinkToFit="1"/>
    </xf>
    <xf numFmtId="0" fontId="20" fillId="2" borderId="65" xfId="0" applyFont="1" applyFill="1" applyBorder="1" applyAlignment="1" applyProtection="1">
      <alignment vertical="center" wrapText="1" shrinkToFit="1"/>
      <protection locked="0"/>
    </xf>
    <xf numFmtId="0" fontId="25" fillId="3" borderId="125" xfId="0" applyFont="1" applyFill="1" applyBorder="1" applyAlignment="1">
      <alignment horizontal="left" vertical="center" wrapText="1" shrinkToFit="1"/>
    </xf>
    <xf numFmtId="0" fontId="25" fillId="3" borderId="0" xfId="0" applyFont="1" applyFill="1" applyAlignment="1">
      <alignment horizontal="left" vertical="center" wrapText="1" shrinkToFit="1"/>
    </xf>
    <xf numFmtId="0" fontId="24" fillId="6" borderId="156" xfId="0" applyFont="1" applyFill="1" applyBorder="1" applyAlignment="1">
      <alignment horizontal="center" vertical="center" shrinkToFit="1"/>
    </xf>
    <xf numFmtId="0" fontId="24" fillId="6" borderId="40" xfId="0" applyFont="1" applyFill="1" applyBorder="1" applyAlignment="1">
      <alignment horizontal="center" vertical="center" shrinkToFit="1"/>
    </xf>
    <xf numFmtId="0" fontId="20" fillId="0" borderId="40" xfId="0" applyFont="1" applyBorder="1" applyAlignment="1">
      <alignment vertical="center" shrinkToFit="1"/>
    </xf>
    <xf numFmtId="0" fontId="23" fillId="3" borderId="0" xfId="0" applyFont="1" applyFill="1" applyAlignment="1">
      <alignment horizontal="left"/>
    </xf>
    <xf numFmtId="0" fontId="26" fillId="3" borderId="0" xfId="0" applyFont="1" applyFill="1" applyAlignment="1"/>
    <xf numFmtId="0" fontId="24" fillId="6" borderId="0" xfId="0" applyFont="1" applyFill="1" applyAlignment="1">
      <alignment horizontal="center" vertical="center" wrapText="1"/>
    </xf>
    <xf numFmtId="0" fontId="24" fillId="6" borderId="0" xfId="0" applyFont="1" applyFill="1" applyAlignment="1">
      <alignment horizontal="center" vertical="center"/>
    </xf>
    <xf numFmtId="0" fontId="24" fillId="6" borderId="81" xfId="0" applyFont="1" applyFill="1" applyBorder="1" applyAlignment="1">
      <alignment horizontal="center" vertical="center"/>
    </xf>
    <xf numFmtId="0" fontId="20" fillId="2" borderId="45" xfId="0" applyFont="1" applyFill="1" applyBorder="1" applyAlignment="1" applyProtection="1">
      <alignment vertical="top" wrapText="1" shrinkToFit="1"/>
      <protection locked="0"/>
    </xf>
    <xf numFmtId="0" fontId="20" fillId="2" borderId="46" xfId="0" applyFont="1" applyFill="1" applyBorder="1" applyAlignment="1" applyProtection="1">
      <alignment vertical="top" wrapText="1" shrinkToFit="1"/>
      <protection locked="0"/>
    </xf>
    <xf numFmtId="0" fontId="20" fillId="2" borderId="158" xfId="0" applyFont="1" applyFill="1" applyBorder="1" applyAlignment="1" applyProtection="1">
      <alignment vertical="top" wrapText="1" shrinkToFit="1"/>
      <protection locked="0"/>
    </xf>
    <xf numFmtId="0" fontId="20" fillId="2" borderId="125" xfId="0" applyFont="1" applyFill="1" applyBorder="1" applyAlignment="1" applyProtection="1">
      <alignment vertical="top" wrapText="1" shrinkToFit="1"/>
      <protection locked="0"/>
    </xf>
    <xf numFmtId="0" fontId="20" fillId="2" borderId="0" xfId="0" applyFont="1" applyFill="1" applyAlignment="1" applyProtection="1">
      <alignment vertical="top" wrapText="1" shrinkToFit="1"/>
      <protection locked="0"/>
    </xf>
    <xf numFmtId="0" fontId="20" fillId="2" borderId="81" xfId="0" applyFont="1" applyFill="1" applyBorder="1" applyAlignment="1" applyProtection="1">
      <alignment vertical="top" wrapText="1" shrinkToFit="1"/>
      <protection locked="0"/>
    </xf>
    <xf numFmtId="0" fontId="20" fillId="2" borderId="126" xfId="0" applyFont="1" applyFill="1" applyBorder="1" applyAlignment="1" applyProtection="1">
      <alignment vertical="top" wrapText="1" shrinkToFit="1"/>
      <protection locked="0"/>
    </xf>
    <xf numFmtId="0" fontId="20" fillId="2" borderId="40" xfId="0" applyFont="1" applyFill="1" applyBorder="1" applyAlignment="1" applyProtection="1">
      <alignment vertical="top" wrapText="1" shrinkToFit="1"/>
      <protection locked="0"/>
    </xf>
    <xf numFmtId="0" fontId="20" fillId="2" borderId="127" xfId="0" applyFont="1" applyFill="1" applyBorder="1" applyAlignment="1" applyProtection="1">
      <alignment vertical="top" wrapText="1" shrinkToFit="1"/>
      <protection locked="0"/>
    </xf>
    <xf numFmtId="0" fontId="23" fillId="3" borderId="0" xfId="0" applyFont="1" applyFill="1" applyAlignment="1">
      <alignment horizontal="left" vertical="top"/>
    </xf>
    <xf numFmtId="0" fontId="26" fillId="3" borderId="0" xfId="0" applyFont="1" applyFill="1" applyAlignment="1">
      <alignment vertical="top"/>
    </xf>
    <xf numFmtId="0" fontId="27" fillId="6" borderId="0" xfId="0" applyFont="1" applyFill="1" applyAlignment="1">
      <alignment horizontal="center" vertical="center" shrinkToFit="1"/>
    </xf>
    <xf numFmtId="0" fontId="27" fillId="6" borderId="81" xfId="0" applyFont="1" applyFill="1" applyBorder="1" applyAlignment="1">
      <alignment horizontal="center" vertical="center" shrinkToFit="1"/>
    </xf>
    <xf numFmtId="0" fontId="20" fillId="2" borderId="65" xfId="0" applyFont="1" applyFill="1" applyBorder="1" applyAlignment="1" applyProtection="1">
      <alignment vertical="center" shrinkToFit="1"/>
      <protection locked="0"/>
    </xf>
    <xf numFmtId="0" fontId="42" fillId="0" borderId="155" xfId="0" applyFont="1" applyBorder="1" applyAlignment="1">
      <alignment horizontal="center" vertical="top" shrinkToFit="1"/>
    </xf>
    <xf numFmtId="0" fontId="42" fillId="0" borderId="155" xfId="0" applyFont="1" applyBorder="1" applyAlignment="1">
      <alignment vertical="top" shrinkToFit="1"/>
    </xf>
    <xf numFmtId="0" fontId="42" fillId="0" borderId="0" xfId="0" applyFont="1" applyAlignment="1">
      <alignment vertical="top" shrinkToFit="1"/>
    </xf>
    <xf numFmtId="0" fontId="42" fillId="0" borderId="155" xfId="0" applyFont="1" applyBorder="1" applyAlignment="1">
      <alignment horizontal="center" vertical="top" shrinkToFit="1"/>
    </xf>
  </cellXfs>
  <cellStyles count="5">
    <cellStyle name="標準" xfId="0" builtinId="0"/>
    <cellStyle name="標準 2" xfId="1" xr:uid="{00000000-0005-0000-0000-000001000000}"/>
    <cellStyle name="標準_ﾒﾝﾊﾞｰ公式記録SMPL" xfId="2" xr:uid="{00000000-0005-0000-0000-000002000000}"/>
    <cellStyle name="標準_県体トーナメント2" xfId="3" xr:uid="{00000000-0005-0000-0000-000003000000}"/>
    <cellStyle name="標準_北信越各種処理ファイル" xfId="4" xr:uid="{00000000-0005-0000-0000-000004000000}"/>
  </cellStyles>
  <dxfs count="864">
    <dxf>
      <fill>
        <patternFill>
          <bgColor rgb="FFFFFF00"/>
        </patternFill>
      </fill>
    </dxf>
    <dxf>
      <fill>
        <patternFill>
          <bgColor rgb="FFFFFF00"/>
        </patternFill>
      </fill>
    </dxf>
    <dxf>
      <border>
        <left/>
        <right/>
      </border>
    </dxf>
    <dxf>
      <border>
        <left style="thin">
          <color indexed="64"/>
        </left>
      </border>
    </dxf>
    <dxf>
      <border>
        <left style="thin">
          <color indexed="64"/>
        </left>
      </border>
    </dxf>
    <dxf>
      <border>
        <bottom style="thin">
          <color indexed="64"/>
        </bottom>
      </border>
    </dxf>
    <dxf>
      <border>
        <bottom/>
      </border>
    </dxf>
    <dxf>
      <border>
        <bottom style="thin">
          <color indexed="64"/>
        </bottom>
      </border>
    </dxf>
    <dxf>
      <border>
        <left style="thin">
          <color indexed="64"/>
        </left>
        <bottom style="thin">
          <color indexed="64"/>
        </bottom>
      </border>
    </dxf>
    <dxf>
      <border>
        <bottom style="thin">
          <color indexed="64"/>
        </bottom>
      </border>
    </dxf>
    <dxf>
      <border>
        <right/>
        <bottom/>
      </border>
    </dxf>
    <dxf>
      <border>
        <right style="thin">
          <color indexed="64"/>
        </right>
        <bottom style="thin">
          <color indexed="64"/>
        </bottom>
      </border>
    </dxf>
    <dxf>
      <border>
        <bottom style="thin">
          <color indexed="64"/>
        </bottom>
      </border>
    </dxf>
    <dxf>
      <font>
        <color theme="0"/>
      </font>
    </dxf>
    <dxf>
      <border>
        <bottom style="thin">
          <color indexed="64"/>
        </bottom>
      </border>
    </dxf>
    <dxf>
      <font>
        <color theme="0"/>
      </font>
    </dxf>
    <dxf>
      <border>
        <bottom style="thin">
          <color indexed="64"/>
        </bottom>
      </border>
    </dxf>
    <dxf>
      <border>
        <bottom style="thin">
          <color indexed="64"/>
        </bottom>
      </border>
    </dxf>
    <dxf>
      <border>
        <bottom/>
      </border>
    </dxf>
    <dxf>
      <border>
        <right style="thin">
          <color indexed="64"/>
        </right>
      </border>
    </dxf>
    <dxf>
      <font>
        <color theme="0"/>
      </font>
    </dxf>
    <dxf>
      <border>
        <bottom style="thin">
          <color indexed="64"/>
        </bottom>
      </border>
    </dxf>
    <dxf>
      <border>
        <left style="thin">
          <color indexed="64"/>
        </left>
        <bottom style="thin">
          <color indexed="64"/>
        </bottom>
      </border>
    </dxf>
    <dxf>
      <border>
        <right/>
      </border>
    </dxf>
    <dxf>
      <border>
        <right style="thin">
          <color indexed="64"/>
        </right>
      </border>
    </dxf>
    <dxf>
      <font>
        <color theme="0"/>
        <name val="ＭＳ Ｐゴシック"/>
        <scheme val="none"/>
      </font>
    </dxf>
    <dxf>
      <border>
        <left style="thin">
          <color indexed="64"/>
        </left>
      </border>
    </dxf>
    <dxf>
      <font>
        <color theme="0"/>
      </font>
    </dxf>
    <dxf>
      <font>
        <color theme="0"/>
      </font>
    </dxf>
    <dxf>
      <border>
        <bottom style="thin">
          <color indexed="64"/>
        </bottom>
      </border>
    </dxf>
    <dxf>
      <border>
        <bottom style="thin">
          <color indexed="64"/>
        </bottom>
      </border>
    </dxf>
    <dxf>
      <border>
        <right style="thin">
          <color indexed="64"/>
        </right>
        <bottom style="thin">
          <color indexed="64"/>
        </bottom>
      </border>
    </dxf>
    <dxf>
      <border>
        <bottom style="thin">
          <color indexed="64"/>
        </bottom>
      </border>
    </dxf>
    <dxf>
      <font>
        <color theme="0"/>
      </font>
    </dxf>
    <dxf>
      <border>
        <bottom style="thin">
          <color indexed="64"/>
        </bottom>
      </border>
    </dxf>
    <dxf>
      <border>
        <bottom style="thin">
          <color indexed="64"/>
        </bottom>
      </border>
    </dxf>
    <dxf>
      <border>
        <right style="thin">
          <color indexed="64"/>
        </right>
      </border>
    </dxf>
    <dxf>
      <border>
        <bottom style="thin">
          <color indexed="64"/>
        </bottom>
      </border>
    </dxf>
    <dxf>
      <border>
        <left style="thin">
          <color indexed="64"/>
        </left>
        <bottom style="thin">
          <color indexed="64"/>
        </bottom>
      </border>
    </dxf>
    <dxf>
      <border>
        <left style="thin">
          <color indexed="64"/>
        </left>
      </border>
    </dxf>
    <dxf>
      <font>
        <color theme="0"/>
      </font>
    </dxf>
    <dxf>
      <border>
        <bottom style="thin">
          <color indexed="64"/>
        </bottom>
      </border>
    </dxf>
    <dxf>
      <border>
        <bottom style="thin">
          <color indexed="64"/>
        </bottom>
      </border>
    </dxf>
    <dxf>
      <border>
        <left style="thin">
          <color indexed="64"/>
        </left>
        <bottom style="thin">
          <color indexed="64"/>
        </bottom>
      </border>
    </dxf>
    <dxf>
      <font>
        <color theme="0"/>
      </font>
    </dxf>
    <dxf>
      <border>
        <bottom style="thin">
          <color indexed="64"/>
        </bottom>
      </border>
    </dxf>
    <dxf>
      <border>
        <right style="thin">
          <color indexed="64"/>
        </right>
      </border>
    </dxf>
    <dxf>
      <border>
        <bottom style="thin">
          <color indexed="64"/>
        </bottom>
      </border>
    </dxf>
    <dxf>
      <border>
        <bottom style="thin">
          <color indexed="64"/>
        </bottom>
      </border>
    </dxf>
    <dxf>
      <border>
        <bottom style="thin">
          <color indexed="64"/>
        </bottom>
      </border>
    </dxf>
    <dxf>
      <border>
        <right style="thin">
          <color indexed="64"/>
        </right>
        <bottom style="thin">
          <color indexed="64"/>
        </bottom>
      </border>
    </dxf>
    <dxf>
      <border>
        <left style="thin">
          <color indexed="64"/>
        </left>
      </border>
    </dxf>
    <dxf>
      <font>
        <color theme="0"/>
      </font>
    </dxf>
    <dxf>
      <border>
        <bottom style="thin">
          <color indexed="64"/>
        </bottom>
      </border>
    </dxf>
    <dxf>
      <border>
        <bottom style="thin">
          <color indexed="64"/>
        </bottom>
      </border>
    </dxf>
    <dxf>
      <border>
        <right style="thin">
          <color indexed="64"/>
        </right>
        <bottom style="thin">
          <color indexed="64"/>
        </bottom>
      </border>
    </dxf>
    <dxf>
      <border>
        <bottom style="thin">
          <color indexed="64"/>
        </bottom>
      </border>
    </dxf>
    <dxf>
      <font>
        <color theme="0"/>
      </font>
    </dxf>
    <dxf>
      <border>
        <bottom style="thin">
          <color indexed="64"/>
        </bottom>
      </border>
    </dxf>
    <dxf>
      <border>
        <right style="thin">
          <color indexed="64"/>
        </right>
      </border>
    </dxf>
    <dxf>
      <border>
        <bottom style="thin">
          <color indexed="64"/>
        </bottom>
      </border>
    </dxf>
    <dxf>
      <border>
        <right style="thin">
          <color indexed="64"/>
        </right>
        <bottom style="thin">
          <color indexed="64"/>
        </bottom>
      </border>
    </dxf>
    <dxf>
      <border>
        <bottom style="thin">
          <color indexed="64"/>
        </bottom>
      </border>
    </dxf>
    <dxf>
      <border>
        <left style="thin">
          <color indexed="64"/>
        </left>
      </border>
    </dxf>
    <dxf>
      <font>
        <color theme="0"/>
      </font>
    </dxf>
    <dxf>
      <border>
        <bottom style="thin">
          <color indexed="64"/>
        </bottom>
      </border>
    </dxf>
    <dxf>
      <border>
        <bottom style="thin">
          <color indexed="64"/>
        </bottom>
      </border>
    </dxf>
    <dxf>
      <border>
        <left style="thin">
          <color indexed="64"/>
        </left>
        <bottom style="thin">
          <color indexed="64"/>
        </bottom>
      </border>
    </dxf>
    <dxf>
      <font>
        <color theme="0"/>
      </font>
    </dxf>
    <dxf>
      <border>
        <bottom style="thin">
          <color indexed="64"/>
        </bottom>
      </border>
    </dxf>
    <dxf>
      <font>
        <color theme="0"/>
      </font>
    </dxf>
    <dxf>
      <border>
        <bottom style="thin">
          <color indexed="64"/>
        </bottom>
      </border>
    </dxf>
    <dxf>
      <border>
        <right style="thin">
          <color indexed="64"/>
        </right>
      </border>
    </dxf>
    <dxf>
      <border>
        <left style="thin">
          <color indexed="64"/>
        </left>
        <bottom style="thin">
          <color indexed="64"/>
        </bottom>
      </border>
    </dxf>
    <dxf>
      <border>
        <bottom style="thin">
          <color indexed="64"/>
        </bottom>
      </border>
    </dxf>
    <dxf>
      <border>
        <left style="thin">
          <color indexed="64"/>
        </left>
      </border>
    </dxf>
    <dxf>
      <font>
        <color theme="0"/>
      </font>
    </dxf>
    <dxf>
      <border>
        <bottom style="thin">
          <color indexed="64"/>
        </bottom>
      </border>
    </dxf>
    <dxf>
      <border>
        <bottom style="thin">
          <color indexed="64"/>
        </bottom>
      </border>
    </dxf>
    <dxf>
      <border>
        <bottom style="thin">
          <color indexed="64"/>
        </bottom>
      </border>
    </dxf>
    <dxf>
      <border>
        <right style="thin">
          <color indexed="64"/>
        </right>
        <bottom style="thin">
          <color indexed="64"/>
        </bottom>
      </border>
    </dxf>
    <dxf>
      <font>
        <color theme="0"/>
      </font>
    </dxf>
    <dxf>
      <border>
        <bottom style="thin">
          <color indexed="64"/>
        </bottom>
      </border>
    </dxf>
    <dxf>
      <border>
        <right style="thin">
          <color indexed="64"/>
        </right>
      </border>
    </dxf>
    <dxf>
      <border>
        <bottom style="thin">
          <color indexed="64"/>
        </bottom>
      </border>
    </dxf>
    <dxf>
      <border>
        <bottom style="thin">
          <color indexed="64"/>
        </bottom>
      </border>
    </dxf>
    <dxf>
      <border>
        <bottom style="thin">
          <color indexed="64"/>
        </bottom>
      </border>
    </dxf>
    <dxf>
      <border>
        <right style="thin">
          <color indexed="64"/>
        </right>
        <bottom style="thin">
          <color indexed="64"/>
        </bottom>
      </border>
    </dxf>
    <dxf>
      <border>
        <left style="thin">
          <color indexed="64"/>
        </left>
      </border>
    </dxf>
    <dxf>
      <font>
        <color theme="0"/>
      </font>
    </dxf>
    <dxf>
      <border>
        <bottom style="thin">
          <color indexed="64"/>
        </bottom>
      </border>
    </dxf>
    <dxf>
      <border>
        <left style="thin">
          <color indexed="64"/>
        </left>
        <bottom style="thin">
          <color indexed="64"/>
        </bottom>
      </border>
    </dxf>
    <dxf>
      <border>
        <bottom style="thin">
          <color indexed="64"/>
        </bottom>
      </border>
    </dxf>
    <dxf>
      <font>
        <color theme="0"/>
      </font>
    </dxf>
    <dxf>
      <border>
        <bottom style="thin">
          <color indexed="64"/>
        </bottom>
      </border>
    </dxf>
    <dxf>
      <border>
        <right style="thin">
          <color indexed="64"/>
        </right>
      </border>
    </dxf>
    <dxf>
      <border>
        <bottom style="thin">
          <color indexed="64"/>
        </bottom>
      </border>
    </dxf>
    <dxf>
      <border>
        <bottom style="thin">
          <color indexed="64"/>
        </bottom>
      </border>
    </dxf>
    <dxf>
      <border>
        <right style="thin">
          <color indexed="64"/>
        </right>
        <bottom style="thin">
          <color indexed="64"/>
        </bottom>
      </border>
    </dxf>
    <dxf>
      <border>
        <bottom style="thin">
          <color indexed="64"/>
        </bottom>
      </border>
    </dxf>
    <dxf>
      <border>
        <left style="thin">
          <color indexed="64"/>
        </left>
      </border>
    </dxf>
    <dxf>
      <font>
        <color theme="0"/>
      </font>
    </dxf>
    <dxf>
      <border>
        <bottom style="thin">
          <color indexed="64"/>
        </bottom>
      </border>
    </dxf>
    <dxf>
      <border>
        <bottom style="thin">
          <color indexed="64"/>
        </bottom>
      </border>
    </dxf>
    <dxf>
      <border>
        <bottom style="thin">
          <color indexed="64"/>
        </bottom>
      </border>
    </dxf>
    <dxf>
      <border>
        <right style="thin">
          <color indexed="64"/>
        </right>
        <bottom style="thin">
          <color indexed="64"/>
        </bottom>
      </border>
    </dxf>
    <dxf>
      <font>
        <color theme="0"/>
      </font>
    </dxf>
    <dxf>
      <border>
        <bottom style="thin">
          <color indexed="64"/>
        </bottom>
      </border>
    </dxf>
    <dxf>
      <font>
        <color theme="0"/>
      </font>
    </dxf>
    <dxf>
      <border>
        <right style="thin">
          <color indexed="64"/>
        </right>
      </border>
    </dxf>
    <dxf>
      <border>
        <left style="thin">
          <color indexed="64"/>
        </left>
      </border>
    </dxf>
    <dxf>
      <border>
        <bottom style="thin">
          <color indexed="64"/>
        </bottom>
      </border>
    </dxf>
    <dxf>
      <border>
        <bottom style="thin">
          <color indexed="64"/>
        </bottom>
      </border>
    </dxf>
    <dxf>
      <border>
        <left style="thin">
          <color indexed="64"/>
        </left>
        <bottom style="thin">
          <color indexed="64"/>
        </bottom>
      </border>
    </dxf>
    <dxf>
      <border>
        <bottom style="thin">
          <color indexed="64"/>
        </bottom>
      </border>
    </dxf>
    <dxf>
      <border>
        <right style="thin">
          <color indexed="64"/>
        </right>
      </border>
    </dxf>
    <dxf>
      <border>
        <bottom style="thin">
          <color indexed="64"/>
        </bottom>
      </border>
    </dxf>
    <dxf>
      <border>
        <bottom style="thin">
          <color indexed="64"/>
        </bottom>
      </border>
    </dxf>
    <dxf>
      <border>
        <right style="thin">
          <color indexed="64"/>
        </right>
        <bottom style="thin">
          <color indexed="64"/>
        </bottom>
      </border>
    </dxf>
    <dxf>
      <border>
        <left style="thin">
          <color indexed="64"/>
        </left>
      </border>
    </dxf>
    <dxf>
      <border>
        <bottom style="thin">
          <color indexed="64"/>
        </bottom>
      </border>
    </dxf>
    <dxf>
      <border>
        <bottom style="thin">
          <color indexed="64"/>
        </bottom>
      </border>
    </dxf>
    <dxf>
      <border>
        <bottom style="thin">
          <color indexed="64"/>
        </bottom>
      </border>
    </dxf>
    <dxf>
      <border>
        <right style="thin">
          <color indexed="64"/>
        </right>
        <bottom style="thin">
          <color indexed="64"/>
        </bottom>
      </border>
    </dxf>
    <dxf>
      <border>
        <bottom style="thin">
          <color indexed="64"/>
        </bottom>
      </border>
    </dxf>
    <dxf>
      <border>
        <right style="thin">
          <color indexed="64"/>
        </right>
      </border>
    </dxf>
    <dxf>
      <border>
        <left style="thin">
          <color indexed="64"/>
        </left>
      </border>
    </dxf>
    <dxf>
      <border>
        <bottom style="thin">
          <color indexed="64"/>
        </bottom>
      </border>
    </dxf>
    <dxf>
      <border>
        <bottom style="thin">
          <color indexed="64"/>
        </bottom>
      </border>
    </dxf>
    <dxf>
      <border>
        <left style="thin">
          <color indexed="64"/>
        </left>
        <bottom style="thin">
          <color indexed="64"/>
        </bottom>
      </border>
    </dxf>
    <dxf>
      <border>
        <bottom style="thin">
          <color indexed="64"/>
        </bottom>
      </border>
    </dxf>
    <dxf>
      <border>
        <right style="thin">
          <color indexed="64"/>
        </right>
      </border>
    </dxf>
    <dxf>
      <border>
        <bottom style="thin">
          <color indexed="64"/>
        </bottom>
      </border>
    </dxf>
    <dxf>
      <border>
        <bottom style="thin">
          <color indexed="64"/>
        </bottom>
      </border>
    </dxf>
    <dxf>
      <border>
        <right style="thin">
          <color indexed="64"/>
        </right>
        <bottom style="thin">
          <color indexed="64"/>
        </bottom>
      </border>
    </dxf>
    <dxf>
      <border>
        <left style="thin">
          <color indexed="64"/>
        </left>
      </border>
    </dxf>
    <dxf>
      <border>
        <bottom style="thin">
          <color indexed="64"/>
        </bottom>
      </border>
    </dxf>
    <dxf>
      <border>
        <bottom style="thin">
          <color indexed="64"/>
        </bottom>
      </border>
    </dxf>
    <dxf>
      <border>
        <bottom style="thin">
          <color indexed="64"/>
        </bottom>
      </border>
    </dxf>
    <dxf>
      <border>
        <right style="thin">
          <color indexed="64"/>
        </right>
        <bottom style="thin">
          <color indexed="64"/>
        </bottom>
      </border>
    </dxf>
    <dxf>
      <border>
        <bottom style="thin">
          <color indexed="64"/>
        </bottom>
      </border>
    </dxf>
    <dxf>
      <border>
        <right style="thin">
          <color indexed="64"/>
        </right>
      </border>
    </dxf>
    <dxf>
      <border>
        <left style="thin">
          <color indexed="64"/>
        </left>
      </border>
    </dxf>
    <dxf>
      <border>
        <bottom style="thin">
          <color indexed="64"/>
        </bottom>
      </border>
    </dxf>
    <dxf>
      <border>
        <bottom style="thin">
          <color indexed="64"/>
        </bottom>
      </border>
    </dxf>
    <dxf>
      <border>
        <left style="thin">
          <color indexed="64"/>
        </left>
        <bottom style="thin">
          <color indexed="64"/>
        </bottom>
      </border>
    </dxf>
    <dxf>
      <border>
        <bottom style="thin">
          <color indexed="64"/>
        </bottom>
      </border>
    </dxf>
    <dxf>
      <border>
        <right style="thin">
          <color indexed="64"/>
        </right>
      </border>
    </dxf>
    <dxf>
      <border>
        <bottom style="thin">
          <color indexed="64"/>
        </bottom>
      </border>
    </dxf>
    <dxf>
      <border>
        <bottom style="thin">
          <color indexed="64"/>
        </bottom>
      </border>
    </dxf>
    <dxf>
      <border>
        <right style="thin">
          <color indexed="64"/>
        </right>
        <bottom style="thin">
          <color indexed="64"/>
        </bottom>
      </border>
    </dxf>
    <dxf>
      <border>
        <left style="thin">
          <color indexed="64"/>
        </left>
      </border>
    </dxf>
    <dxf>
      <border>
        <bottom style="thin">
          <color indexed="64"/>
        </bottom>
      </border>
    </dxf>
    <dxf>
      <border>
        <bottom style="thin">
          <color indexed="64"/>
        </bottom>
      </border>
    </dxf>
    <dxf>
      <border>
        <bottom style="thin">
          <color indexed="64"/>
        </bottom>
      </border>
    </dxf>
    <dxf>
      <border>
        <right style="thin">
          <color indexed="64"/>
        </right>
        <bottom style="thin">
          <color indexed="64"/>
        </bottom>
      </border>
    </dxf>
    <dxf>
      <border>
        <bottom style="thin">
          <color indexed="64"/>
        </bottom>
      </border>
    </dxf>
    <dxf>
      <border>
        <right style="thin">
          <color indexed="64"/>
        </right>
      </border>
    </dxf>
    <dxf>
      <border>
        <left style="thin">
          <color indexed="64"/>
        </left>
      </border>
    </dxf>
    <dxf>
      <border>
        <bottom style="thin">
          <color indexed="64"/>
        </bottom>
      </border>
    </dxf>
    <dxf>
      <border>
        <bottom style="thin">
          <color indexed="64"/>
        </bottom>
      </border>
    </dxf>
    <dxf>
      <border>
        <left style="thin">
          <color indexed="64"/>
        </left>
        <bottom style="thin">
          <color indexed="64"/>
        </bottom>
      </border>
    </dxf>
    <dxf>
      <border>
        <bottom style="thin">
          <color indexed="64"/>
        </bottom>
      </border>
    </dxf>
    <dxf>
      <border>
        <right style="thin">
          <color indexed="64"/>
        </right>
      </border>
    </dxf>
    <dxf>
      <border>
        <bottom style="thin">
          <color indexed="64"/>
        </bottom>
      </border>
    </dxf>
    <dxf>
      <border>
        <bottom style="thin">
          <color indexed="64"/>
        </bottom>
      </border>
    </dxf>
    <dxf>
      <border>
        <right style="thin">
          <color indexed="64"/>
        </right>
        <bottom style="thin">
          <color indexed="64"/>
        </bottom>
      </border>
    </dxf>
    <dxf>
      <border>
        <left style="thin">
          <color indexed="64"/>
        </left>
      </border>
    </dxf>
    <dxf>
      <border>
        <bottom style="thin">
          <color indexed="64"/>
        </bottom>
      </border>
    </dxf>
    <dxf>
      <border>
        <bottom style="thin">
          <color indexed="64"/>
        </bottom>
      </border>
    </dxf>
    <dxf>
      <border>
        <bottom style="thin">
          <color indexed="64"/>
        </bottom>
      </border>
    </dxf>
    <dxf>
      <border>
        <right style="thin">
          <color indexed="64"/>
        </right>
        <bottom style="thin">
          <color indexed="64"/>
        </bottom>
      </border>
    </dxf>
    <dxf>
      <border>
        <bottom style="thin">
          <color indexed="64"/>
        </bottom>
      </border>
    </dxf>
    <dxf>
      <border>
        <right style="thin">
          <color indexed="64"/>
        </right>
      </border>
    </dxf>
    <dxf>
      <border>
        <left style="thin">
          <color indexed="64"/>
        </left>
      </border>
    </dxf>
    <dxf>
      <border>
        <bottom style="thin">
          <color indexed="64"/>
        </bottom>
      </border>
    </dxf>
    <dxf>
      <border>
        <bottom style="thin">
          <color indexed="64"/>
        </bottom>
      </border>
    </dxf>
    <dxf>
      <border>
        <left style="thin">
          <color indexed="64"/>
        </left>
        <bottom style="thin">
          <color indexed="64"/>
        </bottom>
      </border>
    </dxf>
    <dxf>
      <border>
        <bottom style="thin">
          <color indexed="64"/>
        </bottom>
      </border>
    </dxf>
    <dxf>
      <border>
        <right style="thin">
          <color indexed="64"/>
        </right>
      </border>
    </dxf>
    <dxf>
      <border>
        <bottom style="thin">
          <color indexed="64"/>
        </bottom>
      </border>
    </dxf>
    <dxf>
      <border>
        <bottom style="thin">
          <color indexed="64"/>
        </bottom>
      </border>
    </dxf>
    <dxf>
      <border>
        <right style="thin">
          <color indexed="64"/>
        </right>
        <bottom style="thin">
          <color indexed="64"/>
        </bottom>
      </border>
    </dxf>
    <dxf>
      <border>
        <left style="thin">
          <color indexed="64"/>
        </left>
      </border>
    </dxf>
    <dxf>
      <border>
        <bottom style="thin">
          <color indexed="64"/>
        </bottom>
      </border>
    </dxf>
    <dxf>
      <border>
        <bottom style="thin">
          <color indexed="64"/>
        </bottom>
      </border>
    </dxf>
    <dxf>
      <border>
        <bottom style="thin">
          <color indexed="64"/>
        </bottom>
      </border>
    </dxf>
    <dxf>
      <border>
        <right style="thin">
          <color indexed="64"/>
        </right>
        <bottom style="thin">
          <color indexed="64"/>
        </bottom>
      </border>
    </dxf>
    <dxf>
      <border>
        <bottom style="thin">
          <color indexed="64"/>
        </bottom>
      </border>
    </dxf>
    <dxf>
      <border>
        <right style="thin">
          <color indexed="64"/>
        </right>
      </border>
    </dxf>
    <dxf>
      <border>
        <left style="thin">
          <color indexed="64"/>
        </left>
      </border>
    </dxf>
    <dxf>
      <border>
        <bottom style="thin">
          <color indexed="64"/>
        </bottom>
      </border>
    </dxf>
    <dxf>
      <border>
        <bottom style="thin">
          <color indexed="64"/>
        </bottom>
      </border>
    </dxf>
    <dxf>
      <border>
        <left style="thin">
          <color indexed="64"/>
        </left>
        <bottom style="thin">
          <color indexed="64"/>
        </bottom>
      </border>
    </dxf>
    <dxf>
      <border>
        <bottom style="thin">
          <color indexed="64"/>
        </bottom>
      </border>
    </dxf>
    <dxf>
      <border>
        <right style="thin">
          <color indexed="64"/>
        </right>
      </border>
    </dxf>
    <dxf>
      <border>
        <bottom style="thin">
          <color indexed="64"/>
        </bottom>
      </border>
    </dxf>
    <dxf>
      <border>
        <bottom style="thin">
          <color indexed="64"/>
        </bottom>
      </border>
    </dxf>
    <dxf>
      <border>
        <right style="thin">
          <color indexed="64"/>
        </right>
        <bottom style="thin">
          <color indexed="64"/>
        </bottom>
      </border>
    </dxf>
    <dxf>
      <border>
        <left style="thin">
          <color indexed="64"/>
        </left>
      </border>
    </dxf>
    <dxf>
      <border>
        <bottom style="thin">
          <color indexed="64"/>
        </bottom>
      </border>
    </dxf>
    <dxf>
      <border>
        <bottom style="thin">
          <color indexed="64"/>
        </bottom>
      </border>
    </dxf>
    <dxf>
      <border>
        <bottom style="thin">
          <color indexed="64"/>
        </bottom>
      </border>
    </dxf>
    <dxf>
      <border>
        <right style="thin">
          <color indexed="64"/>
        </right>
        <bottom style="thin">
          <color indexed="64"/>
        </bottom>
      </border>
    </dxf>
    <dxf>
      <border>
        <bottom style="thin">
          <color indexed="64"/>
        </bottom>
      </border>
    </dxf>
    <dxf>
      <border>
        <right style="thin">
          <color indexed="64"/>
        </right>
      </border>
    </dxf>
    <dxf>
      <border>
        <left style="thin">
          <color indexed="64"/>
        </left>
      </border>
    </dxf>
    <dxf>
      <border>
        <bottom style="thin">
          <color indexed="64"/>
        </bottom>
      </border>
    </dxf>
    <dxf>
      <border>
        <bottom style="thin">
          <color indexed="64"/>
        </bottom>
      </border>
    </dxf>
    <dxf>
      <border>
        <left style="thin">
          <color indexed="64"/>
        </left>
        <bottom style="thin">
          <color indexed="64"/>
        </bottom>
      </border>
    </dxf>
    <dxf>
      <border>
        <bottom style="thin">
          <color indexed="64"/>
        </bottom>
      </border>
    </dxf>
    <dxf>
      <border>
        <right style="thin">
          <color indexed="64"/>
        </right>
      </border>
    </dxf>
    <dxf>
      <border>
        <bottom style="thin">
          <color indexed="64"/>
        </bottom>
      </border>
    </dxf>
    <dxf>
      <border>
        <bottom style="thin">
          <color indexed="64"/>
        </bottom>
      </border>
    </dxf>
    <dxf>
      <border>
        <right style="thin">
          <color indexed="64"/>
        </right>
        <bottom style="thin">
          <color indexed="64"/>
        </bottom>
      </border>
    </dxf>
    <dxf>
      <border>
        <left style="thin">
          <color indexed="64"/>
        </left>
      </border>
    </dxf>
    <dxf>
      <border>
        <bottom style="thin">
          <color indexed="64"/>
        </bottom>
      </border>
    </dxf>
    <dxf>
      <border>
        <bottom style="thin">
          <color indexed="64"/>
        </bottom>
      </border>
    </dxf>
    <dxf>
      <border>
        <bottom style="thin">
          <color indexed="64"/>
        </bottom>
      </border>
    </dxf>
    <dxf>
      <border>
        <right style="thin">
          <color indexed="64"/>
        </right>
        <bottom style="thin">
          <color indexed="64"/>
        </bottom>
      </border>
    </dxf>
    <dxf>
      <border>
        <bottom style="thin">
          <color indexed="64"/>
        </bottom>
      </border>
    </dxf>
    <dxf>
      <border>
        <right style="thin">
          <color indexed="64"/>
        </right>
      </border>
    </dxf>
    <dxf>
      <border>
        <left style="thin">
          <color indexed="64"/>
        </left>
      </border>
    </dxf>
    <dxf>
      <border>
        <bottom style="thin">
          <color indexed="64"/>
        </bottom>
      </border>
    </dxf>
    <dxf>
      <border>
        <bottom style="thin">
          <color indexed="64"/>
        </bottom>
      </border>
    </dxf>
    <dxf>
      <border>
        <left style="thin">
          <color indexed="64"/>
        </left>
        <bottom style="thin">
          <color indexed="64"/>
        </bottom>
      </border>
    </dxf>
    <dxf>
      <border>
        <bottom style="thin">
          <color indexed="64"/>
        </bottom>
      </border>
    </dxf>
    <dxf>
      <border>
        <right style="thin">
          <color indexed="64"/>
        </right>
      </border>
    </dxf>
    <dxf>
      <border>
        <bottom style="thin">
          <color indexed="64"/>
        </bottom>
      </border>
    </dxf>
    <dxf>
      <border>
        <bottom style="thin">
          <color indexed="64"/>
        </bottom>
      </border>
    </dxf>
    <dxf>
      <border>
        <right style="thin">
          <color indexed="64"/>
        </right>
        <bottom style="thin">
          <color indexed="64"/>
        </bottom>
      </border>
    </dxf>
    <dxf>
      <border>
        <left style="thin">
          <color indexed="64"/>
        </left>
      </border>
    </dxf>
    <dxf>
      <border>
        <bottom style="thin">
          <color indexed="64"/>
        </bottom>
      </border>
    </dxf>
    <dxf>
      <border>
        <bottom style="thin">
          <color indexed="64"/>
        </bottom>
      </border>
    </dxf>
    <dxf>
      <border>
        <bottom style="thin">
          <color indexed="64"/>
        </bottom>
      </border>
    </dxf>
    <dxf>
      <border>
        <right style="thin">
          <color indexed="64"/>
        </right>
        <bottom style="thin">
          <color indexed="64"/>
        </bottom>
      </border>
    </dxf>
    <dxf>
      <border>
        <bottom style="thin">
          <color indexed="64"/>
        </bottom>
      </border>
    </dxf>
    <dxf>
      <border>
        <right style="thin">
          <color indexed="64"/>
        </right>
      </border>
    </dxf>
    <dxf>
      <border>
        <left style="thin">
          <color indexed="64"/>
        </left>
      </border>
    </dxf>
    <dxf>
      <border>
        <bottom style="thin">
          <color indexed="64"/>
        </bottom>
      </border>
    </dxf>
    <dxf>
      <border>
        <bottom style="thin">
          <color indexed="64"/>
        </bottom>
      </border>
    </dxf>
    <dxf>
      <border>
        <left style="thin">
          <color indexed="64"/>
        </left>
        <bottom style="thin">
          <color indexed="64"/>
        </bottom>
      </border>
    </dxf>
    <dxf>
      <border>
        <bottom style="thin">
          <color indexed="64"/>
        </bottom>
      </border>
    </dxf>
    <dxf>
      <border>
        <right style="thin">
          <color indexed="64"/>
        </right>
      </border>
    </dxf>
    <dxf>
      <border>
        <bottom style="thin">
          <color indexed="64"/>
        </bottom>
      </border>
    </dxf>
    <dxf>
      <border>
        <bottom style="thin">
          <color indexed="64"/>
        </bottom>
      </border>
    </dxf>
    <dxf>
      <border>
        <right style="thin">
          <color indexed="64"/>
        </right>
        <bottom style="thin">
          <color indexed="64"/>
        </bottom>
      </border>
    </dxf>
    <dxf>
      <border>
        <left style="thin">
          <color indexed="64"/>
        </left>
      </border>
    </dxf>
    <dxf>
      <border>
        <bottom style="thin">
          <color indexed="64"/>
        </bottom>
      </border>
    </dxf>
    <dxf>
      <border>
        <bottom style="thin">
          <color indexed="64"/>
        </bottom>
      </border>
    </dxf>
    <dxf>
      <border>
        <bottom style="thin">
          <color indexed="64"/>
        </bottom>
      </border>
    </dxf>
    <dxf>
      <border>
        <right style="thin">
          <color indexed="64"/>
        </right>
        <bottom style="thin">
          <color indexed="64"/>
        </bottom>
      </border>
    </dxf>
    <dxf>
      <border>
        <bottom style="thin">
          <color indexed="64"/>
        </bottom>
      </border>
    </dxf>
    <dxf>
      <border>
        <right style="thin">
          <color indexed="64"/>
        </right>
      </border>
    </dxf>
    <dxf>
      <border>
        <left style="thin">
          <color indexed="64"/>
        </left>
      </border>
    </dxf>
    <dxf>
      <border>
        <bottom style="thin">
          <color indexed="64"/>
        </bottom>
      </border>
    </dxf>
    <dxf>
      <border>
        <bottom style="thin">
          <color indexed="64"/>
        </bottom>
      </border>
    </dxf>
    <dxf>
      <border>
        <left style="thin">
          <color indexed="64"/>
        </left>
        <bottom style="thin">
          <color indexed="64"/>
        </bottom>
      </border>
    </dxf>
    <dxf>
      <border>
        <bottom style="thin">
          <color indexed="64"/>
        </bottom>
      </border>
    </dxf>
    <dxf>
      <border>
        <right style="thin">
          <color indexed="64"/>
        </right>
      </border>
    </dxf>
    <dxf>
      <border>
        <bottom style="thin">
          <color indexed="64"/>
        </bottom>
      </border>
    </dxf>
    <dxf>
      <border>
        <bottom style="thin">
          <color indexed="64"/>
        </bottom>
      </border>
    </dxf>
    <dxf>
      <border>
        <right style="thin">
          <color indexed="64"/>
        </right>
        <bottom style="thin">
          <color indexed="64"/>
        </bottom>
      </border>
    </dxf>
    <dxf>
      <border>
        <left style="thin">
          <color indexed="64"/>
        </left>
      </border>
    </dxf>
    <dxf>
      <border>
        <bottom style="thin">
          <color indexed="64"/>
        </bottom>
      </border>
    </dxf>
    <dxf>
      <border>
        <bottom style="thin">
          <color indexed="64"/>
        </bottom>
      </border>
    </dxf>
    <dxf>
      <border>
        <bottom style="thin">
          <color indexed="64"/>
        </bottom>
      </border>
    </dxf>
    <dxf>
      <border>
        <right style="thin">
          <color indexed="64"/>
        </right>
        <bottom style="thin">
          <color indexed="64"/>
        </bottom>
      </border>
    </dxf>
    <dxf>
      <border>
        <bottom style="thin">
          <color indexed="64"/>
        </bottom>
      </border>
    </dxf>
    <dxf>
      <border>
        <right style="thin">
          <color indexed="64"/>
        </right>
      </border>
    </dxf>
    <dxf>
      <border>
        <left style="thin">
          <color indexed="64"/>
        </left>
      </border>
    </dxf>
    <dxf>
      <border>
        <bottom style="thin">
          <color indexed="64"/>
        </bottom>
      </border>
    </dxf>
    <dxf>
      <border>
        <bottom style="thin">
          <color indexed="64"/>
        </bottom>
      </border>
    </dxf>
    <dxf>
      <border>
        <left style="thin">
          <color indexed="64"/>
        </left>
        <bottom style="thin">
          <color indexed="64"/>
        </bottom>
      </border>
    </dxf>
    <dxf>
      <border>
        <bottom style="thin">
          <color indexed="64"/>
        </bottom>
      </border>
    </dxf>
    <dxf>
      <border>
        <right style="thin">
          <color indexed="64"/>
        </right>
      </border>
    </dxf>
    <dxf>
      <border>
        <bottom style="thin">
          <color indexed="64"/>
        </bottom>
      </border>
    </dxf>
    <dxf>
      <border>
        <bottom style="thin">
          <color indexed="64"/>
        </bottom>
      </border>
    </dxf>
    <dxf>
      <border>
        <right style="thin">
          <color indexed="64"/>
        </right>
        <bottom style="thin">
          <color indexed="64"/>
        </bottom>
      </border>
    </dxf>
    <dxf>
      <border>
        <left style="thin">
          <color indexed="64"/>
        </left>
      </border>
    </dxf>
    <dxf>
      <border>
        <bottom style="thin">
          <color indexed="64"/>
        </bottom>
      </border>
    </dxf>
    <dxf>
      <border>
        <bottom style="thin">
          <color indexed="64"/>
        </bottom>
      </border>
    </dxf>
    <dxf>
      <border>
        <bottom style="thin">
          <color indexed="64"/>
        </bottom>
      </border>
    </dxf>
    <dxf>
      <border>
        <right style="thin">
          <color indexed="64"/>
        </right>
        <bottom style="thin">
          <color indexed="64"/>
        </bottom>
      </border>
    </dxf>
    <dxf>
      <border>
        <bottom style="thin">
          <color indexed="64"/>
        </bottom>
      </border>
    </dxf>
    <dxf>
      <border>
        <right style="thin">
          <color indexed="64"/>
        </right>
      </border>
    </dxf>
    <dxf>
      <border>
        <left style="thin">
          <color indexed="64"/>
        </left>
      </border>
    </dxf>
    <dxf>
      <border>
        <bottom style="thin">
          <color indexed="64"/>
        </bottom>
      </border>
    </dxf>
    <dxf>
      <border>
        <bottom style="thin">
          <color indexed="64"/>
        </bottom>
      </border>
    </dxf>
    <dxf>
      <border>
        <left style="thin">
          <color indexed="64"/>
        </left>
        <bottom style="thin">
          <color indexed="64"/>
        </bottom>
      </border>
    </dxf>
    <dxf>
      <border>
        <bottom style="thin">
          <color indexed="64"/>
        </bottom>
      </border>
    </dxf>
    <dxf>
      <border>
        <right style="thin">
          <color indexed="64"/>
        </right>
      </border>
    </dxf>
    <dxf>
      <border>
        <bottom style="thin">
          <color indexed="64"/>
        </bottom>
      </border>
    </dxf>
    <dxf>
      <border>
        <bottom style="thin">
          <color indexed="64"/>
        </bottom>
      </border>
    </dxf>
    <dxf>
      <border>
        <right style="thin">
          <color indexed="64"/>
        </right>
        <bottom style="thin">
          <color indexed="64"/>
        </bottom>
      </border>
    </dxf>
    <dxf>
      <border>
        <left style="thin">
          <color indexed="64"/>
        </left>
      </border>
    </dxf>
    <dxf>
      <border>
        <bottom style="thin">
          <color indexed="64"/>
        </bottom>
      </border>
    </dxf>
    <dxf>
      <border>
        <bottom style="thin">
          <color indexed="64"/>
        </bottom>
      </border>
    </dxf>
    <dxf>
      <border>
        <bottom style="thin">
          <color indexed="64"/>
        </bottom>
      </border>
    </dxf>
    <dxf>
      <border>
        <right style="thin">
          <color indexed="64"/>
        </right>
        <bottom style="thin">
          <color indexed="64"/>
        </bottom>
      </border>
    </dxf>
    <dxf>
      <border>
        <bottom style="thin">
          <color indexed="64"/>
        </bottom>
      </border>
    </dxf>
    <dxf>
      <border>
        <right style="thin">
          <color indexed="64"/>
        </right>
      </border>
    </dxf>
    <dxf>
      <border>
        <left style="thin">
          <color indexed="64"/>
        </left>
      </border>
    </dxf>
    <dxf>
      <border>
        <bottom style="thin">
          <color indexed="64"/>
        </bottom>
      </border>
    </dxf>
    <dxf>
      <border>
        <left style="thin">
          <color indexed="64"/>
        </left>
        <bottom style="thin">
          <color indexed="64"/>
        </bottom>
      </border>
    </dxf>
    <dxf>
      <border>
        <bottom style="thin">
          <color indexed="64"/>
        </bottom>
      </border>
    </dxf>
    <dxf>
      <border>
        <left style="thin">
          <color indexed="64"/>
        </left>
      </border>
    </dxf>
    <dxf>
      <border>
        <left style="thin">
          <color indexed="64"/>
        </left>
      </border>
    </dxf>
    <dxf>
      <border>
        <left/>
      </border>
    </dxf>
    <dxf>
      <border>
        <bottom style="thin">
          <color indexed="64"/>
        </bottom>
      </border>
    </dxf>
    <dxf>
      <border>
        <bottom style="thin">
          <color indexed="64"/>
        </bottom>
      </border>
    </dxf>
    <dxf>
      <border>
        <bottom style="thin">
          <color indexed="64"/>
        </bottom>
      </border>
    </dxf>
    <dxf>
      <border>
        <right style="thin">
          <color indexed="64"/>
        </right>
        <bottom style="thin">
          <color indexed="64"/>
        </bottom>
      </border>
    </dxf>
    <dxf>
      <border>
        <bottom style="thin">
          <color indexed="64"/>
        </bottom>
      </border>
    </dxf>
    <dxf>
      <border>
        <bottom style="thin">
          <color indexed="64"/>
        </bottom>
      </border>
    </dxf>
    <dxf>
      <border>
        <left style="thin">
          <color auto="1"/>
        </left>
        <bottom style="thin">
          <color auto="1"/>
        </bottom>
        <vertical/>
        <horizontal/>
      </border>
    </dxf>
    <dxf>
      <border>
        <bottom style="thin">
          <color auto="1"/>
        </bottom>
        <vertical/>
        <horizontal/>
      </border>
    </dxf>
    <dxf>
      <border>
        <bottom style="thin">
          <color indexed="64"/>
        </bottom>
      </border>
    </dxf>
    <dxf>
      <border>
        <bottom/>
      </border>
    </dxf>
    <dxf>
      <border>
        <right style="thin">
          <color indexed="64"/>
        </right>
      </border>
    </dxf>
    <dxf>
      <border>
        <left style="thin">
          <color auto="1"/>
        </left>
        <vertical/>
        <horizontal/>
      </border>
    </dxf>
    <dxf>
      <border>
        <bottom style="thin">
          <color indexed="64"/>
        </bottom>
      </border>
    </dxf>
    <dxf>
      <border>
        <right style="thin">
          <color indexed="64"/>
        </right>
        <bottom style="thin">
          <color indexed="64"/>
        </bottom>
      </border>
    </dxf>
    <dxf>
      <border>
        <right/>
        <bottom/>
      </border>
    </dxf>
    <dxf>
      <border>
        <left style="thin">
          <color indexed="64"/>
        </left>
      </border>
    </dxf>
    <dxf>
      <border>
        <bottom style="thin">
          <color auto="1"/>
        </bottom>
        <vertical/>
        <horizontal/>
      </border>
    </dxf>
    <dxf>
      <border>
        <bottom style="thin">
          <color indexed="64"/>
        </bottom>
      </border>
    </dxf>
    <dxf>
      <border>
        <bottom/>
      </border>
    </dxf>
    <dxf>
      <border>
        <bottom style="thin">
          <color indexed="64"/>
        </bottom>
      </border>
    </dxf>
    <dxf>
      <border>
        <bottom style="thin">
          <color auto="1"/>
        </bottom>
        <vertical/>
        <horizontal/>
      </border>
    </dxf>
    <dxf>
      <border>
        <bottom style="thin">
          <color auto="1"/>
        </bottom>
        <vertical/>
        <horizontal/>
      </border>
    </dxf>
    <dxf>
      <border>
        <left style="thin">
          <color auto="1"/>
        </left>
        <bottom style="thin">
          <color auto="1"/>
        </bottom>
        <vertical/>
        <horizontal/>
      </border>
    </dxf>
    <dxf>
      <border>
        <right style="thin">
          <color indexed="64"/>
        </right>
      </border>
    </dxf>
    <dxf>
      <border>
        <right/>
      </border>
    </dxf>
    <dxf>
      <border>
        <right style="thin">
          <color auto="1"/>
        </right>
        <bottom style="thin">
          <color auto="1"/>
        </bottom>
        <vertical/>
        <horizontal/>
      </border>
    </dxf>
    <dxf>
      <border>
        <bottom style="thin">
          <color auto="1"/>
        </bottom>
        <vertical/>
        <horizontal/>
      </border>
    </dxf>
    <dxf>
      <border>
        <bottom style="thin">
          <color indexed="64"/>
        </bottom>
      </border>
    </dxf>
    <dxf>
      <font>
        <color theme="0"/>
      </font>
    </dxf>
    <dxf>
      <border>
        <right style="thin">
          <color indexed="64"/>
        </right>
      </border>
    </dxf>
    <dxf>
      <border>
        <left style="thin">
          <color auto="1"/>
        </left>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right style="thin">
          <color auto="1"/>
        </right>
        <vertical/>
        <horizontal/>
      </border>
    </dxf>
    <dxf>
      <border>
        <left style="thin">
          <color indexed="64"/>
        </left>
      </border>
    </dxf>
    <dxf>
      <border>
        <left style="thin">
          <color auto="1"/>
        </left>
        <bottom style="thin">
          <color auto="1"/>
        </bottom>
        <vertical/>
        <horizontal/>
      </border>
    </dxf>
    <dxf>
      <border>
        <bottom style="thin">
          <color auto="1"/>
        </bottom>
        <vertical/>
        <horizontal/>
      </border>
    </dxf>
    <dxf>
      <border>
        <bottom style="thin">
          <color indexed="64"/>
        </bottom>
      </border>
    </dxf>
    <dxf>
      <border>
        <bottom style="thin">
          <color auto="1"/>
        </bottom>
        <vertical/>
        <horizontal/>
      </border>
    </dxf>
    <dxf>
      <border>
        <bottom style="thin">
          <color indexed="64"/>
        </bottom>
      </border>
    </dxf>
    <dxf>
      <border>
        <left style="thin">
          <color indexed="64"/>
        </left>
        <bottom style="thin">
          <color indexed="64"/>
        </bottom>
      </border>
    </dxf>
    <dxf>
      <border>
        <left style="thin">
          <color auto="1"/>
        </left>
        <bottom style="thin">
          <color auto="1"/>
        </bottom>
        <vertical/>
        <horizontal/>
      </border>
    </dxf>
    <dxf>
      <border>
        <bottom style="thin">
          <color auto="1"/>
        </bottom>
        <vertical/>
        <horizontal/>
      </border>
    </dxf>
    <dxf>
      <border>
        <left style="thin">
          <color indexed="64"/>
        </left>
      </border>
    </dxf>
    <dxf>
      <border>
        <bottom style="thin">
          <color indexed="64"/>
        </bottom>
      </border>
    </dxf>
    <dxf>
      <border>
        <bottom style="thin">
          <color indexed="64"/>
        </bottom>
      </border>
    </dxf>
    <dxf>
      <border>
        <right style="thin">
          <color indexed="64"/>
        </right>
        <bottom style="thin">
          <color indexed="64"/>
        </bottom>
      </border>
    </dxf>
    <dxf>
      <border>
        <bottom style="thin">
          <color indexed="64"/>
        </bottom>
      </border>
    </dxf>
    <dxf>
      <border>
        <bottom style="thin">
          <color indexed="64"/>
        </bottom>
      </border>
    </dxf>
    <dxf>
      <border>
        <left style="thin">
          <color auto="1"/>
        </left>
        <vertical/>
        <horizontal/>
      </border>
    </dxf>
    <dxf>
      <border>
        <right style="thin">
          <color indexed="64"/>
        </right>
      </border>
    </dxf>
    <dxf>
      <border>
        <bottom style="thin">
          <color auto="1"/>
        </bottom>
        <vertical/>
        <horizontal/>
      </border>
    </dxf>
    <dxf>
      <border>
        <bottom style="thin">
          <color indexed="64"/>
        </bottom>
      </border>
    </dxf>
    <dxf>
      <border>
        <bottom style="thin">
          <color indexed="64"/>
        </bottom>
      </border>
    </dxf>
    <dxf>
      <border>
        <right style="thin">
          <color indexed="64"/>
        </right>
        <bottom style="thin">
          <color indexed="64"/>
        </bottom>
      </border>
    </dxf>
    <dxf>
      <border>
        <left style="thin">
          <color indexed="64"/>
        </left>
      </border>
    </dxf>
    <dxf>
      <border>
        <bottom style="thin">
          <color auto="1"/>
        </bottom>
        <vertical/>
        <horizontal/>
      </border>
    </dxf>
    <dxf>
      <border>
        <bottom style="thin">
          <color auto="1"/>
        </bottom>
        <vertical/>
        <horizontal/>
      </border>
    </dxf>
    <dxf>
      <border>
        <bottom style="thin">
          <color indexed="64"/>
        </bottom>
      </border>
    </dxf>
    <dxf>
      <border>
        <bottom style="thin">
          <color auto="1"/>
        </bottom>
        <vertical/>
        <horizontal/>
      </border>
    </dxf>
    <dxf>
      <border>
        <right style="thin">
          <color auto="1"/>
        </right>
        <bottom style="thin">
          <color auto="1"/>
        </bottom>
        <vertical/>
        <horizontal/>
      </border>
    </dxf>
    <dxf>
      <border>
        <left style="thin">
          <color indexed="64"/>
        </left>
        <bottom style="thin">
          <color indexed="64"/>
        </bottom>
      </border>
    </dxf>
    <dxf>
      <border>
        <bottom style="thin">
          <color indexed="64"/>
        </bottom>
      </border>
    </dxf>
    <dxf>
      <border>
        <bottom style="thin">
          <color indexed="64"/>
        </bottom>
      </border>
    </dxf>
    <dxf>
      <border>
        <right style="thin">
          <color indexed="64"/>
        </right>
      </border>
    </dxf>
    <dxf>
      <border>
        <bottom style="thin">
          <color indexed="64"/>
        </bottom>
      </border>
    </dxf>
    <dxf>
      <border>
        <bottom style="thin">
          <color auto="1"/>
        </bottom>
        <vertical/>
        <horizontal/>
      </border>
    </dxf>
    <dxf>
      <border>
        <bottom style="thin">
          <color indexed="64"/>
        </bottom>
      </border>
    </dxf>
    <dxf>
      <border>
        <right style="thin">
          <color auto="1"/>
        </right>
        <vertical/>
        <horizontal/>
      </border>
    </dxf>
    <dxf>
      <border>
        <right style="thin">
          <color indexed="64"/>
        </right>
        <bottom style="thin">
          <color indexed="64"/>
        </bottom>
      </border>
    </dxf>
    <dxf>
      <border>
        <bottom style="thin">
          <color indexed="64"/>
        </bottom>
      </border>
    </dxf>
    <dxf>
      <border>
        <bottom style="thin">
          <color indexed="64"/>
        </bottom>
      </border>
    </dxf>
    <dxf>
      <border>
        <right style="thin">
          <color indexed="64"/>
        </right>
      </border>
    </dxf>
    <dxf>
      <border>
        <bottom style="thin">
          <color auto="1"/>
        </bottom>
        <vertical/>
        <horizontal/>
      </border>
    </dxf>
    <dxf>
      <border>
        <bottom style="thin">
          <color auto="1"/>
        </bottom>
        <vertical/>
        <horizontal/>
      </border>
    </dxf>
    <dxf>
      <border>
        <right style="thin">
          <color auto="1"/>
        </right>
        <bottom style="thin">
          <color auto="1"/>
        </bottom>
        <vertical/>
        <horizontal/>
      </border>
    </dxf>
    <dxf>
      <border>
        <bottom style="thin">
          <color auto="1"/>
        </bottom>
        <vertical/>
        <horizontal/>
      </border>
    </dxf>
    <dxf>
      <border>
        <right style="thin">
          <color indexed="64"/>
        </right>
        <bottom style="thin">
          <color indexed="64"/>
        </bottom>
      </border>
    </dxf>
    <dxf>
      <border>
        <bottom style="thin">
          <color indexed="64"/>
        </bottom>
      </border>
    </dxf>
    <dxf>
      <border>
        <left style="thin">
          <color indexed="64"/>
        </left>
      </border>
    </dxf>
    <dxf>
      <border>
        <bottom style="thin">
          <color indexed="64"/>
        </bottom>
      </border>
    </dxf>
    <dxf>
      <border>
        <left style="thin">
          <color auto="1"/>
        </left>
        <vertical/>
        <horizontal/>
      </border>
    </dxf>
    <dxf>
      <border>
        <bottom style="thin">
          <color indexed="64"/>
        </bottom>
      </border>
    </dxf>
    <dxf>
      <border>
        <left style="thin">
          <color indexed="64"/>
        </left>
        <bottom style="thin">
          <color indexed="64"/>
        </bottom>
      </border>
    </dxf>
    <dxf>
      <border>
        <left style="thin">
          <color indexed="64"/>
        </left>
      </border>
    </dxf>
    <dxf>
      <border>
        <bottom style="thin">
          <color indexed="64"/>
        </bottom>
      </border>
    </dxf>
    <dxf>
      <border>
        <bottom style="thin">
          <color indexed="64"/>
        </bottom>
      </border>
    </dxf>
    <dxf>
      <border>
        <bottom style="thin">
          <color auto="1"/>
        </bottom>
        <vertical/>
        <horizontal/>
      </border>
    </dxf>
    <dxf>
      <border>
        <bottom style="thin">
          <color indexed="64"/>
        </bottom>
      </border>
    </dxf>
    <dxf>
      <border>
        <right style="thin">
          <color indexed="64"/>
        </right>
        <bottom style="thin">
          <color indexed="64"/>
        </bottom>
      </border>
    </dxf>
    <dxf>
      <border>
        <left style="thin">
          <color auto="1"/>
        </left>
        <bottom style="thin">
          <color auto="1"/>
        </bottom>
        <vertical/>
        <horizontal/>
      </border>
    </dxf>
    <dxf>
      <border>
        <bottom style="thin">
          <color auto="1"/>
        </bottom>
        <vertical/>
        <horizontal/>
      </border>
    </dxf>
    <dxf>
      <border>
        <bottom style="thin">
          <color indexed="64"/>
        </bottom>
      </border>
    </dxf>
    <dxf>
      <border>
        <right style="thin">
          <color indexed="64"/>
        </right>
      </border>
    </dxf>
    <dxf>
      <border>
        <bottom style="thin">
          <color indexed="64"/>
        </bottom>
      </border>
    </dxf>
    <dxf>
      <border>
        <left style="thin">
          <color indexed="64"/>
        </left>
        <bottom style="thin">
          <color indexed="64"/>
        </bottom>
      </border>
    </dxf>
    <dxf>
      <border>
        <bottom style="thin">
          <color indexed="64"/>
        </bottom>
      </border>
    </dxf>
    <dxf>
      <border>
        <bottom style="thin">
          <color auto="1"/>
        </bottom>
        <vertical/>
        <horizontal/>
      </border>
    </dxf>
    <dxf>
      <border>
        <left style="thin">
          <color indexed="64"/>
        </left>
      </border>
    </dxf>
    <dxf>
      <border>
        <right style="thin">
          <color auto="1"/>
        </right>
        <vertical/>
        <horizontal/>
      </border>
    </dxf>
    <dxf>
      <border>
        <bottom style="thin">
          <color indexed="64"/>
        </bottom>
      </border>
    </dxf>
    <dxf>
      <border>
        <bottom style="thin">
          <color indexed="64"/>
        </bottom>
      </border>
    </dxf>
    <dxf>
      <border>
        <left style="thin">
          <color indexed="64"/>
        </left>
        <bottom style="thin">
          <color indexed="64"/>
        </bottom>
      </border>
    </dxf>
    <dxf>
      <border>
        <bottom style="thin">
          <color indexed="64"/>
        </bottom>
      </border>
    </dxf>
    <dxf>
      <border>
        <bottom style="thin">
          <color auto="1"/>
        </bottom>
        <vertical/>
        <horizontal/>
      </border>
    </dxf>
    <dxf>
      <border>
        <bottom style="thin">
          <color auto="1"/>
        </bottom>
        <vertical/>
        <horizontal/>
      </border>
    </dxf>
    <dxf>
      <border>
        <right style="thin">
          <color indexed="64"/>
        </right>
      </border>
    </dxf>
    <dxf>
      <border>
        <bottom style="thin">
          <color indexed="64"/>
        </bottom>
      </border>
    </dxf>
    <dxf>
      <border>
        <bottom style="thin">
          <color indexed="64"/>
        </bottom>
      </border>
    </dxf>
    <dxf>
      <border>
        <right style="thin">
          <color auto="1"/>
        </right>
        <bottom style="thin">
          <color auto="1"/>
        </bottom>
        <vertical/>
        <horizontal/>
      </border>
    </dxf>
    <dxf>
      <border>
        <bottom style="thin">
          <color auto="1"/>
        </bottom>
        <vertical/>
        <horizontal/>
      </border>
    </dxf>
    <dxf>
      <border>
        <right style="thin">
          <color indexed="64"/>
        </right>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rder>
    </dxf>
    <dxf>
      <border>
        <right style="thin">
          <color auto="1"/>
        </right>
        <bottom style="thin">
          <color auto="1"/>
        </bottom>
        <vertical/>
        <horizontal/>
      </border>
    </dxf>
    <dxf>
      <border>
        <bottom style="thin">
          <color auto="1"/>
        </bottom>
        <vertical/>
        <horizontal/>
      </border>
    </dxf>
    <dxf>
      <border>
        <left style="thin">
          <color auto="1"/>
        </left>
        <vertical/>
        <horizontal/>
      </border>
    </dxf>
    <dxf>
      <border>
        <left style="thin">
          <color indexed="64"/>
        </left>
      </border>
    </dxf>
    <dxf>
      <border>
        <bottom style="thin">
          <color auto="1"/>
        </bottom>
        <vertical/>
        <horizontal/>
      </border>
    </dxf>
    <dxf>
      <border>
        <bottom style="thin">
          <color auto="1"/>
        </bottom>
        <vertical/>
        <horizontal/>
      </border>
    </dxf>
    <dxf>
      <border>
        <bottom style="thin">
          <color auto="1"/>
        </bottom>
        <vertical/>
        <horizontal/>
      </border>
    </dxf>
    <dxf>
      <border>
        <left style="thin">
          <color auto="1"/>
        </left>
        <bottom style="thin">
          <color auto="1"/>
        </bottom>
        <vertical/>
        <horizontal/>
      </border>
    </dxf>
    <dxf>
      <border>
        <bottom style="thin">
          <color auto="1"/>
        </bottom>
        <vertical/>
        <horizontal/>
      </border>
    </dxf>
    <dxf>
      <border>
        <right style="thin">
          <color auto="1"/>
        </right>
        <bottom style="thin">
          <color auto="1"/>
        </bottom>
        <vertical/>
        <horizontal/>
      </border>
    </dxf>
    <dxf>
      <border>
        <bottom style="thin">
          <color auto="1"/>
        </bottom>
        <vertical/>
        <horizontal/>
      </border>
    </dxf>
    <dxf>
      <border>
        <bottom style="thin">
          <color indexed="64"/>
        </bottom>
      </border>
    </dxf>
    <dxf>
      <border>
        <right style="thin">
          <color indexed="64"/>
        </right>
      </border>
    </dxf>
    <dxf>
      <border>
        <bottom style="thin">
          <color auto="1"/>
        </bottom>
        <vertical/>
        <horizontal/>
      </border>
    </dxf>
    <dxf>
      <border>
        <left/>
        <right style="thin">
          <color indexed="64"/>
        </right>
        <top/>
        <bottom/>
      </border>
    </dxf>
    <dxf>
      <border>
        <bottom style="thin">
          <color auto="1"/>
        </bottom>
        <vertical/>
        <horizontal/>
      </border>
    </dxf>
    <dxf>
      <border>
        <bottom style="thin">
          <color auto="1"/>
        </bottom>
        <vertical/>
        <horizontal/>
      </border>
    </dxf>
    <dxf>
      <border>
        <left style="thin">
          <color indexed="64"/>
        </left>
      </border>
    </dxf>
    <dxf>
      <border>
        <bottom style="thin">
          <color auto="1"/>
        </bottom>
        <vertical/>
        <horizontal/>
      </border>
    </dxf>
    <dxf>
      <border>
        <right style="thin">
          <color auto="1"/>
        </right>
        <bottom style="thin">
          <color auto="1"/>
        </bottom>
        <vertical/>
        <horizontal/>
      </border>
    </dxf>
    <dxf>
      <border>
        <bottom style="thin">
          <color indexed="64"/>
        </bottom>
      </border>
    </dxf>
    <dxf>
      <border>
        <bottom style="thin">
          <color indexed="64"/>
        </bottom>
      </border>
    </dxf>
    <dxf>
      <border>
        <left style="thin">
          <color indexed="64"/>
        </left>
        <bottom style="thin">
          <color indexed="64"/>
        </bottom>
      </border>
    </dxf>
    <dxf>
      <font>
        <condense val="0"/>
        <extend val="0"/>
        <color indexed="9"/>
      </font>
    </dxf>
    <dxf>
      <border>
        <bottom style="thin">
          <color indexed="64"/>
        </bottom>
      </border>
    </dxf>
    <dxf>
      <border>
        <right style="thin">
          <color indexed="64"/>
        </right>
      </border>
    </dxf>
    <dxf>
      <border>
        <bottom style="thin">
          <color auto="1"/>
        </bottom>
        <vertical/>
        <horizontal/>
      </border>
    </dxf>
    <dxf>
      <border>
        <bottom style="thin">
          <color indexed="64"/>
        </bottom>
      </border>
    </dxf>
    <dxf>
      <border>
        <bottom style="thin">
          <color indexed="64"/>
        </bottom>
      </border>
    </dxf>
    <dxf>
      <border>
        <right style="thin">
          <color indexed="64"/>
        </right>
        <bottom style="thin">
          <color indexed="64"/>
        </bottom>
      </border>
    </dxf>
    <dxf>
      <border>
        <bottom style="thin">
          <color indexed="64"/>
        </bottom>
      </border>
    </dxf>
    <dxf>
      <border>
        <bottom style="thin">
          <color indexed="64"/>
        </bottom>
      </border>
    </dxf>
    <dxf>
      <border>
        <right style="thin">
          <color indexed="64"/>
        </right>
      </border>
    </dxf>
    <dxf>
      <border>
        <left style="thin">
          <color indexed="64"/>
        </left>
      </border>
    </dxf>
    <dxf>
      <border>
        <bottom style="thin">
          <color indexed="64"/>
        </bottom>
      </border>
    </dxf>
    <dxf>
      <border>
        <bottom style="thin">
          <color indexed="64"/>
        </bottom>
      </border>
    </dxf>
    <dxf>
      <border>
        <left style="thin">
          <color indexed="64"/>
        </left>
        <bottom style="thin">
          <color indexed="64"/>
        </bottom>
      </border>
    </dxf>
    <dxf>
      <border>
        <left style="thin">
          <color indexed="64"/>
        </left>
      </border>
    </dxf>
    <dxf>
      <border>
        <left style="thin">
          <color indexed="64"/>
        </left>
      </border>
    </dxf>
    <dxf>
      <border>
        <left/>
      </border>
    </dxf>
    <dxf>
      <border>
        <bottom style="thin">
          <color indexed="64"/>
        </bottom>
      </border>
    </dxf>
    <dxf>
      <border>
        <bottom style="thin">
          <color indexed="64"/>
        </bottom>
      </border>
    </dxf>
    <dxf>
      <border>
        <bottom style="thin">
          <color indexed="64"/>
        </bottom>
      </border>
    </dxf>
    <dxf>
      <border>
        <right style="thin">
          <color indexed="64"/>
        </right>
        <bottom style="thin">
          <color indexed="64"/>
        </bottom>
      </border>
    </dxf>
    <dxf>
      <border>
        <bottom style="thin">
          <color indexed="64"/>
        </bottom>
      </border>
    </dxf>
    <dxf>
      <border>
        <bottom style="thin">
          <color indexed="64"/>
        </bottom>
      </border>
    </dxf>
    <dxf>
      <border>
        <bottom style="thin">
          <color auto="1"/>
        </bottom>
        <vertical/>
        <horizontal/>
      </border>
    </dxf>
    <dxf>
      <border>
        <left style="thin">
          <color auto="1"/>
        </left>
        <bottom style="thin">
          <color auto="1"/>
        </bottom>
        <vertical/>
        <horizontal/>
      </border>
    </dxf>
    <dxf>
      <border>
        <bottom style="thin">
          <color indexed="64"/>
        </bottom>
      </border>
    </dxf>
    <dxf>
      <border>
        <bottom/>
      </border>
    </dxf>
    <dxf>
      <border>
        <right style="thin">
          <color indexed="64"/>
        </right>
      </border>
    </dxf>
    <dxf>
      <border>
        <left style="thin">
          <color auto="1"/>
        </left>
        <vertical/>
        <horizontal/>
      </border>
    </dxf>
    <dxf>
      <border>
        <bottom style="thin">
          <color indexed="64"/>
        </bottom>
      </border>
    </dxf>
    <dxf>
      <border>
        <right style="thin">
          <color indexed="64"/>
        </right>
        <bottom style="thin">
          <color indexed="64"/>
        </bottom>
      </border>
    </dxf>
    <dxf>
      <border>
        <right/>
        <bottom/>
      </border>
    </dxf>
    <dxf>
      <border>
        <left style="thin">
          <color indexed="64"/>
        </left>
      </border>
    </dxf>
    <dxf>
      <border>
        <bottom style="thin">
          <color auto="1"/>
        </bottom>
        <vertical/>
        <horizontal/>
      </border>
    </dxf>
    <dxf>
      <border>
        <bottom style="thin">
          <color indexed="64"/>
        </bottom>
      </border>
    </dxf>
    <dxf>
      <border>
        <bottom/>
      </border>
    </dxf>
    <dxf>
      <border>
        <bottom style="thin">
          <color indexed="64"/>
        </bottom>
      </border>
    </dxf>
    <dxf>
      <border>
        <bottom style="thin">
          <color auto="1"/>
        </bottom>
        <vertical/>
        <horizontal/>
      </border>
    </dxf>
    <dxf>
      <border>
        <left style="thin">
          <color auto="1"/>
        </left>
        <bottom style="thin">
          <color auto="1"/>
        </bottom>
        <vertical/>
        <horizontal/>
      </border>
    </dxf>
    <dxf>
      <border>
        <bottom style="thin">
          <color auto="1"/>
        </bottom>
        <vertical/>
        <horizontal/>
      </border>
    </dxf>
    <dxf>
      <border>
        <right/>
      </border>
    </dxf>
    <dxf>
      <border>
        <right style="thin">
          <color indexed="64"/>
        </right>
      </border>
    </dxf>
    <dxf>
      <border>
        <right style="thin">
          <color auto="1"/>
        </right>
        <bottom style="thin">
          <color auto="1"/>
        </bottom>
        <vertical/>
        <horizontal/>
      </border>
    </dxf>
    <dxf>
      <border>
        <bottom style="thin">
          <color auto="1"/>
        </bottom>
        <vertical/>
        <horizontal/>
      </border>
    </dxf>
    <dxf>
      <border>
        <bottom style="thin">
          <color indexed="64"/>
        </bottom>
      </border>
    </dxf>
    <dxf>
      <font>
        <color theme="0"/>
      </font>
    </dxf>
    <dxf>
      <border>
        <right style="thin">
          <color indexed="64"/>
        </right>
      </border>
    </dxf>
    <dxf>
      <border>
        <bottom style="thin">
          <color auto="1"/>
        </bottom>
        <vertical/>
        <horizontal/>
      </border>
    </dxf>
    <dxf>
      <border>
        <left style="thin">
          <color auto="1"/>
        </left>
        <bottom style="thin">
          <color auto="1"/>
        </bottom>
        <vertical/>
        <horizontal/>
      </border>
    </dxf>
    <dxf>
      <border>
        <bottom style="thin">
          <color auto="1"/>
        </bottom>
        <vertical/>
        <horizontal/>
      </border>
    </dxf>
    <dxf>
      <border>
        <bottom style="thin">
          <color auto="1"/>
        </bottom>
        <vertical/>
        <horizontal/>
      </border>
    </dxf>
    <dxf>
      <border>
        <right style="thin">
          <color auto="1"/>
        </right>
        <vertical/>
        <horizontal/>
      </border>
    </dxf>
    <dxf>
      <border>
        <left style="thin">
          <color indexed="64"/>
        </left>
      </border>
    </dxf>
    <dxf>
      <border>
        <bottom style="thin">
          <color auto="1"/>
        </bottom>
        <vertical/>
        <horizontal/>
      </border>
    </dxf>
    <dxf>
      <border>
        <left style="thin">
          <color auto="1"/>
        </left>
        <bottom style="thin">
          <color auto="1"/>
        </bottom>
        <vertical/>
        <horizontal/>
      </border>
    </dxf>
    <dxf>
      <border>
        <bottom style="thin">
          <color indexed="64"/>
        </bottom>
      </border>
    </dxf>
    <dxf>
      <border>
        <bottom style="thin">
          <color auto="1"/>
        </bottom>
        <vertical/>
        <horizontal/>
      </border>
    </dxf>
    <dxf>
      <border>
        <left style="thin">
          <color indexed="64"/>
        </left>
        <bottom style="thin">
          <color indexed="64"/>
        </bottom>
      </border>
    </dxf>
    <dxf>
      <border>
        <bottom style="thin">
          <color indexed="64"/>
        </bottom>
      </border>
    </dxf>
    <dxf>
      <border>
        <left style="thin">
          <color auto="1"/>
        </left>
        <bottom style="thin">
          <color auto="1"/>
        </bottom>
        <vertical/>
        <horizontal/>
      </border>
    </dxf>
    <dxf>
      <border>
        <bottom style="thin">
          <color auto="1"/>
        </bottom>
        <vertical/>
        <horizontal/>
      </border>
    </dxf>
    <dxf>
      <border>
        <left style="thin">
          <color indexed="64"/>
        </left>
      </border>
    </dxf>
    <dxf>
      <border>
        <bottom style="thin">
          <color indexed="64"/>
        </bottom>
      </border>
    </dxf>
    <dxf>
      <border>
        <bottom style="thin">
          <color indexed="64"/>
        </bottom>
      </border>
    </dxf>
    <dxf>
      <border>
        <right style="thin">
          <color indexed="64"/>
        </right>
        <bottom style="thin">
          <color indexed="64"/>
        </bottom>
      </border>
    </dxf>
    <dxf>
      <border>
        <bottom style="thin">
          <color indexed="64"/>
        </bottom>
      </border>
    </dxf>
    <dxf>
      <border>
        <bottom style="thin">
          <color indexed="64"/>
        </bottom>
      </border>
    </dxf>
    <dxf>
      <border>
        <left style="thin">
          <color auto="1"/>
        </left>
        <vertical/>
        <horizontal/>
      </border>
    </dxf>
    <dxf>
      <border>
        <right style="thin">
          <color indexed="64"/>
        </right>
      </border>
    </dxf>
    <dxf>
      <border>
        <bottom style="thin">
          <color auto="1"/>
        </bottom>
        <vertical/>
        <horizontal/>
      </border>
    </dxf>
    <dxf>
      <border>
        <bottom style="thin">
          <color indexed="64"/>
        </bottom>
      </border>
    </dxf>
    <dxf>
      <border>
        <bottom style="thin">
          <color indexed="64"/>
        </bottom>
      </border>
    </dxf>
    <dxf>
      <border>
        <right style="thin">
          <color indexed="64"/>
        </right>
        <bottom style="thin">
          <color indexed="64"/>
        </bottom>
      </border>
    </dxf>
    <dxf>
      <border>
        <left style="thin">
          <color indexed="64"/>
        </left>
      </border>
    </dxf>
    <dxf>
      <border>
        <bottom style="thin">
          <color auto="1"/>
        </bottom>
        <vertical/>
        <horizontal/>
      </border>
    </dxf>
    <dxf>
      <border>
        <bottom style="thin">
          <color auto="1"/>
        </bottom>
        <vertical/>
        <horizontal/>
      </border>
    </dxf>
    <dxf>
      <border>
        <bottom style="thin">
          <color indexed="64"/>
        </bottom>
      </border>
    </dxf>
    <dxf>
      <border>
        <bottom style="thin">
          <color auto="1"/>
        </bottom>
        <vertical/>
        <horizontal/>
      </border>
    </dxf>
    <dxf>
      <border>
        <right style="thin">
          <color auto="1"/>
        </right>
        <bottom style="thin">
          <color auto="1"/>
        </bottom>
        <vertical/>
        <horizontal/>
      </border>
    </dxf>
    <dxf>
      <border>
        <left style="thin">
          <color indexed="64"/>
        </left>
        <bottom style="thin">
          <color indexed="64"/>
        </bottom>
      </border>
    </dxf>
    <dxf>
      <border>
        <bottom style="thin">
          <color indexed="64"/>
        </bottom>
      </border>
    </dxf>
    <dxf>
      <border>
        <bottom style="thin">
          <color indexed="64"/>
        </bottom>
      </border>
    </dxf>
    <dxf>
      <border>
        <right style="thin">
          <color indexed="64"/>
        </right>
      </border>
    </dxf>
    <dxf>
      <border>
        <bottom style="thin">
          <color indexed="64"/>
        </bottom>
      </border>
    </dxf>
    <dxf>
      <border>
        <bottom style="thin">
          <color auto="1"/>
        </bottom>
        <vertical/>
        <horizontal/>
      </border>
    </dxf>
    <dxf>
      <border>
        <bottom style="thin">
          <color indexed="64"/>
        </bottom>
      </border>
    </dxf>
    <dxf>
      <border>
        <right style="thin">
          <color auto="1"/>
        </right>
        <vertical/>
        <horizontal/>
      </border>
    </dxf>
    <dxf>
      <border>
        <bottom style="thin">
          <color indexed="64"/>
        </bottom>
      </border>
    </dxf>
    <dxf>
      <border>
        <right style="thin">
          <color indexed="64"/>
        </right>
        <bottom style="thin">
          <color indexed="64"/>
        </bottom>
      </border>
    </dxf>
    <dxf>
      <border>
        <bottom style="thin">
          <color indexed="64"/>
        </bottom>
      </border>
    </dxf>
    <dxf>
      <border>
        <right style="thin">
          <color indexed="64"/>
        </right>
      </border>
    </dxf>
    <dxf>
      <border>
        <bottom style="thin">
          <color auto="1"/>
        </bottom>
        <vertical/>
        <horizontal/>
      </border>
    </dxf>
    <dxf>
      <border>
        <bottom style="thin">
          <color auto="1"/>
        </bottom>
        <vertical/>
        <horizontal/>
      </border>
    </dxf>
    <dxf>
      <border>
        <right style="thin">
          <color auto="1"/>
        </right>
        <bottom style="thin">
          <color auto="1"/>
        </bottom>
        <vertical/>
        <horizontal/>
      </border>
    </dxf>
    <dxf>
      <border>
        <bottom style="thin">
          <color auto="1"/>
        </bottom>
        <vertical/>
        <horizontal/>
      </border>
    </dxf>
    <dxf>
      <border>
        <right style="thin">
          <color indexed="64"/>
        </right>
        <bottom style="thin">
          <color indexed="64"/>
        </bottom>
      </border>
    </dxf>
    <dxf>
      <border>
        <bottom style="thin">
          <color indexed="64"/>
        </bottom>
      </border>
    </dxf>
    <dxf>
      <border>
        <left style="thin">
          <color indexed="64"/>
        </left>
      </border>
    </dxf>
    <dxf>
      <border>
        <bottom style="thin">
          <color indexed="64"/>
        </bottom>
      </border>
    </dxf>
    <dxf>
      <border>
        <left style="thin">
          <color auto="1"/>
        </left>
        <vertical/>
        <horizontal/>
      </border>
    </dxf>
    <dxf>
      <border>
        <left style="thin">
          <color indexed="64"/>
        </left>
        <bottom style="thin">
          <color indexed="64"/>
        </bottom>
      </border>
    </dxf>
    <dxf>
      <border>
        <bottom style="thin">
          <color indexed="64"/>
        </bottom>
      </border>
    </dxf>
    <dxf>
      <border>
        <left style="thin">
          <color indexed="64"/>
        </left>
      </border>
    </dxf>
    <dxf>
      <border>
        <bottom style="thin">
          <color indexed="64"/>
        </bottom>
      </border>
    </dxf>
    <dxf>
      <border>
        <bottom style="thin">
          <color indexed="64"/>
        </bottom>
      </border>
    </dxf>
    <dxf>
      <border>
        <bottom style="thin">
          <color auto="1"/>
        </bottom>
        <vertical/>
        <horizontal/>
      </border>
    </dxf>
    <dxf>
      <border>
        <bottom style="thin">
          <color indexed="64"/>
        </bottom>
      </border>
    </dxf>
    <dxf>
      <border>
        <right style="thin">
          <color indexed="64"/>
        </right>
        <bottom style="thin">
          <color indexed="64"/>
        </bottom>
      </border>
    </dxf>
    <dxf>
      <border>
        <left style="thin">
          <color auto="1"/>
        </left>
        <bottom style="thin">
          <color auto="1"/>
        </bottom>
        <vertical/>
        <horizontal/>
      </border>
    </dxf>
    <dxf>
      <border>
        <bottom style="thin">
          <color auto="1"/>
        </bottom>
        <vertical/>
        <horizontal/>
      </border>
    </dxf>
    <dxf>
      <border>
        <bottom style="thin">
          <color indexed="64"/>
        </bottom>
      </border>
    </dxf>
    <dxf>
      <border>
        <right style="thin">
          <color indexed="64"/>
        </right>
      </border>
    </dxf>
    <dxf>
      <border>
        <bottom style="thin">
          <color indexed="64"/>
        </bottom>
      </border>
    </dxf>
    <dxf>
      <border>
        <bottom style="thin">
          <color indexed="64"/>
        </bottom>
      </border>
    </dxf>
    <dxf>
      <border>
        <left style="thin">
          <color indexed="64"/>
        </left>
        <bottom style="thin">
          <color indexed="64"/>
        </bottom>
      </border>
    </dxf>
    <dxf>
      <border>
        <bottom style="thin">
          <color auto="1"/>
        </bottom>
        <vertical/>
        <horizontal/>
      </border>
    </dxf>
    <dxf>
      <border>
        <left style="thin">
          <color indexed="64"/>
        </left>
      </border>
    </dxf>
    <dxf>
      <border>
        <right style="thin">
          <color auto="1"/>
        </right>
        <vertical/>
        <horizontal/>
      </border>
    </dxf>
    <dxf>
      <border>
        <bottom style="thin">
          <color indexed="64"/>
        </bottom>
      </border>
    </dxf>
    <dxf>
      <border>
        <bottom style="thin">
          <color indexed="64"/>
        </bottom>
      </border>
    </dxf>
    <dxf>
      <border>
        <left style="thin">
          <color indexed="64"/>
        </left>
        <bottom style="thin">
          <color indexed="64"/>
        </bottom>
      </border>
    </dxf>
    <dxf>
      <border>
        <bottom style="thin">
          <color indexed="64"/>
        </bottom>
      </border>
    </dxf>
    <dxf>
      <border>
        <bottom style="thin">
          <color auto="1"/>
        </bottom>
        <vertical/>
        <horizontal/>
      </border>
    </dxf>
    <dxf>
      <border>
        <bottom style="thin">
          <color auto="1"/>
        </bottom>
        <vertical/>
        <horizontal/>
      </border>
    </dxf>
    <dxf>
      <border>
        <right style="thin">
          <color indexed="64"/>
        </right>
      </border>
    </dxf>
    <dxf>
      <border>
        <bottom style="thin">
          <color indexed="64"/>
        </bottom>
      </border>
    </dxf>
    <dxf>
      <border>
        <bottom style="thin">
          <color indexed="64"/>
        </bottom>
      </border>
    </dxf>
    <dxf>
      <border>
        <bottom style="thin">
          <color auto="1"/>
        </bottom>
        <vertical/>
        <horizontal/>
      </border>
    </dxf>
    <dxf>
      <border>
        <right style="thin">
          <color auto="1"/>
        </right>
        <bottom style="thin">
          <color auto="1"/>
        </bottom>
        <vertical/>
        <horizontal/>
      </border>
    </dxf>
    <dxf>
      <border>
        <right style="thin">
          <color indexed="64"/>
        </right>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rder>
    </dxf>
    <dxf>
      <border>
        <right style="thin">
          <color auto="1"/>
        </right>
        <bottom style="thin">
          <color auto="1"/>
        </bottom>
        <vertical/>
        <horizontal/>
      </border>
    </dxf>
    <dxf>
      <border>
        <bottom style="thin">
          <color auto="1"/>
        </bottom>
        <vertical/>
        <horizontal/>
      </border>
    </dxf>
    <dxf>
      <border>
        <left style="thin">
          <color auto="1"/>
        </left>
        <vertical/>
        <horizontal/>
      </border>
    </dxf>
    <dxf>
      <border>
        <left style="thin">
          <color indexed="64"/>
        </left>
      </border>
    </dxf>
    <dxf>
      <border>
        <bottom style="thin">
          <color auto="1"/>
        </bottom>
        <vertical/>
        <horizontal/>
      </border>
    </dxf>
    <dxf>
      <border>
        <bottom style="thin">
          <color auto="1"/>
        </bottom>
        <vertical/>
        <horizontal/>
      </border>
    </dxf>
    <dxf>
      <border>
        <bottom style="thin">
          <color auto="1"/>
        </bottom>
        <vertical/>
        <horizontal/>
      </border>
    </dxf>
    <dxf>
      <border>
        <left style="thin">
          <color auto="1"/>
        </left>
        <bottom style="thin">
          <color auto="1"/>
        </bottom>
        <vertical/>
        <horizontal/>
      </border>
    </dxf>
    <dxf>
      <border>
        <bottom style="thin">
          <color auto="1"/>
        </bottom>
        <vertical/>
        <horizontal/>
      </border>
    </dxf>
    <dxf>
      <border>
        <right style="thin">
          <color auto="1"/>
        </right>
        <bottom style="thin">
          <color auto="1"/>
        </bottom>
        <vertical/>
        <horizontal/>
      </border>
    </dxf>
    <dxf>
      <border>
        <bottom style="thin">
          <color auto="1"/>
        </bottom>
        <vertical/>
        <horizontal/>
      </border>
    </dxf>
    <dxf>
      <border>
        <bottom style="thin">
          <color indexed="64"/>
        </bottom>
      </border>
    </dxf>
    <dxf>
      <border>
        <right style="thin">
          <color indexed="64"/>
        </right>
      </border>
    </dxf>
    <dxf>
      <border>
        <bottom style="thin">
          <color auto="1"/>
        </bottom>
        <vertical/>
        <horizontal/>
      </border>
    </dxf>
    <dxf>
      <border>
        <left/>
        <right style="thin">
          <color indexed="64"/>
        </right>
        <top/>
        <bottom/>
      </border>
    </dxf>
    <dxf>
      <border>
        <bottom style="thin">
          <color auto="1"/>
        </bottom>
        <vertical/>
        <horizontal/>
      </border>
    </dxf>
    <dxf>
      <border>
        <bottom style="thin">
          <color auto="1"/>
        </bottom>
        <vertical/>
        <horizontal/>
      </border>
    </dxf>
    <dxf>
      <border>
        <left style="thin">
          <color indexed="64"/>
        </left>
      </border>
    </dxf>
    <dxf>
      <border>
        <right style="thin">
          <color auto="1"/>
        </right>
        <bottom style="thin">
          <color auto="1"/>
        </bottom>
        <vertical/>
        <horizontal/>
      </border>
    </dxf>
    <dxf>
      <border>
        <bottom style="thin">
          <color auto="1"/>
        </bottom>
        <vertical/>
        <horizontal/>
      </border>
    </dxf>
    <dxf>
      <border>
        <bottom style="thin">
          <color indexed="64"/>
        </bottom>
      </border>
    </dxf>
    <dxf>
      <border>
        <bottom style="thin">
          <color indexed="64"/>
        </bottom>
      </border>
    </dxf>
    <dxf>
      <border>
        <left style="thin">
          <color indexed="64"/>
        </left>
        <bottom style="thin">
          <color indexed="64"/>
        </bottom>
      </border>
    </dxf>
    <dxf>
      <font>
        <condense val="0"/>
        <extend val="0"/>
        <color indexed="9"/>
      </font>
    </dxf>
    <dxf>
      <border>
        <bottom style="thin">
          <color indexed="64"/>
        </bottom>
      </border>
    </dxf>
    <dxf>
      <border>
        <right style="thin">
          <color indexed="64"/>
        </right>
      </border>
    </dxf>
    <dxf>
      <border>
        <bottom style="thin">
          <color auto="1"/>
        </bottom>
        <vertical/>
        <horizontal/>
      </border>
    </dxf>
    <dxf>
      <border>
        <bottom style="thin">
          <color indexed="64"/>
        </bottom>
      </border>
    </dxf>
    <dxf>
      <border>
        <bottom style="thin">
          <color indexed="64"/>
        </bottom>
      </border>
    </dxf>
    <dxf>
      <border>
        <right style="thin">
          <color indexed="64"/>
        </right>
        <bottom style="thin">
          <color indexed="64"/>
        </bottom>
      </border>
    </dxf>
    <dxf>
      <border>
        <bottom style="thin">
          <color indexed="64"/>
        </bottom>
      </border>
    </dxf>
    <dxf>
      <border>
        <bottom style="thin">
          <color indexed="64"/>
        </bottom>
      </border>
    </dxf>
    <dxf>
      <border>
        <right style="thin">
          <color indexed="64"/>
        </right>
      </border>
    </dxf>
    <dxf>
      <border>
        <left style="thin">
          <color indexed="64"/>
        </left>
      </border>
    </dxf>
    <dxf>
      <border>
        <left/>
      </border>
    </dxf>
    <dxf>
      <border>
        <bottom style="thin">
          <color indexed="64"/>
        </bottom>
      </border>
    </dxf>
    <dxf>
      <border>
        <bottom/>
      </border>
    </dxf>
    <dxf>
      <border>
        <bottom style="thin">
          <color indexed="64"/>
        </bottom>
      </border>
    </dxf>
    <dxf>
      <border>
        <right style="thin">
          <color indexed="64"/>
        </right>
        <bottom style="thin">
          <color indexed="64"/>
        </bottom>
      </border>
    </dxf>
    <dxf>
      <border>
        <right/>
        <bottom/>
      </border>
    </dxf>
    <dxf>
      <border>
        <bottom style="thin">
          <color indexed="64"/>
        </bottom>
      </border>
    </dxf>
    <dxf>
      <border>
        <left style="thin">
          <color indexed="64"/>
        </left>
        <bottom style="thin">
          <color indexed="64"/>
        </bottom>
      </border>
    </dxf>
    <dxf>
      <border>
        <bottom style="thin">
          <color indexed="64"/>
        </bottom>
      </border>
    </dxf>
    <dxf>
      <border>
        <bottom/>
      </border>
    </dxf>
    <dxf>
      <border>
        <right style="thin">
          <color indexed="64"/>
        </right>
      </border>
    </dxf>
    <dxf>
      <border>
        <right/>
      </border>
    </dxf>
    <dxf>
      <font>
        <color theme="0"/>
      </font>
    </dxf>
    <dxf>
      <border>
        <bottom style="thin">
          <color indexed="64"/>
        </bottom>
      </border>
    </dxf>
    <dxf>
      <border>
        <bottom style="thin">
          <color indexed="64"/>
        </bottom>
      </border>
    </dxf>
    <dxf>
      <border>
        <bottom style="thin">
          <color indexed="64"/>
        </bottom>
      </border>
    </dxf>
    <dxf>
      <border>
        <right style="thin">
          <color indexed="64"/>
        </right>
        <bottom style="thin">
          <color indexed="64"/>
        </bottom>
      </border>
    </dxf>
    <dxf>
      <border>
        <bottom style="thin">
          <color indexed="64"/>
        </bottom>
      </border>
    </dxf>
    <dxf>
      <border>
        <right style="thin">
          <color indexed="64"/>
        </right>
        <bottom style="thin">
          <color indexed="64"/>
        </bottom>
      </border>
    </dxf>
    <dxf>
      <border>
        <bottom style="thin">
          <color indexed="64"/>
        </bottom>
      </border>
    </dxf>
    <dxf>
      <border>
        <left style="thin">
          <color indexed="64"/>
        </left>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ttom style="thin">
          <color indexed="64"/>
        </bottom>
      </border>
    </dxf>
    <dxf>
      <border>
        <bottom style="thin">
          <color indexed="64"/>
        </bottom>
      </border>
    </dxf>
    <dxf>
      <border>
        <bottom style="thin">
          <color indexed="64"/>
        </bottom>
      </border>
    </dxf>
    <dxf>
      <border>
        <right style="thin">
          <color indexed="64"/>
        </right>
        <bottom style="thin">
          <color indexed="64"/>
        </bottom>
      </border>
    </dxf>
    <dxf>
      <font>
        <condense val="0"/>
        <extend val="0"/>
        <color indexed="9"/>
      </font>
    </dxf>
    <dxf>
      <border>
        <left style="thin">
          <color indexed="64"/>
        </left>
      </border>
    </dxf>
    <dxf>
      <border>
        <left style="thin">
          <color indexed="64"/>
        </left>
      </border>
    </dxf>
    <dxf>
      <border>
        <bottom style="thin">
          <color indexed="64"/>
        </bottom>
      </border>
    </dxf>
    <dxf>
      <border>
        <left style="thin">
          <color indexed="64"/>
        </left>
        <bottom style="thin">
          <color indexed="64"/>
        </bottom>
      </border>
    </dxf>
    <dxf>
      <border>
        <bottom style="thin">
          <color indexed="64"/>
        </bottom>
      </border>
    </dxf>
    <dxf>
      <border>
        <left style="thin">
          <color indexed="64"/>
        </left>
      </border>
    </dxf>
    <dxf>
      <border>
        <left style="thin">
          <color indexed="64"/>
        </left>
      </border>
    </dxf>
    <dxf>
      <border>
        <left/>
      </border>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ttom style="thin">
          <color indexed="64"/>
        </bottom>
      </border>
    </dxf>
    <dxf>
      <border>
        <right style="thin">
          <color indexed="64"/>
        </right>
        <bottom style="thin">
          <color indexed="64"/>
        </bottom>
      </border>
    </dxf>
    <dxf>
      <border>
        <bottom style="thin">
          <color indexed="64"/>
        </bottom>
      </border>
    </dxf>
    <dxf>
      <border>
        <bottom style="thin">
          <color indexed="64"/>
        </bottom>
      </border>
    </dxf>
    <dxf>
      <border>
        <left style="thin">
          <color indexed="64"/>
        </left>
      </border>
    </dxf>
    <dxf>
      <border>
        <bottom style="thin">
          <color indexed="64"/>
        </bottom>
      </border>
    </dxf>
    <dxf>
      <border>
        <bottom/>
      </border>
    </dxf>
    <dxf>
      <border>
        <right style="thin">
          <color indexed="64"/>
        </right>
      </border>
    </dxf>
    <dxf>
      <border>
        <bottom style="thin">
          <color indexed="64"/>
        </bottom>
      </border>
    </dxf>
    <dxf>
      <border>
        <bottom style="thin">
          <color indexed="64"/>
        </bottom>
      </border>
    </dxf>
    <dxf>
      <border>
        <right style="thin">
          <color indexed="64"/>
        </right>
        <bottom style="thin">
          <color indexed="64"/>
        </bottom>
      </border>
    </dxf>
    <dxf>
      <border>
        <right/>
        <bottom/>
      </border>
    </dxf>
    <dxf>
      <border>
        <left style="thin">
          <color indexed="64"/>
        </left>
        <bottom style="thin">
          <color indexed="64"/>
        </bottom>
      </border>
    </dxf>
    <dxf>
      <border>
        <bottom style="thin">
          <color indexed="64"/>
        </bottom>
      </border>
    </dxf>
    <dxf>
      <border>
        <bottom style="thin">
          <color indexed="64"/>
        </bottom>
      </border>
    </dxf>
    <dxf>
      <border>
        <bottom style="thin">
          <color indexed="64"/>
        </bottom>
      </border>
    </dxf>
    <dxf>
      <border>
        <left style="thin">
          <color indexed="64"/>
        </left>
      </border>
    </dxf>
    <dxf>
      <border>
        <right style="thin">
          <color indexed="64"/>
        </right>
        <bottom style="thin">
          <color indexed="64"/>
        </bottom>
      </border>
    </dxf>
    <dxf>
      <border>
        <bottom style="thin">
          <color indexed="64"/>
        </bottom>
      </border>
    </dxf>
    <dxf>
      <border>
        <bottom style="thin">
          <color indexed="64"/>
        </bottom>
      </border>
    </dxf>
    <dxf>
      <border>
        <bottom/>
      </border>
    </dxf>
    <dxf>
      <border>
        <bottom style="thin">
          <color indexed="64"/>
        </bottom>
      </border>
    </dxf>
    <dxf>
      <border>
        <left style="thin">
          <color indexed="64"/>
        </left>
        <bottom style="thin">
          <color indexed="64"/>
        </bottom>
      </border>
    </dxf>
    <dxf>
      <border>
        <bottom style="thin">
          <color indexed="64"/>
        </bottom>
      </border>
    </dxf>
    <dxf>
      <border>
        <right/>
      </border>
    </dxf>
    <dxf>
      <border>
        <right style="thin">
          <color indexed="64"/>
        </right>
      </border>
    </dxf>
    <dxf>
      <border>
        <bottom style="thin">
          <color indexed="64"/>
        </bottom>
      </border>
    </dxf>
    <dxf>
      <border>
        <bottom style="thin">
          <color indexed="64"/>
        </bottom>
      </border>
    </dxf>
    <dxf>
      <font>
        <color theme="0"/>
      </font>
    </dxf>
    <dxf>
      <border>
        <right style="thin">
          <color indexed="64"/>
        </right>
      </border>
    </dxf>
    <dxf>
      <border>
        <right style="thin">
          <color indexed="64"/>
        </right>
      </border>
    </dxf>
    <dxf>
      <border>
        <bottom style="thin">
          <color indexed="64"/>
        </bottom>
      </border>
    </dxf>
    <dxf>
      <border>
        <bottom style="thin">
          <color indexed="64"/>
        </bottom>
      </border>
    </dxf>
    <dxf>
      <border>
        <right style="thin">
          <color indexed="64"/>
        </right>
        <bottom style="thin">
          <color indexed="64"/>
        </bottom>
      </border>
    </dxf>
    <dxf>
      <border>
        <bottom style="thin">
          <color indexed="64"/>
        </bottom>
      </border>
    </dxf>
    <dxf>
      <border>
        <bottom style="thin">
          <color indexed="64"/>
        </bottom>
      </border>
    </dxf>
    <dxf>
      <border>
        <right style="thin">
          <color indexed="64"/>
        </right>
      </border>
    </dxf>
    <dxf>
      <border>
        <bottom style="thin">
          <color auto="1"/>
        </bottom>
        <vertical/>
        <horizontal/>
      </border>
    </dxf>
    <dxf>
      <border>
        <left style="thin">
          <color auto="1"/>
        </left>
        <bottom style="thin">
          <color auto="1"/>
        </bottom>
        <vertical/>
        <horizontal/>
      </border>
    </dxf>
    <dxf>
      <border>
        <bottom style="thin">
          <color auto="1"/>
        </bottom>
        <vertical/>
        <horizontal/>
      </border>
    </dxf>
    <dxf>
      <border>
        <left style="thin">
          <color indexed="64"/>
        </left>
      </border>
    </dxf>
    <dxf>
      <border>
        <bottom style="thin">
          <color indexed="64"/>
        </bottom>
      </border>
    </dxf>
    <dxf>
      <border>
        <left style="thin">
          <color indexed="64"/>
        </left>
      </border>
    </dxf>
    <dxf>
      <border>
        <bottom style="thin">
          <color indexed="64"/>
        </bottom>
      </border>
    </dxf>
    <dxf>
      <border>
        <left style="thin">
          <color indexed="64"/>
        </left>
        <bottom style="thin">
          <color indexed="64"/>
        </bottom>
      </border>
    </dxf>
    <dxf>
      <border>
        <left style="thin">
          <color indexed="64"/>
        </left>
      </border>
    </dxf>
    <dxf>
      <border>
        <bottom style="thin">
          <color indexed="64"/>
        </bottom>
      </border>
    </dxf>
    <dxf>
      <border>
        <bottom style="thin">
          <color indexed="64"/>
        </bottom>
      </border>
    </dxf>
    <dxf>
      <border>
        <right style="thin">
          <color indexed="64"/>
        </right>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rder>
    </dxf>
    <dxf>
      <border>
        <bottom style="thin">
          <color indexed="64"/>
        </bottom>
      </border>
    </dxf>
    <dxf>
      <border>
        <right style="thin">
          <color indexed="64"/>
        </right>
        <bottom style="thin">
          <color indexed="64"/>
        </bottom>
      </border>
    </dxf>
    <dxf>
      <border>
        <bottom style="thin">
          <color auto="1"/>
        </bottom>
        <vertical/>
        <horizontal/>
      </border>
    </dxf>
    <dxf>
      <border>
        <bottom style="thin">
          <color indexed="64"/>
        </bottom>
      </border>
    </dxf>
    <dxf>
      <border>
        <left style="thin">
          <color indexed="64"/>
        </left>
      </border>
    </dxf>
    <dxf>
      <border>
        <bottom style="thin">
          <color indexed="64"/>
        </bottom>
      </border>
    </dxf>
    <dxf>
      <border>
        <right style="thin">
          <color indexed="64"/>
        </right>
        <bottom style="thin">
          <color indexed="64"/>
        </bottom>
      </border>
    </dxf>
    <dxf>
      <border>
        <left style="thin">
          <color indexed="64"/>
        </left>
      </border>
    </dxf>
    <dxf>
      <border>
        <bottom style="thin">
          <color indexed="64"/>
        </bottom>
      </border>
    </dxf>
    <dxf>
      <border>
        <left style="thin">
          <color indexed="64"/>
        </left>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ttom style="thin">
          <color indexed="64"/>
        </bottom>
      </border>
    </dxf>
    <dxf>
      <border>
        <bottom style="thin">
          <color indexed="64"/>
        </bottom>
      </border>
    </dxf>
    <dxf>
      <border>
        <bottom style="thin">
          <color indexed="64"/>
        </bottom>
      </border>
    </dxf>
    <dxf>
      <border>
        <right style="thin">
          <color indexed="64"/>
        </right>
      </border>
    </dxf>
    <dxf>
      <border>
        <bottom style="thin">
          <color indexed="64"/>
        </bottom>
      </border>
    </dxf>
    <dxf>
      <border>
        <bottom style="thin">
          <color indexed="64"/>
        </bottom>
      </border>
    </dxf>
    <dxf>
      <border>
        <bottom style="thin">
          <color indexed="64"/>
        </bottom>
      </border>
    </dxf>
    <dxf>
      <border>
        <right style="thin">
          <color indexed="64"/>
        </right>
        <bottom style="thin">
          <color indexed="64"/>
        </bottom>
      </border>
    </dxf>
    <dxf>
      <border>
        <bottom style="thin">
          <color indexed="64"/>
        </bottom>
      </border>
    </dxf>
    <dxf>
      <border>
        <right style="thin">
          <color indexed="64"/>
        </right>
      </border>
    </dxf>
    <dxf>
      <border>
        <bottom style="thin">
          <color indexed="64"/>
        </bottom>
      </border>
    </dxf>
    <dxf>
      <border>
        <right style="thin">
          <color indexed="64"/>
        </right>
      </border>
    </dxf>
    <dxf>
      <border>
        <bottom style="thin">
          <color auto="1"/>
        </bottom>
        <vertical/>
        <horizontal/>
      </border>
    </dxf>
    <dxf>
      <border>
        <right style="thin">
          <color indexed="64"/>
        </right>
        <bottom style="thin">
          <color indexed="64"/>
        </bottom>
      </border>
    </dxf>
    <dxf>
      <border>
        <bottom style="thin">
          <color indexed="64"/>
        </bottom>
      </border>
    </dxf>
    <dxf>
      <border>
        <left style="thin">
          <color indexed="64"/>
        </left>
      </border>
    </dxf>
    <dxf>
      <border>
        <bottom style="thin">
          <color indexed="64"/>
        </bottom>
      </border>
    </dxf>
    <dxf>
      <border>
        <left style="thin">
          <color indexed="64"/>
        </left>
        <bottom style="thin">
          <color indexed="64"/>
        </bottom>
      </border>
    </dxf>
    <dxf>
      <border>
        <bottom style="thin">
          <color indexed="64"/>
        </bottom>
      </border>
    </dxf>
    <dxf>
      <border>
        <left style="thin">
          <color indexed="64"/>
        </left>
      </border>
    </dxf>
    <dxf>
      <border>
        <left style="thin">
          <color indexed="64"/>
        </left>
      </border>
    </dxf>
    <dxf>
      <border>
        <bottom style="thin">
          <color indexed="64"/>
        </bottom>
      </border>
    </dxf>
    <dxf>
      <border>
        <bottom style="thin">
          <color indexed="64"/>
        </bottom>
      </border>
    </dxf>
    <dxf>
      <border>
        <bottom style="thin">
          <color indexed="64"/>
        </bottom>
      </border>
    </dxf>
    <dxf>
      <border>
        <right style="thin">
          <color indexed="64"/>
        </right>
        <bottom style="thin">
          <color indexed="64"/>
        </bottom>
      </border>
    </dxf>
    <dxf>
      <border>
        <bottom style="thin">
          <color indexed="64"/>
        </bottom>
      </border>
    </dxf>
    <dxf>
      <border>
        <right style="thin">
          <color indexed="64"/>
        </right>
      </border>
    </dxf>
    <dxf>
      <border>
        <bottom style="thin">
          <color indexed="64"/>
        </bottom>
      </border>
    </dxf>
    <dxf>
      <border>
        <left style="thin">
          <color indexed="64"/>
        </left>
        <bottom style="thin">
          <color indexed="64"/>
        </bottom>
      </border>
    </dxf>
    <dxf>
      <border>
        <bottom style="thin">
          <color indexed="64"/>
        </bottom>
      </border>
    </dxf>
    <dxf>
      <border>
        <bottom style="thin">
          <color indexed="64"/>
        </bottom>
      </border>
    </dxf>
    <dxf>
      <border>
        <right style="thin">
          <color indexed="64"/>
        </right>
        <bottom style="thin">
          <color indexed="64"/>
        </bottom>
      </border>
    </dxf>
    <dxf>
      <border>
        <bottom style="thin">
          <color indexed="64"/>
        </bottom>
      </border>
    </dxf>
    <dxf>
      <border>
        <left style="thin">
          <color indexed="64"/>
        </left>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bottom style="thin">
          <color indexed="64"/>
        </bottom>
      </border>
    </dxf>
    <dxf>
      <border>
        <right style="thin">
          <color indexed="64"/>
        </right>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ttom style="thin">
          <color indexed="64"/>
        </bottom>
      </border>
    </dxf>
    <dxf>
      <border>
        <right style="thin">
          <color indexed="64"/>
        </right>
        <bottom style="thin">
          <color indexed="64"/>
        </bottom>
      </border>
    </dxf>
    <dxf>
      <border>
        <bottom style="thin">
          <color indexed="64"/>
        </bottom>
      </border>
    </dxf>
    <dxf>
      <border>
        <bottom style="thin">
          <color indexed="64"/>
        </bottom>
      </border>
    </dxf>
    <dxf>
      <border>
        <right style="thin">
          <color indexed="64"/>
        </right>
      </border>
    </dxf>
    <dxf>
      <border>
        <bottom style="thin">
          <color indexed="64"/>
        </bottom>
      </border>
    </dxf>
    <dxf>
      <border>
        <right style="thin">
          <color indexed="64"/>
        </right>
      </border>
    </dxf>
    <dxf>
      <border>
        <bottom style="thin">
          <color indexed="64"/>
        </bottom>
      </border>
    </dxf>
    <dxf>
      <border>
        <bottom style="thin">
          <color indexed="64"/>
        </bottom>
      </border>
    </dxf>
    <dxf>
      <border>
        <left style="thin">
          <color indexed="64"/>
        </left>
      </border>
    </dxf>
    <dxf>
      <border>
        <bottom style="thin">
          <color indexed="64"/>
        </bottom>
      </border>
    </dxf>
    <dxf>
      <border>
        <right style="thin">
          <color indexed="64"/>
        </right>
        <bottom style="thin">
          <color indexed="64"/>
        </bottom>
      </border>
    </dxf>
    <dxf>
      <border>
        <bottom style="thin">
          <color indexed="64"/>
        </bottom>
      </border>
    </dxf>
    <dxf>
      <border>
        <bottom style="thin">
          <color indexed="64"/>
        </bottom>
      </border>
    </dxf>
    <dxf>
      <border>
        <left style="thin">
          <color indexed="64"/>
        </left>
        <bottom style="thin">
          <color indexed="64"/>
        </bottom>
      </border>
    </dxf>
    <dxf>
      <border>
        <bottom style="thin">
          <color indexed="64"/>
        </bottom>
      </border>
    </dxf>
    <dxf>
      <border>
        <right style="thin">
          <color indexed="64"/>
        </right>
      </border>
    </dxf>
    <dxf>
      <border>
        <bottom style="thin">
          <color indexed="64"/>
        </bottom>
      </border>
    </dxf>
    <dxf>
      <border>
        <left style="thin">
          <color indexed="64"/>
        </left>
        <bottom style="thin">
          <color indexed="64"/>
        </bottom>
      </border>
    </dxf>
    <dxf>
      <border>
        <bottom style="thin">
          <color indexed="64"/>
        </bottom>
      </border>
    </dxf>
    <dxf>
      <border>
        <left style="thin">
          <color indexed="64"/>
        </left>
      </border>
    </dxf>
    <dxf>
      <border>
        <left style="thin">
          <color indexed="64"/>
        </left>
      </border>
    </dxf>
    <dxf>
      <border>
        <bottom style="thin">
          <color indexed="64"/>
        </bottom>
      </border>
    </dxf>
    <dxf>
      <border>
        <bottom style="thin">
          <color indexed="64"/>
        </bottom>
      </border>
    </dxf>
    <dxf>
      <border>
        <right style="thin">
          <color indexed="64"/>
        </right>
        <bottom style="thin">
          <color indexed="64"/>
        </bottom>
      </border>
    </dxf>
    <dxf>
      <border>
        <bottom style="thin">
          <color indexed="64"/>
        </bottom>
      </border>
    </dxf>
    <dxf>
      <border>
        <bottom style="thin">
          <color indexed="64"/>
        </bottom>
      </border>
    </dxf>
    <dxf>
      <border>
        <right style="thin">
          <color indexed="64"/>
        </right>
      </border>
    </dxf>
    <dxf>
      <border>
        <bottom style="thin">
          <color indexed="64"/>
        </bottom>
      </border>
    </dxf>
    <dxf>
      <border>
        <bottom style="thin">
          <color indexed="64"/>
        </bottom>
      </border>
    </dxf>
    <dxf>
      <border>
        <bottom style="thin">
          <color indexed="64"/>
        </bottom>
      </border>
    </dxf>
    <dxf>
      <border>
        <right style="thin">
          <color indexed="64"/>
        </right>
        <bottom style="thin">
          <color indexed="64"/>
        </bottom>
      </border>
    </dxf>
    <dxf>
      <border>
        <bottom style="thin">
          <color indexed="64"/>
        </bottom>
      </border>
    </dxf>
    <dxf>
      <border>
        <right style="thin">
          <color indexed="64"/>
        </right>
        <bottom style="thin">
          <color indexed="64"/>
        </bottom>
      </border>
    </dxf>
    <dxf>
      <border>
        <bottom style="thin">
          <color indexed="64"/>
        </bottom>
      </border>
    </dxf>
    <dxf>
      <border>
        <left style="thin">
          <color indexed="64"/>
        </left>
      </border>
    </dxf>
    <dxf>
      <border>
        <left style="thin">
          <color indexed="64"/>
        </left>
      </border>
    </dxf>
    <dxf>
      <border>
        <bottom style="thin">
          <color indexed="64"/>
        </bottom>
      </border>
    </dxf>
    <dxf>
      <border>
        <bottom style="thin">
          <color indexed="64"/>
        </bottom>
      </border>
    </dxf>
    <dxf>
      <border>
        <left style="thin">
          <color indexed="64"/>
        </left>
        <bottom style="thin">
          <color indexed="64"/>
        </bottom>
      </border>
    </dxf>
    <dxf>
      <font>
        <condense val="0"/>
        <extend val="0"/>
        <color indexed="9"/>
      </font>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ttom style="thin">
          <color indexed="64"/>
        </bottom>
      </border>
    </dxf>
    <dxf>
      <border>
        <right style="thin">
          <color indexed="64"/>
        </right>
      </border>
    </dxf>
    <dxf>
      <border>
        <bottom style="thin">
          <color indexed="64"/>
        </bottom>
      </border>
    </dxf>
    <dxf>
      <border>
        <bottom style="thin">
          <color indexed="64"/>
        </bottom>
      </border>
    </dxf>
    <dxf>
      <border>
        <bottom style="thin">
          <color indexed="64"/>
        </bottom>
      </border>
    </dxf>
    <dxf>
      <border>
        <right style="thin">
          <color indexed="64"/>
        </right>
        <bottom style="thin">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left style="thin">
          <color indexed="64"/>
        </left>
      </border>
    </dxf>
    <dxf>
      <border>
        <bottom style="thin">
          <color indexed="64"/>
        </bottom>
      </border>
    </dxf>
    <dxf>
      <border>
        <bottom style="thin">
          <color indexed="64"/>
        </bottom>
      </border>
    </dxf>
    <dxf>
      <border>
        <left style="thin">
          <color indexed="64"/>
        </left>
        <bottom style="thin">
          <color indexed="64"/>
        </bottom>
      </border>
    </dxf>
    <dxf>
      <border>
        <bottom style="thin">
          <color indexed="64"/>
        </bottom>
      </border>
    </dxf>
    <dxf>
      <border>
        <right style="thin">
          <color indexed="64"/>
        </right>
      </border>
    </dxf>
    <dxf>
      <border>
        <bottom style="thin">
          <color indexed="64"/>
        </bottom>
      </border>
    </dxf>
    <dxf>
      <border>
        <bottom style="thin">
          <color indexed="64"/>
        </bottom>
      </border>
    </dxf>
    <dxf>
      <border>
        <right style="thin">
          <color indexed="64"/>
        </right>
        <bottom style="thin">
          <color indexed="64"/>
        </bottom>
      </border>
    </dxf>
    <dxf>
      <border>
        <left style="thin">
          <color indexed="64"/>
        </left>
      </border>
    </dxf>
    <dxf>
      <border>
        <bottom style="thin">
          <color indexed="64"/>
        </bottom>
      </border>
    </dxf>
    <dxf>
      <border>
        <bottom style="thin">
          <color indexed="64"/>
        </bottom>
      </border>
    </dxf>
    <dxf>
      <border>
        <bottom style="thin">
          <color indexed="64"/>
        </bottom>
      </border>
    </dxf>
    <dxf>
      <border>
        <right style="thin">
          <color indexed="64"/>
        </right>
        <bottom style="thin">
          <color indexed="64"/>
        </bottom>
      </border>
    </dxf>
    <dxf>
      <border>
        <bottom style="thin">
          <color indexed="64"/>
        </bottom>
      </border>
    </dxf>
    <dxf>
      <border>
        <right style="thin">
          <color indexed="64"/>
        </right>
      </border>
    </dxf>
    <dxf>
      <border>
        <left style="thin">
          <color indexed="64"/>
        </left>
      </border>
    </dxf>
    <dxf>
      <border>
        <bottom style="thin">
          <color indexed="64"/>
        </bottom>
      </border>
    </dxf>
    <dxf>
      <border>
        <bottom style="thin">
          <color indexed="64"/>
        </bottom>
      </border>
    </dxf>
    <dxf>
      <border>
        <left style="thin">
          <color indexed="64"/>
        </left>
        <bottom style="thin">
          <color indexed="64"/>
        </bottom>
      </border>
    </dxf>
    <dxf>
      <border>
        <bottom style="thin">
          <color indexed="64"/>
        </bottom>
      </border>
    </dxf>
    <dxf>
      <border>
        <right style="thin">
          <color indexed="64"/>
        </right>
      </border>
    </dxf>
    <dxf>
      <border>
        <left style="thin">
          <color indexed="64"/>
        </left>
      </border>
    </dxf>
    <dxf>
      <border>
        <bottom style="thin">
          <color indexed="64"/>
        </bottom>
      </border>
    </dxf>
    <dxf>
      <border>
        <bottom style="thin">
          <color indexed="64"/>
        </bottom>
      </border>
    </dxf>
    <dxf>
      <border>
        <left style="thin">
          <color indexed="64"/>
        </left>
        <bottom style="thin">
          <color indexed="64"/>
        </bottom>
      </border>
    </dxf>
    <dxf>
      <border>
        <bottom style="thin">
          <color indexed="64"/>
        </bottom>
      </border>
    </dxf>
    <dxf>
      <border>
        <right style="thin">
          <color indexed="64"/>
        </right>
      </border>
    </dxf>
    <dxf>
      <border>
        <bottom style="thin">
          <color indexed="64"/>
        </bottom>
      </border>
    </dxf>
    <dxf>
      <border>
        <bottom style="thin">
          <color indexed="64"/>
        </bottom>
      </border>
    </dxf>
    <dxf>
      <border>
        <right style="thin">
          <color indexed="64"/>
        </right>
        <bottom style="thin">
          <color indexed="64"/>
        </bottom>
      </border>
    </dxf>
    <dxf>
      <border>
        <left style="thin">
          <color indexed="64"/>
        </left>
      </border>
    </dxf>
    <dxf>
      <border>
        <bottom style="thin">
          <color indexed="64"/>
        </bottom>
      </border>
    </dxf>
    <dxf>
      <border>
        <bottom style="thin">
          <color indexed="64"/>
        </bottom>
      </border>
    </dxf>
    <dxf>
      <border>
        <bottom style="thin">
          <color indexed="64"/>
        </bottom>
      </border>
    </dxf>
    <dxf>
      <border>
        <right style="thin">
          <color indexed="64"/>
        </right>
        <bottom style="thin">
          <color indexed="64"/>
        </bottom>
      </border>
    </dxf>
    <dxf>
      <border>
        <bottom style="thin">
          <color indexed="64"/>
        </bottom>
      </border>
    </dxf>
    <dxf>
      <border>
        <right style="thin">
          <color indexed="64"/>
        </right>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drawing8.xml.rels><?xml version="1.0" encoding="UTF-8" standalone="yes"?>
<Relationships xmlns="http://schemas.openxmlformats.org/package/2006/relationships"><Relationship Id="rId1" Type="http://schemas.openxmlformats.org/officeDocument/2006/relationships/image" Target="../media/image9.emf"/></Relationships>
</file>

<file path=xl/drawings/_rels/drawing9.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1.xml.rels><?xml version="1.0" encoding="UTF-8" standalone="yes"?>
<Relationships xmlns="http://schemas.openxmlformats.org/package/2006/relationships"><Relationship Id="rId2" Type="http://schemas.openxmlformats.org/officeDocument/2006/relationships/image" Target="../media/image16.emf"/><Relationship Id="rId1" Type="http://schemas.openxmlformats.org/officeDocument/2006/relationships/image" Target="../media/image15.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9.emf"/></Relationships>
</file>

<file path=xl/drawings/_rels/drawing13.xml.rels><?xml version="1.0" encoding="UTF-8" standalone="yes"?>
<Relationships xmlns="http://schemas.openxmlformats.org/package/2006/relationships"><Relationship Id="rId1" Type="http://schemas.openxmlformats.org/officeDocument/2006/relationships/image" Target="../media/image2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23.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3.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4.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18.emf"/><Relationship Id="rId1" Type="http://schemas.openxmlformats.org/officeDocument/2006/relationships/image" Target="../media/image17.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0.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2.emf"/></Relationships>
</file>

<file path=xl/drawings/drawing1.xml><?xml version="1.0" encoding="utf-8"?>
<xdr:wsDr xmlns:xdr="http://schemas.openxmlformats.org/drawingml/2006/spreadsheetDrawing" xmlns:a="http://schemas.openxmlformats.org/drawingml/2006/main">
  <xdr:twoCellAnchor>
    <xdr:from>
      <xdr:col>4</xdr:col>
      <xdr:colOff>0</xdr:colOff>
      <xdr:row>14</xdr:row>
      <xdr:rowOff>0</xdr:rowOff>
    </xdr:from>
    <xdr:to>
      <xdr:col>9</xdr:col>
      <xdr:colOff>0</xdr:colOff>
      <xdr:row>16</xdr:row>
      <xdr:rowOff>0</xdr:rowOff>
    </xdr:to>
    <xdr:sp macro="" textlink="">
      <xdr:nvSpPr>
        <xdr:cNvPr id="2" name="大かっこ 1">
          <a:extLst>
            <a:ext uri="{FF2B5EF4-FFF2-40B4-BE49-F238E27FC236}">
              <a16:creationId xmlns:a16="http://schemas.microsoft.com/office/drawing/2014/main" id="{848DC6AC-15A0-4083-AE07-9A6F1F99BA01}"/>
            </a:ext>
          </a:extLst>
        </xdr:cNvPr>
        <xdr:cNvSpPr/>
      </xdr:nvSpPr>
      <xdr:spPr>
        <a:xfrm>
          <a:off x="428625" y="3619500"/>
          <a:ext cx="6858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xdr:col>
      <xdr:colOff>0</xdr:colOff>
      <xdr:row>18</xdr:row>
      <xdr:rowOff>0</xdr:rowOff>
    </xdr:from>
    <xdr:to>
      <xdr:col>16</xdr:col>
      <xdr:colOff>0</xdr:colOff>
      <xdr:row>20</xdr:row>
      <xdr:rowOff>0</xdr:rowOff>
    </xdr:to>
    <xdr:sp macro="" textlink="">
      <xdr:nvSpPr>
        <xdr:cNvPr id="3" name="大かっこ 2">
          <a:extLst>
            <a:ext uri="{FF2B5EF4-FFF2-40B4-BE49-F238E27FC236}">
              <a16:creationId xmlns:a16="http://schemas.microsoft.com/office/drawing/2014/main" id="{0F05AF14-CC53-4B90-8832-C72D9FE77300}"/>
            </a:ext>
          </a:extLst>
        </xdr:cNvPr>
        <xdr:cNvSpPr/>
      </xdr:nvSpPr>
      <xdr:spPr>
        <a:xfrm>
          <a:off x="1209675" y="4410075"/>
          <a:ext cx="6858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0</xdr:colOff>
      <xdr:row>14</xdr:row>
      <xdr:rowOff>0</xdr:rowOff>
    </xdr:from>
    <xdr:to>
      <xdr:col>38</xdr:col>
      <xdr:colOff>0</xdr:colOff>
      <xdr:row>16</xdr:row>
      <xdr:rowOff>0</xdr:rowOff>
    </xdr:to>
    <xdr:sp macro="" textlink="">
      <xdr:nvSpPr>
        <xdr:cNvPr id="4" name="大かっこ 3">
          <a:extLst>
            <a:ext uri="{FF2B5EF4-FFF2-40B4-BE49-F238E27FC236}">
              <a16:creationId xmlns:a16="http://schemas.microsoft.com/office/drawing/2014/main" id="{66DEF4B0-8C9C-4EEE-B158-0F0995BB9D55}"/>
            </a:ext>
          </a:extLst>
        </xdr:cNvPr>
        <xdr:cNvSpPr/>
      </xdr:nvSpPr>
      <xdr:spPr>
        <a:xfrm>
          <a:off x="4819650" y="3619500"/>
          <a:ext cx="6858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40</xdr:col>
      <xdr:colOff>0</xdr:colOff>
      <xdr:row>18</xdr:row>
      <xdr:rowOff>0</xdr:rowOff>
    </xdr:from>
    <xdr:to>
      <xdr:col>45</xdr:col>
      <xdr:colOff>0</xdr:colOff>
      <xdr:row>20</xdr:row>
      <xdr:rowOff>0</xdr:rowOff>
    </xdr:to>
    <xdr:sp macro="" textlink="">
      <xdr:nvSpPr>
        <xdr:cNvPr id="5" name="大かっこ 4">
          <a:extLst>
            <a:ext uri="{FF2B5EF4-FFF2-40B4-BE49-F238E27FC236}">
              <a16:creationId xmlns:a16="http://schemas.microsoft.com/office/drawing/2014/main" id="{2844C736-F82D-4075-AA75-250B584333FB}"/>
            </a:ext>
          </a:extLst>
        </xdr:cNvPr>
        <xdr:cNvSpPr/>
      </xdr:nvSpPr>
      <xdr:spPr>
        <a:xfrm>
          <a:off x="5600700" y="4410075"/>
          <a:ext cx="6858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xdr:col>
      <xdr:colOff>0</xdr:colOff>
      <xdr:row>10</xdr:row>
      <xdr:rowOff>0</xdr:rowOff>
    </xdr:from>
    <xdr:to>
      <xdr:col>16</xdr:col>
      <xdr:colOff>0</xdr:colOff>
      <xdr:row>12</xdr:row>
      <xdr:rowOff>0</xdr:rowOff>
    </xdr:to>
    <xdr:sp macro="" textlink="">
      <xdr:nvSpPr>
        <xdr:cNvPr id="6" name="大かっこ 5">
          <a:extLst>
            <a:ext uri="{FF2B5EF4-FFF2-40B4-BE49-F238E27FC236}">
              <a16:creationId xmlns:a16="http://schemas.microsoft.com/office/drawing/2014/main" id="{54B6FC8C-D2CE-43CE-A1EF-3C0F3920FDF3}"/>
            </a:ext>
          </a:extLst>
        </xdr:cNvPr>
        <xdr:cNvSpPr/>
      </xdr:nvSpPr>
      <xdr:spPr>
        <a:xfrm>
          <a:off x="1209675" y="2828925"/>
          <a:ext cx="6858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0</xdr:colOff>
      <xdr:row>14</xdr:row>
      <xdr:rowOff>0</xdr:rowOff>
    </xdr:from>
    <xdr:to>
      <xdr:col>23</xdr:col>
      <xdr:colOff>0</xdr:colOff>
      <xdr:row>16</xdr:row>
      <xdr:rowOff>0</xdr:rowOff>
    </xdr:to>
    <xdr:sp macro="" textlink="">
      <xdr:nvSpPr>
        <xdr:cNvPr id="7" name="大かっこ 6">
          <a:extLst>
            <a:ext uri="{FF2B5EF4-FFF2-40B4-BE49-F238E27FC236}">
              <a16:creationId xmlns:a16="http://schemas.microsoft.com/office/drawing/2014/main" id="{BA70EA24-33AA-4444-9044-CE37FB5E975F}"/>
            </a:ext>
          </a:extLst>
        </xdr:cNvPr>
        <xdr:cNvSpPr/>
      </xdr:nvSpPr>
      <xdr:spPr>
        <a:xfrm>
          <a:off x="1990725" y="3619500"/>
          <a:ext cx="6858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40</xdr:col>
      <xdr:colOff>0</xdr:colOff>
      <xdr:row>10</xdr:row>
      <xdr:rowOff>0</xdr:rowOff>
    </xdr:from>
    <xdr:to>
      <xdr:col>45</xdr:col>
      <xdr:colOff>0</xdr:colOff>
      <xdr:row>12</xdr:row>
      <xdr:rowOff>0</xdr:rowOff>
    </xdr:to>
    <xdr:sp macro="" textlink="">
      <xdr:nvSpPr>
        <xdr:cNvPr id="8" name="大かっこ 7">
          <a:extLst>
            <a:ext uri="{FF2B5EF4-FFF2-40B4-BE49-F238E27FC236}">
              <a16:creationId xmlns:a16="http://schemas.microsoft.com/office/drawing/2014/main" id="{391B8892-2B35-4E47-B32C-43D62C5760B4}"/>
            </a:ext>
          </a:extLst>
        </xdr:cNvPr>
        <xdr:cNvSpPr/>
      </xdr:nvSpPr>
      <xdr:spPr>
        <a:xfrm>
          <a:off x="5600700" y="2828925"/>
          <a:ext cx="6858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47</xdr:col>
      <xdr:colOff>0</xdr:colOff>
      <xdr:row>14</xdr:row>
      <xdr:rowOff>0</xdr:rowOff>
    </xdr:from>
    <xdr:to>
      <xdr:col>52</xdr:col>
      <xdr:colOff>0</xdr:colOff>
      <xdr:row>16</xdr:row>
      <xdr:rowOff>0</xdr:rowOff>
    </xdr:to>
    <xdr:sp macro="" textlink="">
      <xdr:nvSpPr>
        <xdr:cNvPr id="9" name="大かっこ 8">
          <a:extLst>
            <a:ext uri="{FF2B5EF4-FFF2-40B4-BE49-F238E27FC236}">
              <a16:creationId xmlns:a16="http://schemas.microsoft.com/office/drawing/2014/main" id="{C4913EAA-C821-4A73-AB05-F2399C3BFCCB}"/>
            </a:ext>
          </a:extLst>
        </xdr:cNvPr>
        <xdr:cNvSpPr/>
      </xdr:nvSpPr>
      <xdr:spPr>
        <a:xfrm>
          <a:off x="6381750" y="3619500"/>
          <a:ext cx="6858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79</xdr:col>
      <xdr:colOff>87406</xdr:colOff>
      <xdr:row>36</xdr:row>
      <xdr:rowOff>28015</xdr:rowOff>
    </xdr:from>
    <xdr:to>
      <xdr:col>84</xdr:col>
      <xdr:colOff>98292</xdr:colOff>
      <xdr:row>38</xdr:row>
      <xdr:rowOff>7203</xdr:rowOff>
    </xdr:to>
    <xdr:sp macro="" textlink="">
      <xdr:nvSpPr>
        <xdr:cNvPr id="10" name="大かっこ 82">
          <a:extLst>
            <a:ext uri="{FF2B5EF4-FFF2-40B4-BE49-F238E27FC236}">
              <a16:creationId xmlns:a16="http://schemas.microsoft.com/office/drawing/2014/main" id="{7D68DCBC-3BED-4CE7-BD11-799A305EFBA0}"/>
            </a:ext>
          </a:extLst>
        </xdr:cNvPr>
        <xdr:cNvSpPr/>
      </xdr:nvSpPr>
      <xdr:spPr>
        <a:xfrm>
          <a:off x="12174631" y="8495740"/>
          <a:ext cx="915761" cy="3316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73</xdr:col>
      <xdr:colOff>87406</xdr:colOff>
      <xdr:row>44</xdr:row>
      <xdr:rowOff>31376</xdr:rowOff>
    </xdr:from>
    <xdr:to>
      <xdr:col>78</xdr:col>
      <xdr:colOff>98292</xdr:colOff>
      <xdr:row>46</xdr:row>
      <xdr:rowOff>960</xdr:rowOff>
    </xdr:to>
    <xdr:sp macro="" textlink="">
      <xdr:nvSpPr>
        <xdr:cNvPr id="11" name="大かっこ 82">
          <a:extLst>
            <a:ext uri="{FF2B5EF4-FFF2-40B4-BE49-F238E27FC236}">
              <a16:creationId xmlns:a16="http://schemas.microsoft.com/office/drawing/2014/main" id="{25A5DD18-994D-4EBD-B850-7B994CFD7829}"/>
            </a:ext>
          </a:extLst>
        </xdr:cNvPr>
        <xdr:cNvSpPr/>
      </xdr:nvSpPr>
      <xdr:spPr>
        <a:xfrm>
          <a:off x="11088781" y="9670676"/>
          <a:ext cx="915761" cy="3410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85</xdr:col>
      <xdr:colOff>87406</xdr:colOff>
      <xdr:row>44</xdr:row>
      <xdr:rowOff>31376</xdr:rowOff>
    </xdr:from>
    <xdr:to>
      <xdr:col>90</xdr:col>
      <xdr:colOff>98292</xdr:colOff>
      <xdr:row>46</xdr:row>
      <xdr:rowOff>960</xdr:rowOff>
    </xdr:to>
    <xdr:sp macro="" textlink="">
      <xdr:nvSpPr>
        <xdr:cNvPr id="12" name="大かっこ 82">
          <a:extLst>
            <a:ext uri="{FF2B5EF4-FFF2-40B4-BE49-F238E27FC236}">
              <a16:creationId xmlns:a16="http://schemas.microsoft.com/office/drawing/2014/main" id="{62A7DFAE-52AB-4F3E-A375-4B3C6862D2E3}"/>
            </a:ext>
          </a:extLst>
        </xdr:cNvPr>
        <xdr:cNvSpPr/>
      </xdr:nvSpPr>
      <xdr:spPr>
        <a:xfrm>
          <a:off x="13260481" y="9670676"/>
          <a:ext cx="915761" cy="3410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96</xdr:col>
      <xdr:colOff>87406</xdr:colOff>
      <xdr:row>44</xdr:row>
      <xdr:rowOff>31376</xdr:rowOff>
    </xdr:from>
    <xdr:to>
      <xdr:col>101</xdr:col>
      <xdr:colOff>98292</xdr:colOff>
      <xdr:row>46</xdr:row>
      <xdr:rowOff>960</xdr:rowOff>
    </xdr:to>
    <xdr:sp macro="" textlink="">
      <xdr:nvSpPr>
        <xdr:cNvPr id="13" name="大かっこ 82">
          <a:extLst>
            <a:ext uri="{FF2B5EF4-FFF2-40B4-BE49-F238E27FC236}">
              <a16:creationId xmlns:a16="http://schemas.microsoft.com/office/drawing/2014/main" id="{2673B83A-A57F-456F-B401-0F227AB52568}"/>
            </a:ext>
          </a:extLst>
        </xdr:cNvPr>
        <xdr:cNvSpPr/>
      </xdr:nvSpPr>
      <xdr:spPr>
        <a:xfrm>
          <a:off x="15251206" y="9670676"/>
          <a:ext cx="915761" cy="3410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0</xdr:colOff>
      <xdr:row>10</xdr:row>
      <xdr:rowOff>0</xdr:rowOff>
    </xdr:from>
    <xdr:to>
      <xdr:col>23</xdr:col>
      <xdr:colOff>0</xdr:colOff>
      <xdr:row>12</xdr:row>
      <xdr:rowOff>0</xdr:rowOff>
    </xdr:to>
    <xdr:sp macro="" textlink="">
      <xdr:nvSpPr>
        <xdr:cNvPr id="15" name="大かっこ 14">
          <a:extLst>
            <a:ext uri="{FF2B5EF4-FFF2-40B4-BE49-F238E27FC236}">
              <a16:creationId xmlns:a16="http://schemas.microsoft.com/office/drawing/2014/main" id="{512ABB4F-3041-46BA-B47B-2CE7F58A06C5}"/>
            </a:ext>
          </a:extLst>
        </xdr:cNvPr>
        <xdr:cNvSpPr/>
      </xdr:nvSpPr>
      <xdr:spPr>
        <a:xfrm>
          <a:off x="1990725" y="2828925"/>
          <a:ext cx="6858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xdr:col>
      <xdr:colOff>0</xdr:colOff>
      <xdr:row>18</xdr:row>
      <xdr:rowOff>0</xdr:rowOff>
    </xdr:from>
    <xdr:to>
      <xdr:col>9</xdr:col>
      <xdr:colOff>0</xdr:colOff>
      <xdr:row>20</xdr:row>
      <xdr:rowOff>0</xdr:rowOff>
    </xdr:to>
    <xdr:sp macro="" textlink="">
      <xdr:nvSpPr>
        <xdr:cNvPr id="17" name="大かっこ 16">
          <a:extLst>
            <a:ext uri="{FF2B5EF4-FFF2-40B4-BE49-F238E27FC236}">
              <a16:creationId xmlns:a16="http://schemas.microsoft.com/office/drawing/2014/main" id="{6260A937-2BB4-48CA-A916-C1064C79A4B7}"/>
            </a:ext>
          </a:extLst>
        </xdr:cNvPr>
        <xdr:cNvSpPr/>
      </xdr:nvSpPr>
      <xdr:spPr>
        <a:xfrm>
          <a:off x="428625" y="4410075"/>
          <a:ext cx="6858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0</xdr:colOff>
      <xdr:row>14</xdr:row>
      <xdr:rowOff>0</xdr:rowOff>
    </xdr:from>
    <xdr:to>
      <xdr:col>38</xdr:col>
      <xdr:colOff>0</xdr:colOff>
      <xdr:row>16</xdr:row>
      <xdr:rowOff>0</xdr:rowOff>
    </xdr:to>
    <xdr:sp macro="" textlink="">
      <xdr:nvSpPr>
        <xdr:cNvPr id="18" name="大かっこ 17">
          <a:extLst>
            <a:ext uri="{FF2B5EF4-FFF2-40B4-BE49-F238E27FC236}">
              <a16:creationId xmlns:a16="http://schemas.microsoft.com/office/drawing/2014/main" id="{7A465EC0-FC9D-49FF-BB1D-E020E5D39E92}"/>
            </a:ext>
          </a:extLst>
        </xdr:cNvPr>
        <xdr:cNvSpPr/>
      </xdr:nvSpPr>
      <xdr:spPr>
        <a:xfrm>
          <a:off x="4819650" y="3619500"/>
          <a:ext cx="6858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40</xdr:col>
      <xdr:colOff>0</xdr:colOff>
      <xdr:row>18</xdr:row>
      <xdr:rowOff>0</xdr:rowOff>
    </xdr:from>
    <xdr:to>
      <xdr:col>45</xdr:col>
      <xdr:colOff>0</xdr:colOff>
      <xdr:row>20</xdr:row>
      <xdr:rowOff>0</xdr:rowOff>
    </xdr:to>
    <xdr:sp macro="" textlink="">
      <xdr:nvSpPr>
        <xdr:cNvPr id="20" name="大かっこ 19">
          <a:extLst>
            <a:ext uri="{FF2B5EF4-FFF2-40B4-BE49-F238E27FC236}">
              <a16:creationId xmlns:a16="http://schemas.microsoft.com/office/drawing/2014/main" id="{E2212DF7-9249-414B-9AD9-648B5B3C925A}"/>
            </a:ext>
          </a:extLst>
        </xdr:cNvPr>
        <xdr:cNvSpPr/>
      </xdr:nvSpPr>
      <xdr:spPr>
        <a:xfrm>
          <a:off x="5600700" y="4410075"/>
          <a:ext cx="6858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40</xdr:col>
      <xdr:colOff>0</xdr:colOff>
      <xdr:row>10</xdr:row>
      <xdr:rowOff>0</xdr:rowOff>
    </xdr:from>
    <xdr:to>
      <xdr:col>45</xdr:col>
      <xdr:colOff>0</xdr:colOff>
      <xdr:row>12</xdr:row>
      <xdr:rowOff>0</xdr:rowOff>
    </xdr:to>
    <xdr:sp macro="" textlink="">
      <xdr:nvSpPr>
        <xdr:cNvPr id="22" name="大かっこ 21">
          <a:extLst>
            <a:ext uri="{FF2B5EF4-FFF2-40B4-BE49-F238E27FC236}">
              <a16:creationId xmlns:a16="http://schemas.microsoft.com/office/drawing/2014/main" id="{5B199DC8-ACC6-48CB-BE3C-DD7B324D14E7}"/>
            </a:ext>
          </a:extLst>
        </xdr:cNvPr>
        <xdr:cNvSpPr/>
      </xdr:nvSpPr>
      <xdr:spPr>
        <a:xfrm>
          <a:off x="5600700" y="2828925"/>
          <a:ext cx="6858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47</xdr:col>
      <xdr:colOff>0</xdr:colOff>
      <xdr:row>14</xdr:row>
      <xdr:rowOff>0</xdr:rowOff>
    </xdr:from>
    <xdr:to>
      <xdr:col>52</xdr:col>
      <xdr:colOff>0</xdr:colOff>
      <xdr:row>16</xdr:row>
      <xdr:rowOff>0</xdr:rowOff>
    </xdr:to>
    <xdr:sp macro="" textlink="">
      <xdr:nvSpPr>
        <xdr:cNvPr id="24" name="大かっこ 23">
          <a:extLst>
            <a:ext uri="{FF2B5EF4-FFF2-40B4-BE49-F238E27FC236}">
              <a16:creationId xmlns:a16="http://schemas.microsoft.com/office/drawing/2014/main" id="{E7997CE8-A0CE-47A1-81C7-1756872F044E}"/>
            </a:ext>
          </a:extLst>
        </xdr:cNvPr>
        <xdr:cNvSpPr/>
      </xdr:nvSpPr>
      <xdr:spPr>
        <a:xfrm>
          <a:off x="6381750" y="3619500"/>
          <a:ext cx="6858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xdr:col>
      <xdr:colOff>0</xdr:colOff>
      <xdr:row>14</xdr:row>
      <xdr:rowOff>0</xdr:rowOff>
    </xdr:from>
    <xdr:to>
      <xdr:col>9</xdr:col>
      <xdr:colOff>0</xdr:colOff>
      <xdr:row>16</xdr:row>
      <xdr:rowOff>0</xdr:rowOff>
    </xdr:to>
    <xdr:sp macro="" textlink="">
      <xdr:nvSpPr>
        <xdr:cNvPr id="30" name="大かっこ 29">
          <a:extLst>
            <a:ext uri="{FF2B5EF4-FFF2-40B4-BE49-F238E27FC236}">
              <a16:creationId xmlns:a16="http://schemas.microsoft.com/office/drawing/2014/main" id="{834077F3-B4D1-460F-AA12-DB036FCA5EE9}"/>
            </a:ext>
          </a:extLst>
        </xdr:cNvPr>
        <xdr:cNvSpPr/>
      </xdr:nvSpPr>
      <xdr:spPr>
        <a:xfrm>
          <a:off x="428625" y="3619500"/>
          <a:ext cx="6858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en-US" altLang="ja-JP"/>
        </a:p>
        <a:p>
          <a:endParaRPr lang="ja-JP" altLang="en-US"/>
        </a:p>
      </xdr:txBody>
    </xdr:sp>
    <xdr:clientData/>
  </xdr:twoCellAnchor>
  <xdr:twoCellAnchor>
    <xdr:from>
      <xdr:col>11</xdr:col>
      <xdr:colOff>0</xdr:colOff>
      <xdr:row>18</xdr:row>
      <xdr:rowOff>0</xdr:rowOff>
    </xdr:from>
    <xdr:to>
      <xdr:col>16</xdr:col>
      <xdr:colOff>0</xdr:colOff>
      <xdr:row>20</xdr:row>
      <xdr:rowOff>0</xdr:rowOff>
    </xdr:to>
    <xdr:sp macro="" textlink="">
      <xdr:nvSpPr>
        <xdr:cNvPr id="31" name="大かっこ 30">
          <a:extLst>
            <a:ext uri="{FF2B5EF4-FFF2-40B4-BE49-F238E27FC236}">
              <a16:creationId xmlns:a16="http://schemas.microsoft.com/office/drawing/2014/main" id="{8C60E876-CDB3-4D53-A324-DEA6D08694DA}"/>
            </a:ext>
          </a:extLst>
        </xdr:cNvPr>
        <xdr:cNvSpPr/>
      </xdr:nvSpPr>
      <xdr:spPr>
        <a:xfrm>
          <a:off x="1209675" y="4410075"/>
          <a:ext cx="6858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0</xdr:colOff>
      <xdr:row>14</xdr:row>
      <xdr:rowOff>0</xdr:rowOff>
    </xdr:from>
    <xdr:to>
      <xdr:col>38</xdr:col>
      <xdr:colOff>0</xdr:colOff>
      <xdr:row>16</xdr:row>
      <xdr:rowOff>0</xdr:rowOff>
    </xdr:to>
    <xdr:sp macro="" textlink="">
      <xdr:nvSpPr>
        <xdr:cNvPr id="32" name="大かっこ 31">
          <a:extLst>
            <a:ext uri="{FF2B5EF4-FFF2-40B4-BE49-F238E27FC236}">
              <a16:creationId xmlns:a16="http://schemas.microsoft.com/office/drawing/2014/main" id="{D343383A-E1D8-44FE-AD2B-36FF5401F0D7}"/>
            </a:ext>
          </a:extLst>
        </xdr:cNvPr>
        <xdr:cNvSpPr/>
      </xdr:nvSpPr>
      <xdr:spPr>
        <a:xfrm>
          <a:off x="4819650" y="3619500"/>
          <a:ext cx="6858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40</xdr:col>
      <xdr:colOff>0</xdr:colOff>
      <xdr:row>18</xdr:row>
      <xdr:rowOff>0</xdr:rowOff>
    </xdr:from>
    <xdr:to>
      <xdr:col>45</xdr:col>
      <xdr:colOff>0</xdr:colOff>
      <xdr:row>20</xdr:row>
      <xdr:rowOff>0</xdr:rowOff>
    </xdr:to>
    <xdr:sp macro="" textlink="">
      <xdr:nvSpPr>
        <xdr:cNvPr id="33" name="大かっこ 32">
          <a:extLst>
            <a:ext uri="{FF2B5EF4-FFF2-40B4-BE49-F238E27FC236}">
              <a16:creationId xmlns:a16="http://schemas.microsoft.com/office/drawing/2014/main" id="{5AFAB8EB-F955-4E78-BD2E-8BFDF0010D0C}"/>
            </a:ext>
          </a:extLst>
        </xdr:cNvPr>
        <xdr:cNvSpPr/>
      </xdr:nvSpPr>
      <xdr:spPr>
        <a:xfrm>
          <a:off x="5600700" y="4410075"/>
          <a:ext cx="6858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xdr:col>
      <xdr:colOff>0</xdr:colOff>
      <xdr:row>10</xdr:row>
      <xdr:rowOff>0</xdr:rowOff>
    </xdr:from>
    <xdr:to>
      <xdr:col>16</xdr:col>
      <xdr:colOff>0</xdr:colOff>
      <xdr:row>12</xdr:row>
      <xdr:rowOff>0</xdr:rowOff>
    </xdr:to>
    <xdr:sp macro="" textlink="">
      <xdr:nvSpPr>
        <xdr:cNvPr id="34" name="大かっこ 33">
          <a:extLst>
            <a:ext uri="{FF2B5EF4-FFF2-40B4-BE49-F238E27FC236}">
              <a16:creationId xmlns:a16="http://schemas.microsoft.com/office/drawing/2014/main" id="{16140975-CD05-474F-ABEE-CEB4C04BBBA3}"/>
            </a:ext>
          </a:extLst>
        </xdr:cNvPr>
        <xdr:cNvSpPr/>
      </xdr:nvSpPr>
      <xdr:spPr>
        <a:xfrm>
          <a:off x="1209675" y="2828925"/>
          <a:ext cx="6858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0</xdr:colOff>
      <xdr:row>14</xdr:row>
      <xdr:rowOff>0</xdr:rowOff>
    </xdr:from>
    <xdr:to>
      <xdr:col>23</xdr:col>
      <xdr:colOff>0</xdr:colOff>
      <xdr:row>16</xdr:row>
      <xdr:rowOff>0</xdr:rowOff>
    </xdr:to>
    <xdr:sp macro="" textlink="">
      <xdr:nvSpPr>
        <xdr:cNvPr id="35" name="大かっこ 34">
          <a:extLst>
            <a:ext uri="{FF2B5EF4-FFF2-40B4-BE49-F238E27FC236}">
              <a16:creationId xmlns:a16="http://schemas.microsoft.com/office/drawing/2014/main" id="{5F7A7DBE-84BB-44BD-925D-5063381B1E68}"/>
            </a:ext>
          </a:extLst>
        </xdr:cNvPr>
        <xdr:cNvSpPr/>
      </xdr:nvSpPr>
      <xdr:spPr>
        <a:xfrm>
          <a:off x="1990725" y="3619500"/>
          <a:ext cx="6858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40</xdr:col>
      <xdr:colOff>0</xdr:colOff>
      <xdr:row>10</xdr:row>
      <xdr:rowOff>0</xdr:rowOff>
    </xdr:from>
    <xdr:to>
      <xdr:col>45</xdr:col>
      <xdr:colOff>0</xdr:colOff>
      <xdr:row>12</xdr:row>
      <xdr:rowOff>0</xdr:rowOff>
    </xdr:to>
    <xdr:sp macro="" textlink="">
      <xdr:nvSpPr>
        <xdr:cNvPr id="36" name="大かっこ 35">
          <a:extLst>
            <a:ext uri="{FF2B5EF4-FFF2-40B4-BE49-F238E27FC236}">
              <a16:creationId xmlns:a16="http://schemas.microsoft.com/office/drawing/2014/main" id="{5E290E4B-0DA4-4AE3-8CEA-303070338EAC}"/>
            </a:ext>
          </a:extLst>
        </xdr:cNvPr>
        <xdr:cNvSpPr/>
      </xdr:nvSpPr>
      <xdr:spPr>
        <a:xfrm>
          <a:off x="5600700" y="2828925"/>
          <a:ext cx="6858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47</xdr:col>
      <xdr:colOff>0</xdr:colOff>
      <xdr:row>14</xdr:row>
      <xdr:rowOff>0</xdr:rowOff>
    </xdr:from>
    <xdr:to>
      <xdr:col>52</xdr:col>
      <xdr:colOff>0</xdr:colOff>
      <xdr:row>16</xdr:row>
      <xdr:rowOff>0</xdr:rowOff>
    </xdr:to>
    <xdr:sp macro="" textlink="">
      <xdr:nvSpPr>
        <xdr:cNvPr id="37" name="大かっこ 36">
          <a:extLst>
            <a:ext uri="{FF2B5EF4-FFF2-40B4-BE49-F238E27FC236}">
              <a16:creationId xmlns:a16="http://schemas.microsoft.com/office/drawing/2014/main" id="{CD2B74EA-6A16-48B0-B844-A24CF735FA21}"/>
            </a:ext>
          </a:extLst>
        </xdr:cNvPr>
        <xdr:cNvSpPr/>
      </xdr:nvSpPr>
      <xdr:spPr>
        <a:xfrm>
          <a:off x="6381750" y="3619500"/>
          <a:ext cx="6858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79</xdr:col>
      <xdr:colOff>87406</xdr:colOff>
      <xdr:row>36</xdr:row>
      <xdr:rowOff>28015</xdr:rowOff>
    </xdr:from>
    <xdr:to>
      <xdr:col>84</xdr:col>
      <xdr:colOff>98292</xdr:colOff>
      <xdr:row>38</xdr:row>
      <xdr:rowOff>7203</xdr:rowOff>
    </xdr:to>
    <xdr:sp macro="" textlink="">
      <xdr:nvSpPr>
        <xdr:cNvPr id="38" name="大かっこ 82">
          <a:extLst>
            <a:ext uri="{FF2B5EF4-FFF2-40B4-BE49-F238E27FC236}">
              <a16:creationId xmlns:a16="http://schemas.microsoft.com/office/drawing/2014/main" id="{5A0A912A-B2CA-4265-890C-053B3C79E60D}"/>
            </a:ext>
          </a:extLst>
        </xdr:cNvPr>
        <xdr:cNvSpPr/>
      </xdr:nvSpPr>
      <xdr:spPr>
        <a:xfrm>
          <a:off x="12174631" y="8495740"/>
          <a:ext cx="915761" cy="3316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73</xdr:col>
      <xdr:colOff>87406</xdr:colOff>
      <xdr:row>44</xdr:row>
      <xdr:rowOff>31376</xdr:rowOff>
    </xdr:from>
    <xdr:to>
      <xdr:col>78</xdr:col>
      <xdr:colOff>98292</xdr:colOff>
      <xdr:row>46</xdr:row>
      <xdr:rowOff>960</xdr:rowOff>
    </xdr:to>
    <xdr:sp macro="" textlink="">
      <xdr:nvSpPr>
        <xdr:cNvPr id="39" name="大かっこ 82">
          <a:extLst>
            <a:ext uri="{FF2B5EF4-FFF2-40B4-BE49-F238E27FC236}">
              <a16:creationId xmlns:a16="http://schemas.microsoft.com/office/drawing/2014/main" id="{4CF062D9-6015-47A2-8423-D37C95BE4FA2}"/>
            </a:ext>
          </a:extLst>
        </xdr:cNvPr>
        <xdr:cNvSpPr/>
      </xdr:nvSpPr>
      <xdr:spPr>
        <a:xfrm>
          <a:off x="11088781" y="9670676"/>
          <a:ext cx="915761" cy="3410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85</xdr:col>
      <xdr:colOff>87406</xdr:colOff>
      <xdr:row>44</xdr:row>
      <xdr:rowOff>31376</xdr:rowOff>
    </xdr:from>
    <xdr:to>
      <xdr:col>90</xdr:col>
      <xdr:colOff>98292</xdr:colOff>
      <xdr:row>46</xdr:row>
      <xdr:rowOff>960</xdr:rowOff>
    </xdr:to>
    <xdr:sp macro="" textlink="">
      <xdr:nvSpPr>
        <xdr:cNvPr id="40" name="大かっこ 82">
          <a:extLst>
            <a:ext uri="{FF2B5EF4-FFF2-40B4-BE49-F238E27FC236}">
              <a16:creationId xmlns:a16="http://schemas.microsoft.com/office/drawing/2014/main" id="{EE28957E-C291-4E1E-8958-6C9ACD42F7AD}"/>
            </a:ext>
          </a:extLst>
        </xdr:cNvPr>
        <xdr:cNvSpPr/>
      </xdr:nvSpPr>
      <xdr:spPr>
        <a:xfrm>
          <a:off x="13260481" y="9670676"/>
          <a:ext cx="915761" cy="3410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96</xdr:col>
      <xdr:colOff>87406</xdr:colOff>
      <xdr:row>44</xdr:row>
      <xdr:rowOff>31376</xdr:rowOff>
    </xdr:from>
    <xdr:to>
      <xdr:col>101</xdr:col>
      <xdr:colOff>98292</xdr:colOff>
      <xdr:row>46</xdr:row>
      <xdr:rowOff>960</xdr:rowOff>
    </xdr:to>
    <xdr:sp macro="" textlink="">
      <xdr:nvSpPr>
        <xdr:cNvPr id="41" name="大かっこ 82">
          <a:extLst>
            <a:ext uri="{FF2B5EF4-FFF2-40B4-BE49-F238E27FC236}">
              <a16:creationId xmlns:a16="http://schemas.microsoft.com/office/drawing/2014/main" id="{B335C24F-E2A5-4960-9882-6229B98FD307}"/>
            </a:ext>
          </a:extLst>
        </xdr:cNvPr>
        <xdr:cNvSpPr/>
      </xdr:nvSpPr>
      <xdr:spPr>
        <a:xfrm>
          <a:off x="15251206" y="9670676"/>
          <a:ext cx="915761" cy="3410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0</xdr:colOff>
      <xdr:row>10</xdr:row>
      <xdr:rowOff>0</xdr:rowOff>
    </xdr:from>
    <xdr:to>
      <xdr:col>23</xdr:col>
      <xdr:colOff>0</xdr:colOff>
      <xdr:row>12</xdr:row>
      <xdr:rowOff>0</xdr:rowOff>
    </xdr:to>
    <xdr:sp macro="" textlink="">
      <xdr:nvSpPr>
        <xdr:cNvPr id="43" name="大かっこ 42">
          <a:extLst>
            <a:ext uri="{FF2B5EF4-FFF2-40B4-BE49-F238E27FC236}">
              <a16:creationId xmlns:a16="http://schemas.microsoft.com/office/drawing/2014/main" id="{E54979A4-26D9-4952-95DB-797E0A7AF3DB}"/>
            </a:ext>
          </a:extLst>
        </xdr:cNvPr>
        <xdr:cNvSpPr/>
      </xdr:nvSpPr>
      <xdr:spPr>
        <a:xfrm>
          <a:off x="1990725" y="2828925"/>
          <a:ext cx="6858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xdr:col>
      <xdr:colOff>0</xdr:colOff>
      <xdr:row>18</xdr:row>
      <xdr:rowOff>0</xdr:rowOff>
    </xdr:from>
    <xdr:to>
      <xdr:col>9</xdr:col>
      <xdr:colOff>0</xdr:colOff>
      <xdr:row>20</xdr:row>
      <xdr:rowOff>0</xdr:rowOff>
    </xdr:to>
    <xdr:sp macro="" textlink="">
      <xdr:nvSpPr>
        <xdr:cNvPr id="45" name="大かっこ 44">
          <a:extLst>
            <a:ext uri="{FF2B5EF4-FFF2-40B4-BE49-F238E27FC236}">
              <a16:creationId xmlns:a16="http://schemas.microsoft.com/office/drawing/2014/main" id="{34B11E15-3786-4041-8D01-5ED69EFD432B}"/>
            </a:ext>
          </a:extLst>
        </xdr:cNvPr>
        <xdr:cNvSpPr/>
      </xdr:nvSpPr>
      <xdr:spPr>
        <a:xfrm>
          <a:off x="428625" y="4410075"/>
          <a:ext cx="6858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0</xdr:colOff>
      <xdr:row>14</xdr:row>
      <xdr:rowOff>0</xdr:rowOff>
    </xdr:from>
    <xdr:to>
      <xdr:col>38</xdr:col>
      <xdr:colOff>0</xdr:colOff>
      <xdr:row>16</xdr:row>
      <xdr:rowOff>0</xdr:rowOff>
    </xdr:to>
    <xdr:sp macro="" textlink="">
      <xdr:nvSpPr>
        <xdr:cNvPr id="46" name="大かっこ 45">
          <a:extLst>
            <a:ext uri="{FF2B5EF4-FFF2-40B4-BE49-F238E27FC236}">
              <a16:creationId xmlns:a16="http://schemas.microsoft.com/office/drawing/2014/main" id="{7E0E7147-8BFD-44F5-866F-168DEEFE6593}"/>
            </a:ext>
          </a:extLst>
        </xdr:cNvPr>
        <xdr:cNvSpPr/>
      </xdr:nvSpPr>
      <xdr:spPr>
        <a:xfrm>
          <a:off x="4819650" y="3619500"/>
          <a:ext cx="6858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40</xdr:col>
      <xdr:colOff>0</xdr:colOff>
      <xdr:row>18</xdr:row>
      <xdr:rowOff>0</xdr:rowOff>
    </xdr:from>
    <xdr:to>
      <xdr:col>45</xdr:col>
      <xdr:colOff>0</xdr:colOff>
      <xdr:row>20</xdr:row>
      <xdr:rowOff>0</xdr:rowOff>
    </xdr:to>
    <xdr:sp macro="" textlink="">
      <xdr:nvSpPr>
        <xdr:cNvPr id="48" name="大かっこ 47">
          <a:extLst>
            <a:ext uri="{FF2B5EF4-FFF2-40B4-BE49-F238E27FC236}">
              <a16:creationId xmlns:a16="http://schemas.microsoft.com/office/drawing/2014/main" id="{26920164-B1AC-40F0-B35F-C08D38EB04F2}"/>
            </a:ext>
          </a:extLst>
        </xdr:cNvPr>
        <xdr:cNvSpPr/>
      </xdr:nvSpPr>
      <xdr:spPr>
        <a:xfrm>
          <a:off x="5600700" y="4410075"/>
          <a:ext cx="6858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40</xdr:col>
      <xdr:colOff>0</xdr:colOff>
      <xdr:row>10</xdr:row>
      <xdr:rowOff>0</xdr:rowOff>
    </xdr:from>
    <xdr:to>
      <xdr:col>45</xdr:col>
      <xdr:colOff>0</xdr:colOff>
      <xdr:row>12</xdr:row>
      <xdr:rowOff>0</xdr:rowOff>
    </xdr:to>
    <xdr:sp macro="" textlink="">
      <xdr:nvSpPr>
        <xdr:cNvPr id="50" name="大かっこ 49">
          <a:extLst>
            <a:ext uri="{FF2B5EF4-FFF2-40B4-BE49-F238E27FC236}">
              <a16:creationId xmlns:a16="http://schemas.microsoft.com/office/drawing/2014/main" id="{16ED0576-4B4A-47ED-BFE8-1C141D0C2EFB}"/>
            </a:ext>
          </a:extLst>
        </xdr:cNvPr>
        <xdr:cNvSpPr/>
      </xdr:nvSpPr>
      <xdr:spPr>
        <a:xfrm>
          <a:off x="5600700" y="2828925"/>
          <a:ext cx="6858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47</xdr:col>
      <xdr:colOff>0</xdr:colOff>
      <xdr:row>14</xdr:row>
      <xdr:rowOff>0</xdr:rowOff>
    </xdr:from>
    <xdr:to>
      <xdr:col>52</xdr:col>
      <xdr:colOff>0</xdr:colOff>
      <xdr:row>16</xdr:row>
      <xdr:rowOff>0</xdr:rowOff>
    </xdr:to>
    <xdr:sp macro="" textlink="">
      <xdr:nvSpPr>
        <xdr:cNvPr id="52" name="大かっこ 51">
          <a:extLst>
            <a:ext uri="{FF2B5EF4-FFF2-40B4-BE49-F238E27FC236}">
              <a16:creationId xmlns:a16="http://schemas.microsoft.com/office/drawing/2014/main" id="{66B9EEA0-4FB0-4502-A361-33F86A363086}"/>
            </a:ext>
          </a:extLst>
        </xdr:cNvPr>
        <xdr:cNvSpPr/>
      </xdr:nvSpPr>
      <xdr:spPr>
        <a:xfrm>
          <a:off x="6381750" y="3619500"/>
          <a:ext cx="6858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0</xdr:colOff>
      <xdr:row>18</xdr:row>
      <xdr:rowOff>0</xdr:rowOff>
    </xdr:from>
    <xdr:to>
      <xdr:col>38</xdr:col>
      <xdr:colOff>0</xdr:colOff>
      <xdr:row>20</xdr:row>
      <xdr:rowOff>0</xdr:rowOff>
    </xdr:to>
    <xdr:sp macro="" textlink="">
      <xdr:nvSpPr>
        <xdr:cNvPr id="54" name="大かっこ 53">
          <a:extLst>
            <a:ext uri="{FF2B5EF4-FFF2-40B4-BE49-F238E27FC236}">
              <a16:creationId xmlns:a16="http://schemas.microsoft.com/office/drawing/2014/main" id="{A7376AF5-6B9A-405A-809B-26A18221AFEB}"/>
            </a:ext>
          </a:extLst>
        </xdr:cNvPr>
        <xdr:cNvSpPr/>
      </xdr:nvSpPr>
      <xdr:spPr>
        <a:xfrm>
          <a:off x="4425950" y="3549650"/>
          <a:ext cx="62865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0</xdr:colOff>
      <xdr:row>18</xdr:row>
      <xdr:rowOff>0</xdr:rowOff>
    </xdr:from>
    <xdr:to>
      <xdr:col>38</xdr:col>
      <xdr:colOff>0</xdr:colOff>
      <xdr:row>20</xdr:row>
      <xdr:rowOff>0</xdr:rowOff>
    </xdr:to>
    <xdr:sp macro="" textlink="">
      <xdr:nvSpPr>
        <xdr:cNvPr id="55" name="大かっこ 54">
          <a:extLst>
            <a:ext uri="{FF2B5EF4-FFF2-40B4-BE49-F238E27FC236}">
              <a16:creationId xmlns:a16="http://schemas.microsoft.com/office/drawing/2014/main" id="{666FB0EB-F3DA-4072-9237-710814B71452}"/>
            </a:ext>
          </a:extLst>
        </xdr:cNvPr>
        <xdr:cNvSpPr/>
      </xdr:nvSpPr>
      <xdr:spPr>
        <a:xfrm>
          <a:off x="4425950" y="3549650"/>
          <a:ext cx="62865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0</xdr:colOff>
      <xdr:row>18</xdr:row>
      <xdr:rowOff>0</xdr:rowOff>
    </xdr:from>
    <xdr:to>
      <xdr:col>38</xdr:col>
      <xdr:colOff>0</xdr:colOff>
      <xdr:row>20</xdr:row>
      <xdr:rowOff>0</xdr:rowOff>
    </xdr:to>
    <xdr:sp macro="" textlink="">
      <xdr:nvSpPr>
        <xdr:cNvPr id="56" name="大かっこ 55">
          <a:extLst>
            <a:ext uri="{FF2B5EF4-FFF2-40B4-BE49-F238E27FC236}">
              <a16:creationId xmlns:a16="http://schemas.microsoft.com/office/drawing/2014/main" id="{AF698DF0-A07D-426D-9F70-5AAEE312FB17}"/>
            </a:ext>
          </a:extLst>
        </xdr:cNvPr>
        <xdr:cNvSpPr/>
      </xdr:nvSpPr>
      <xdr:spPr>
        <a:xfrm>
          <a:off x="4425950" y="3549650"/>
          <a:ext cx="62865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0</xdr:colOff>
      <xdr:row>18</xdr:row>
      <xdr:rowOff>0</xdr:rowOff>
    </xdr:from>
    <xdr:to>
      <xdr:col>38</xdr:col>
      <xdr:colOff>0</xdr:colOff>
      <xdr:row>20</xdr:row>
      <xdr:rowOff>0</xdr:rowOff>
    </xdr:to>
    <xdr:sp macro="" textlink="">
      <xdr:nvSpPr>
        <xdr:cNvPr id="57" name="大かっこ 56">
          <a:extLst>
            <a:ext uri="{FF2B5EF4-FFF2-40B4-BE49-F238E27FC236}">
              <a16:creationId xmlns:a16="http://schemas.microsoft.com/office/drawing/2014/main" id="{02529CEE-C651-4DE5-AFBB-2FFF03AD94FC}"/>
            </a:ext>
          </a:extLst>
        </xdr:cNvPr>
        <xdr:cNvSpPr/>
      </xdr:nvSpPr>
      <xdr:spPr>
        <a:xfrm>
          <a:off x="4425950" y="3549650"/>
          <a:ext cx="62865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47</xdr:col>
      <xdr:colOff>0</xdr:colOff>
      <xdr:row>10</xdr:row>
      <xdr:rowOff>0</xdr:rowOff>
    </xdr:from>
    <xdr:to>
      <xdr:col>52</xdr:col>
      <xdr:colOff>0</xdr:colOff>
      <xdr:row>12</xdr:row>
      <xdr:rowOff>0</xdr:rowOff>
    </xdr:to>
    <xdr:sp macro="" textlink="">
      <xdr:nvSpPr>
        <xdr:cNvPr id="60" name="大かっこ 59">
          <a:extLst>
            <a:ext uri="{FF2B5EF4-FFF2-40B4-BE49-F238E27FC236}">
              <a16:creationId xmlns:a16="http://schemas.microsoft.com/office/drawing/2014/main" id="{4F630DA8-D591-4EF7-B6F2-C4EADA14CA06}"/>
            </a:ext>
          </a:extLst>
        </xdr:cNvPr>
        <xdr:cNvSpPr/>
      </xdr:nvSpPr>
      <xdr:spPr>
        <a:xfrm>
          <a:off x="5143500" y="2762250"/>
          <a:ext cx="62865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47</xdr:col>
      <xdr:colOff>0</xdr:colOff>
      <xdr:row>10</xdr:row>
      <xdr:rowOff>0</xdr:rowOff>
    </xdr:from>
    <xdr:to>
      <xdr:col>52</xdr:col>
      <xdr:colOff>0</xdr:colOff>
      <xdr:row>12</xdr:row>
      <xdr:rowOff>0</xdr:rowOff>
    </xdr:to>
    <xdr:sp macro="" textlink="">
      <xdr:nvSpPr>
        <xdr:cNvPr id="61" name="大かっこ 60">
          <a:extLst>
            <a:ext uri="{FF2B5EF4-FFF2-40B4-BE49-F238E27FC236}">
              <a16:creationId xmlns:a16="http://schemas.microsoft.com/office/drawing/2014/main" id="{BBD13F49-E511-4F38-81EE-2C950A4114E8}"/>
            </a:ext>
          </a:extLst>
        </xdr:cNvPr>
        <xdr:cNvSpPr/>
      </xdr:nvSpPr>
      <xdr:spPr>
        <a:xfrm>
          <a:off x="5143500" y="2762250"/>
          <a:ext cx="62865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47</xdr:col>
      <xdr:colOff>0</xdr:colOff>
      <xdr:row>10</xdr:row>
      <xdr:rowOff>0</xdr:rowOff>
    </xdr:from>
    <xdr:to>
      <xdr:col>52</xdr:col>
      <xdr:colOff>0</xdr:colOff>
      <xdr:row>12</xdr:row>
      <xdr:rowOff>0</xdr:rowOff>
    </xdr:to>
    <xdr:sp macro="" textlink="">
      <xdr:nvSpPr>
        <xdr:cNvPr id="62" name="大かっこ 61">
          <a:extLst>
            <a:ext uri="{FF2B5EF4-FFF2-40B4-BE49-F238E27FC236}">
              <a16:creationId xmlns:a16="http://schemas.microsoft.com/office/drawing/2014/main" id="{CC237AD4-4D92-4607-AEE7-8505655DAF26}"/>
            </a:ext>
          </a:extLst>
        </xdr:cNvPr>
        <xdr:cNvSpPr/>
      </xdr:nvSpPr>
      <xdr:spPr>
        <a:xfrm>
          <a:off x="5143500" y="2762250"/>
          <a:ext cx="62865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47</xdr:col>
      <xdr:colOff>0</xdr:colOff>
      <xdr:row>10</xdr:row>
      <xdr:rowOff>0</xdr:rowOff>
    </xdr:from>
    <xdr:to>
      <xdr:col>52</xdr:col>
      <xdr:colOff>0</xdr:colOff>
      <xdr:row>12</xdr:row>
      <xdr:rowOff>0</xdr:rowOff>
    </xdr:to>
    <xdr:sp macro="" textlink="">
      <xdr:nvSpPr>
        <xdr:cNvPr id="63" name="大かっこ 62">
          <a:extLst>
            <a:ext uri="{FF2B5EF4-FFF2-40B4-BE49-F238E27FC236}">
              <a16:creationId xmlns:a16="http://schemas.microsoft.com/office/drawing/2014/main" id="{709078AE-0C1B-41AD-827F-6AAF35DEE430}"/>
            </a:ext>
          </a:extLst>
        </xdr:cNvPr>
        <xdr:cNvSpPr/>
      </xdr:nvSpPr>
      <xdr:spPr>
        <a:xfrm>
          <a:off x="5143500" y="2762250"/>
          <a:ext cx="62865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16</xdr:col>
          <xdr:colOff>42333</xdr:colOff>
          <xdr:row>29</xdr:row>
          <xdr:rowOff>0</xdr:rowOff>
        </xdr:from>
        <xdr:to>
          <xdr:col>41</xdr:col>
          <xdr:colOff>0</xdr:colOff>
          <xdr:row>51</xdr:row>
          <xdr:rowOff>0</xdr:rowOff>
        </xdr:to>
        <xdr:pic>
          <xdr:nvPicPr>
            <xdr:cNvPr id="21" name="図 20">
              <a:extLst>
                <a:ext uri="{FF2B5EF4-FFF2-40B4-BE49-F238E27FC236}">
                  <a16:creationId xmlns:a16="http://schemas.microsoft.com/office/drawing/2014/main" id="{895B3BD8-88F1-BF87-C647-14A9943ACF47}"/>
                </a:ext>
              </a:extLst>
            </xdr:cNvPr>
            <xdr:cNvPicPr>
              <a:picLocks noChangeAspect="1" noChangeArrowheads="1"/>
              <a:extLst>
                <a:ext uri="{84589F7E-364E-4C9E-8A38-B11213B215E9}">
                  <a14:cameraTool cellRange="$BU$30:$CO$51" spid="_x0000_s40325"/>
                </a:ext>
              </a:extLst>
            </xdr:cNvPicPr>
          </xdr:nvPicPr>
          <xdr:blipFill>
            <a:blip xmlns:r="http://schemas.openxmlformats.org/officeDocument/2006/relationships" r:embed="rId1"/>
            <a:srcRect/>
            <a:stretch>
              <a:fillRect/>
            </a:stretch>
          </xdr:blipFill>
          <xdr:spPr bwMode="auto">
            <a:xfrm>
              <a:off x="1979083" y="6350000"/>
              <a:ext cx="3778250" cy="59372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29</xdr:row>
          <xdr:rowOff>0</xdr:rowOff>
        </xdr:from>
        <xdr:to>
          <xdr:col>41</xdr:col>
          <xdr:colOff>0</xdr:colOff>
          <xdr:row>51</xdr:row>
          <xdr:rowOff>0</xdr:rowOff>
        </xdr:to>
        <xdr:pic>
          <xdr:nvPicPr>
            <xdr:cNvPr id="40311" name="図 20">
              <a:extLst>
                <a:ext uri="{FF2B5EF4-FFF2-40B4-BE49-F238E27FC236}">
                  <a16:creationId xmlns:a16="http://schemas.microsoft.com/office/drawing/2014/main" id="{89814DD9-A353-3491-04B0-E241F7CA49F8}"/>
                </a:ext>
              </a:extLst>
            </xdr:cNvPr>
            <xdr:cNvPicPr>
              <a:picLocks noChangeAspect="1" noChangeArrowheads="1"/>
              <a:extLst>
                <a:ext uri="{84589F7E-364E-4C9E-8A38-B11213B215E9}">
                  <a14:cameraTool cellRange="$BU$30:$CO$51" spid="_x0000_s40326"/>
                </a:ext>
              </a:extLst>
            </xdr:cNvPicPr>
          </xdr:nvPicPr>
          <xdr:blipFill>
            <a:blip xmlns:r="http://schemas.openxmlformats.org/officeDocument/2006/relationships" r:embed="rId2"/>
            <a:srcRect/>
            <a:stretch>
              <a:fillRect/>
            </a:stretch>
          </xdr:blipFill>
          <xdr:spPr bwMode="auto">
            <a:xfrm>
              <a:off x="1933575" y="6334125"/>
              <a:ext cx="3714750" cy="59436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29</xdr:row>
          <xdr:rowOff>0</xdr:rowOff>
        </xdr:from>
        <xdr:to>
          <xdr:col>49</xdr:col>
          <xdr:colOff>226219</xdr:colOff>
          <xdr:row>51</xdr:row>
          <xdr:rowOff>0</xdr:rowOff>
        </xdr:to>
        <xdr:pic>
          <xdr:nvPicPr>
            <xdr:cNvPr id="7" name="図 6">
              <a:extLst>
                <a:ext uri="{FF2B5EF4-FFF2-40B4-BE49-F238E27FC236}">
                  <a16:creationId xmlns:a16="http://schemas.microsoft.com/office/drawing/2014/main" id="{1573FF71-FCED-F6FE-3732-7A6F0B2383CE}"/>
                </a:ext>
              </a:extLst>
            </xdr:cNvPr>
            <xdr:cNvPicPr>
              <a:picLocks noChangeAspect="1" noChangeArrowheads="1"/>
              <a:extLst>
                <a:ext uri="{84589F7E-364E-4C9E-8A38-B11213B215E9}">
                  <a14:cameraTool cellRange="$BM$30:$CT$51" spid="_x0000_s72121"/>
                </a:ext>
              </a:extLst>
            </xdr:cNvPicPr>
          </xdr:nvPicPr>
          <xdr:blipFill>
            <a:blip xmlns:r="http://schemas.openxmlformats.org/officeDocument/2006/relationships" r:embed="rId1"/>
            <a:srcRect/>
            <a:stretch>
              <a:fillRect/>
            </a:stretch>
          </xdr:blipFill>
          <xdr:spPr bwMode="auto">
            <a:xfrm>
              <a:off x="654844" y="6334125"/>
              <a:ext cx="6584156" cy="5905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0</xdr:rowOff>
        </xdr:from>
        <xdr:to>
          <xdr:col>49</xdr:col>
          <xdr:colOff>226219</xdr:colOff>
          <xdr:row>51</xdr:row>
          <xdr:rowOff>0</xdr:rowOff>
        </xdr:to>
        <xdr:pic>
          <xdr:nvPicPr>
            <xdr:cNvPr id="5425" name="図 6">
              <a:extLst>
                <a:ext uri="{FF2B5EF4-FFF2-40B4-BE49-F238E27FC236}">
                  <a16:creationId xmlns:a16="http://schemas.microsoft.com/office/drawing/2014/main" id="{40F97FAF-4AEE-8810-6106-866800A54329}"/>
                </a:ext>
              </a:extLst>
            </xdr:cNvPr>
            <xdr:cNvPicPr>
              <a:picLocks noChangeAspect="1" noChangeArrowheads="1"/>
              <a:extLst>
                <a:ext uri="{84589F7E-364E-4C9E-8A38-B11213B215E9}">
                  <a14:cameraTool cellRange="$BM$30:$CT$51" spid="_x0000_s72122"/>
                </a:ext>
              </a:extLst>
            </xdr:cNvPicPr>
          </xdr:nvPicPr>
          <xdr:blipFill>
            <a:blip xmlns:r="http://schemas.openxmlformats.org/officeDocument/2006/relationships" r:embed="rId2"/>
            <a:srcRect/>
            <a:stretch>
              <a:fillRect/>
            </a:stretch>
          </xdr:blipFill>
          <xdr:spPr bwMode="auto">
            <a:xfrm>
              <a:off x="654844" y="6334125"/>
              <a:ext cx="6584156" cy="59055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66</xdr:col>
      <xdr:colOff>85725</xdr:colOff>
      <xdr:row>44</xdr:row>
      <xdr:rowOff>9525</xdr:rowOff>
    </xdr:from>
    <xdr:to>
      <xdr:col>71</xdr:col>
      <xdr:colOff>91319</xdr:colOff>
      <xdr:row>45</xdr:row>
      <xdr:rowOff>159026</xdr:rowOff>
    </xdr:to>
    <xdr:sp macro="" textlink="">
      <xdr:nvSpPr>
        <xdr:cNvPr id="2" name="大かっこ 82">
          <a:extLst>
            <a:ext uri="{FF2B5EF4-FFF2-40B4-BE49-F238E27FC236}">
              <a16:creationId xmlns:a16="http://schemas.microsoft.com/office/drawing/2014/main" id="{CD96E95F-2AD0-493A-9894-C6CFEAEFC424}"/>
            </a:ext>
          </a:extLst>
        </xdr:cNvPr>
        <xdr:cNvSpPr/>
      </xdr:nvSpPr>
      <xdr:spPr>
        <a:xfrm>
          <a:off x="11268075" y="8858250"/>
          <a:ext cx="910469" cy="3400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78</xdr:col>
      <xdr:colOff>76200</xdr:colOff>
      <xdr:row>44</xdr:row>
      <xdr:rowOff>19050</xdr:rowOff>
    </xdr:from>
    <xdr:to>
      <xdr:col>83</xdr:col>
      <xdr:colOff>81794</xdr:colOff>
      <xdr:row>45</xdr:row>
      <xdr:rowOff>168551</xdr:rowOff>
    </xdr:to>
    <xdr:sp macro="" textlink="">
      <xdr:nvSpPr>
        <xdr:cNvPr id="3" name="大かっこ 82">
          <a:extLst>
            <a:ext uri="{FF2B5EF4-FFF2-40B4-BE49-F238E27FC236}">
              <a16:creationId xmlns:a16="http://schemas.microsoft.com/office/drawing/2014/main" id="{2EDEB2E3-63BE-4052-BD04-FF9628D84C12}"/>
            </a:ext>
          </a:extLst>
        </xdr:cNvPr>
        <xdr:cNvSpPr/>
      </xdr:nvSpPr>
      <xdr:spPr>
        <a:xfrm>
          <a:off x="13430250" y="8867775"/>
          <a:ext cx="910469" cy="3400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72</xdr:col>
      <xdr:colOff>95250</xdr:colOff>
      <xdr:row>36</xdr:row>
      <xdr:rowOff>28575</xdr:rowOff>
    </xdr:from>
    <xdr:to>
      <xdr:col>77</xdr:col>
      <xdr:colOff>100844</xdr:colOff>
      <xdr:row>38</xdr:row>
      <xdr:rowOff>16151</xdr:rowOff>
    </xdr:to>
    <xdr:sp macro="" textlink="">
      <xdr:nvSpPr>
        <xdr:cNvPr id="4" name="大かっこ 82">
          <a:extLst>
            <a:ext uri="{FF2B5EF4-FFF2-40B4-BE49-F238E27FC236}">
              <a16:creationId xmlns:a16="http://schemas.microsoft.com/office/drawing/2014/main" id="{4E9BEF53-D882-471F-9FE3-1A6BD5844280}"/>
            </a:ext>
          </a:extLst>
        </xdr:cNvPr>
        <xdr:cNvSpPr/>
      </xdr:nvSpPr>
      <xdr:spPr>
        <a:xfrm>
          <a:off x="12363450" y="7705725"/>
          <a:ext cx="910469" cy="3400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29</xdr:row>
          <xdr:rowOff>0</xdr:rowOff>
        </xdr:from>
        <xdr:to>
          <xdr:col>49</xdr:col>
          <xdr:colOff>228600</xdr:colOff>
          <xdr:row>51</xdr:row>
          <xdr:rowOff>0</xdr:rowOff>
        </xdr:to>
        <xdr:pic>
          <xdr:nvPicPr>
            <xdr:cNvPr id="72049" name="図 6">
              <a:extLst>
                <a:ext uri="{FF2B5EF4-FFF2-40B4-BE49-F238E27FC236}">
                  <a16:creationId xmlns:a16="http://schemas.microsoft.com/office/drawing/2014/main" id="{61D6D0FB-C71A-C1A1-32DC-7E4BCB707821}"/>
                </a:ext>
              </a:extLst>
            </xdr:cNvPr>
            <xdr:cNvPicPr>
              <a:picLocks noChangeAspect="1" noChangeArrowheads="1"/>
              <a:extLst>
                <a:ext uri="{84589F7E-364E-4C9E-8A38-B11213B215E9}">
                  <a14:cameraTool cellRange="$BM$30:$CT$51" spid="_x0000_s72123"/>
                </a:ext>
              </a:extLst>
            </xdr:cNvPicPr>
          </xdr:nvPicPr>
          <xdr:blipFill>
            <a:blip xmlns:r="http://schemas.openxmlformats.org/officeDocument/2006/relationships" r:embed="rId1"/>
            <a:srcRect/>
            <a:stretch>
              <a:fillRect/>
            </a:stretch>
          </xdr:blipFill>
          <xdr:spPr bwMode="auto">
            <a:xfrm>
              <a:off x="657225" y="6334125"/>
              <a:ext cx="6610350" cy="59436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0</xdr:rowOff>
        </xdr:from>
        <xdr:to>
          <xdr:col>49</xdr:col>
          <xdr:colOff>228600</xdr:colOff>
          <xdr:row>51</xdr:row>
          <xdr:rowOff>0</xdr:rowOff>
        </xdr:to>
        <xdr:pic>
          <xdr:nvPicPr>
            <xdr:cNvPr id="72050" name="Picture 1394">
              <a:extLst>
                <a:ext uri="{FF2B5EF4-FFF2-40B4-BE49-F238E27FC236}">
                  <a16:creationId xmlns:a16="http://schemas.microsoft.com/office/drawing/2014/main" id="{E55C8668-C992-7B8B-529F-7BED7128516D}"/>
                </a:ext>
              </a:extLst>
            </xdr:cNvPr>
            <xdr:cNvPicPr>
              <a:picLocks noChangeAspect="1" noChangeArrowheads="1"/>
              <a:extLst>
                <a:ext uri="{84589F7E-364E-4C9E-8A38-B11213B215E9}">
                  <a14:cameraTool cellRange="$BM$30:$CT$51" spid="_x0000_s72124"/>
                </a:ext>
              </a:extLst>
            </xdr:cNvPicPr>
          </xdr:nvPicPr>
          <xdr:blipFill>
            <a:blip xmlns:r="http://schemas.openxmlformats.org/officeDocument/2006/relationships" r:embed="rId2"/>
            <a:srcRect/>
            <a:stretch>
              <a:fillRect/>
            </a:stretch>
          </xdr:blipFill>
          <xdr:spPr bwMode="auto">
            <a:xfrm>
              <a:off x="657225" y="6334125"/>
              <a:ext cx="6610350" cy="59436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25950</xdr:colOff>
      <xdr:row>57</xdr:row>
      <xdr:rowOff>12700</xdr:rowOff>
    </xdr:from>
    <xdr:to>
      <xdr:col>14</xdr:col>
      <xdr:colOff>50800</xdr:colOff>
      <xdr:row>59</xdr:row>
      <xdr:rowOff>0</xdr:rowOff>
    </xdr:to>
    <xdr:sp macro="" textlink="">
      <xdr:nvSpPr>
        <xdr:cNvPr id="3" name="大かっこ 2">
          <a:extLst>
            <a:ext uri="{FF2B5EF4-FFF2-40B4-BE49-F238E27FC236}">
              <a16:creationId xmlns:a16="http://schemas.microsoft.com/office/drawing/2014/main" id="{FA38EEDE-2E8A-40E4-9602-F7A8AA686A29}"/>
            </a:ext>
          </a:extLst>
        </xdr:cNvPr>
        <xdr:cNvSpPr/>
      </xdr:nvSpPr>
      <xdr:spPr>
        <a:xfrm>
          <a:off x="1156250" y="8712200"/>
          <a:ext cx="40585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140</xdr:col>
      <xdr:colOff>0</xdr:colOff>
      <xdr:row>47</xdr:row>
      <xdr:rowOff>0</xdr:rowOff>
    </xdr:from>
    <xdr:to>
      <xdr:col>146</xdr:col>
      <xdr:colOff>0</xdr:colOff>
      <xdr:row>49</xdr:row>
      <xdr:rowOff>1</xdr:rowOff>
    </xdr:to>
    <xdr:sp macro="" textlink="">
      <xdr:nvSpPr>
        <xdr:cNvPr id="12" name="大かっこ 11">
          <a:extLst>
            <a:ext uri="{FF2B5EF4-FFF2-40B4-BE49-F238E27FC236}">
              <a16:creationId xmlns:a16="http://schemas.microsoft.com/office/drawing/2014/main" id="{AD7B7B30-0312-4A90-BEE4-BEC3F2AFDF39}"/>
            </a:ext>
          </a:extLst>
        </xdr:cNvPr>
        <xdr:cNvSpPr/>
      </xdr:nvSpPr>
      <xdr:spPr>
        <a:xfrm>
          <a:off x="11112500" y="7239000"/>
          <a:ext cx="457200" cy="3556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104</xdr:col>
      <xdr:colOff>0</xdr:colOff>
      <xdr:row>47</xdr:row>
      <xdr:rowOff>0</xdr:rowOff>
    </xdr:from>
    <xdr:to>
      <xdr:col>110</xdr:col>
      <xdr:colOff>0</xdr:colOff>
      <xdr:row>49</xdr:row>
      <xdr:rowOff>1</xdr:rowOff>
    </xdr:to>
    <xdr:sp macro="" textlink="">
      <xdr:nvSpPr>
        <xdr:cNvPr id="14" name="大かっこ 13">
          <a:extLst>
            <a:ext uri="{FF2B5EF4-FFF2-40B4-BE49-F238E27FC236}">
              <a16:creationId xmlns:a16="http://schemas.microsoft.com/office/drawing/2014/main" id="{AB94B3DB-C895-4489-80E5-8A225E189E04}"/>
            </a:ext>
          </a:extLst>
        </xdr:cNvPr>
        <xdr:cNvSpPr/>
      </xdr:nvSpPr>
      <xdr:spPr>
        <a:xfrm>
          <a:off x="8369300" y="7239000"/>
          <a:ext cx="457200" cy="3556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81</xdr:col>
      <xdr:colOff>74543</xdr:colOff>
      <xdr:row>47</xdr:row>
      <xdr:rowOff>0</xdr:rowOff>
    </xdr:from>
    <xdr:to>
      <xdr:col>88</xdr:col>
      <xdr:colOff>0</xdr:colOff>
      <xdr:row>49</xdr:row>
      <xdr:rowOff>1</xdr:rowOff>
    </xdr:to>
    <xdr:sp macro="" textlink="">
      <xdr:nvSpPr>
        <xdr:cNvPr id="15" name="大かっこ 14">
          <a:extLst>
            <a:ext uri="{FF2B5EF4-FFF2-40B4-BE49-F238E27FC236}">
              <a16:creationId xmlns:a16="http://schemas.microsoft.com/office/drawing/2014/main" id="{C11F05A1-42E4-48D3-B810-08034592794F}"/>
            </a:ext>
          </a:extLst>
        </xdr:cNvPr>
        <xdr:cNvSpPr/>
      </xdr:nvSpPr>
      <xdr:spPr>
        <a:xfrm>
          <a:off x="6691243" y="7239000"/>
          <a:ext cx="458857" cy="3556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68</xdr:col>
      <xdr:colOff>0</xdr:colOff>
      <xdr:row>47</xdr:row>
      <xdr:rowOff>0</xdr:rowOff>
    </xdr:from>
    <xdr:to>
      <xdr:col>74</xdr:col>
      <xdr:colOff>0</xdr:colOff>
      <xdr:row>49</xdr:row>
      <xdr:rowOff>1</xdr:rowOff>
    </xdr:to>
    <xdr:sp macro="" textlink="">
      <xdr:nvSpPr>
        <xdr:cNvPr id="16" name="大かっこ 15">
          <a:extLst>
            <a:ext uri="{FF2B5EF4-FFF2-40B4-BE49-F238E27FC236}">
              <a16:creationId xmlns:a16="http://schemas.microsoft.com/office/drawing/2014/main" id="{D2CF5E70-436A-4186-A635-7A2C1E75C225}"/>
            </a:ext>
          </a:extLst>
        </xdr:cNvPr>
        <xdr:cNvSpPr/>
      </xdr:nvSpPr>
      <xdr:spPr>
        <a:xfrm>
          <a:off x="5626100" y="7239000"/>
          <a:ext cx="457200" cy="3556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46</xdr:col>
      <xdr:colOff>0</xdr:colOff>
      <xdr:row>47</xdr:row>
      <xdr:rowOff>0</xdr:rowOff>
    </xdr:from>
    <xdr:to>
      <xdr:col>52</xdr:col>
      <xdr:colOff>0</xdr:colOff>
      <xdr:row>49</xdr:row>
      <xdr:rowOff>1</xdr:rowOff>
    </xdr:to>
    <xdr:sp macro="" textlink="">
      <xdr:nvSpPr>
        <xdr:cNvPr id="17" name="大かっこ 16">
          <a:extLst>
            <a:ext uri="{FF2B5EF4-FFF2-40B4-BE49-F238E27FC236}">
              <a16:creationId xmlns:a16="http://schemas.microsoft.com/office/drawing/2014/main" id="{326CE515-1D67-4BA6-8D39-344C4F16F9E4}"/>
            </a:ext>
          </a:extLst>
        </xdr:cNvPr>
        <xdr:cNvSpPr/>
      </xdr:nvSpPr>
      <xdr:spPr>
        <a:xfrm>
          <a:off x="3949700" y="7239000"/>
          <a:ext cx="457200" cy="3556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27</xdr:col>
      <xdr:colOff>0</xdr:colOff>
      <xdr:row>47</xdr:row>
      <xdr:rowOff>0</xdr:rowOff>
    </xdr:from>
    <xdr:to>
      <xdr:col>33</xdr:col>
      <xdr:colOff>0</xdr:colOff>
      <xdr:row>49</xdr:row>
      <xdr:rowOff>1</xdr:rowOff>
    </xdr:to>
    <xdr:sp macro="" textlink="">
      <xdr:nvSpPr>
        <xdr:cNvPr id="18" name="大かっこ 17">
          <a:extLst>
            <a:ext uri="{FF2B5EF4-FFF2-40B4-BE49-F238E27FC236}">
              <a16:creationId xmlns:a16="http://schemas.microsoft.com/office/drawing/2014/main" id="{F72C3138-6AF4-4F67-A2D2-DD712CD9372D}"/>
            </a:ext>
          </a:extLst>
        </xdr:cNvPr>
        <xdr:cNvSpPr/>
      </xdr:nvSpPr>
      <xdr:spPr>
        <a:xfrm>
          <a:off x="2501900" y="7239000"/>
          <a:ext cx="457200" cy="3556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xdr:col>
      <xdr:colOff>0</xdr:colOff>
      <xdr:row>47</xdr:row>
      <xdr:rowOff>0</xdr:rowOff>
    </xdr:from>
    <xdr:to>
      <xdr:col>10</xdr:col>
      <xdr:colOff>0</xdr:colOff>
      <xdr:row>49</xdr:row>
      <xdr:rowOff>1</xdr:rowOff>
    </xdr:to>
    <xdr:sp macro="" textlink="">
      <xdr:nvSpPr>
        <xdr:cNvPr id="19" name="大かっこ 18">
          <a:extLst>
            <a:ext uri="{FF2B5EF4-FFF2-40B4-BE49-F238E27FC236}">
              <a16:creationId xmlns:a16="http://schemas.microsoft.com/office/drawing/2014/main" id="{FC8111F1-77A5-41AA-9980-E289D67128E4}"/>
            </a:ext>
          </a:extLst>
        </xdr:cNvPr>
        <xdr:cNvSpPr/>
      </xdr:nvSpPr>
      <xdr:spPr>
        <a:xfrm>
          <a:off x="749300" y="7239000"/>
          <a:ext cx="457200" cy="3556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15</xdr:col>
      <xdr:colOff>0</xdr:colOff>
      <xdr:row>37</xdr:row>
      <xdr:rowOff>0</xdr:rowOff>
    </xdr:from>
    <xdr:to>
      <xdr:col>21</xdr:col>
      <xdr:colOff>0</xdr:colOff>
      <xdr:row>39</xdr:row>
      <xdr:rowOff>1</xdr:rowOff>
    </xdr:to>
    <xdr:sp macro="" textlink="">
      <xdr:nvSpPr>
        <xdr:cNvPr id="20" name="大かっこ 19">
          <a:extLst>
            <a:ext uri="{FF2B5EF4-FFF2-40B4-BE49-F238E27FC236}">
              <a16:creationId xmlns:a16="http://schemas.microsoft.com/office/drawing/2014/main" id="{B38E0634-5CB0-48CE-8AB0-8E8F45BB239E}"/>
            </a:ext>
          </a:extLst>
        </xdr:cNvPr>
        <xdr:cNvSpPr/>
      </xdr:nvSpPr>
      <xdr:spPr>
        <a:xfrm>
          <a:off x="1587500" y="5765800"/>
          <a:ext cx="457200" cy="3556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56</xdr:col>
      <xdr:colOff>74543</xdr:colOff>
      <xdr:row>37</xdr:row>
      <xdr:rowOff>0</xdr:rowOff>
    </xdr:from>
    <xdr:to>
      <xdr:col>63</xdr:col>
      <xdr:colOff>0</xdr:colOff>
      <xdr:row>39</xdr:row>
      <xdr:rowOff>1</xdr:rowOff>
    </xdr:to>
    <xdr:sp macro="" textlink="">
      <xdr:nvSpPr>
        <xdr:cNvPr id="21" name="大かっこ 20">
          <a:extLst>
            <a:ext uri="{FF2B5EF4-FFF2-40B4-BE49-F238E27FC236}">
              <a16:creationId xmlns:a16="http://schemas.microsoft.com/office/drawing/2014/main" id="{B8321AEB-C4D8-48ED-B830-0D98D53D8D27}"/>
            </a:ext>
          </a:extLst>
        </xdr:cNvPr>
        <xdr:cNvSpPr/>
      </xdr:nvSpPr>
      <xdr:spPr>
        <a:xfrm>
          <a:off x="4786243" y="5765800"/>
          <a:ext cx="458857" cy="3556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93</xdr:col>
      <xdr:colOff>0</xdr:colOff>
      <xdr:row>37</xdr:row>
      <xdr:rowOff>0</xdr:rowOff>
    </xdr:from>
    <xdr:to>
      <xdr:col>99</xdr:col>
      <xdr:colOff>0</xdr:colOff>
      <xdr:row>39</xdr:row>
      <xdr:rowOff>1</xdr:rowOff>
    </xdr:to>
    <xdr:sp macro="" textlink="">
      <xdr:nvSpPr>
        <xdr:cNvPr id="22" name="大かっこ 21">
          <a:extLst>
            <a:ext uri="{FF2B5EF4-FFF2-40B4-BE49-F238E27FC236}">
              <a16:creationId xmlns:a16="http://schemas.microsoft.com/office/drawing/2014/main" id="{DF297575-7D07-44AE-9104-4C573F4A9B13}"/>
            </a:ext>
          </a:extLst>
        </xdr:cNvPr>
        <xdr:cNvSpPr/>
      </xdr:nvSpPr>
      <xdr:spPr>
        <a:xfrm>
          <a:off x="7531100" y="5765800"/>
          <a:ext cx="457200" cy="3556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129</xdr:col>
      <xdr:colOff>0</xdr:colOff>
      <xdr:row>37</xdr:row>
      <xdr:rowOff>0</xdr:rowOff>
    </xdr:from>
    <xdr:to>
      <xdr:col>135</xdr:col>
      <xdr:colOff>0</xdr:colOff>
      <xdr:row>39</xdr:row>
      <xdr:rowOff>1</xdr:rowOff>
    </xdr:to>
    <xdr:sp macro="" textlink="">
      <xdr:nvSpPr>
        <xdr:cNvPr id="23" name="大かっこ 22">
          <a:extLst>
            <a:ext uri="{FF2B5EF4-FFF2-40B4-BE49-F238E27FC236}">
              <a16:creationId xmlns:a16="http://schemas.microsoft.com/office/drawing/2014/main" id="{1389A24E-3BFB-46FD-A77B-6C48E53AF6F3}"/>
            </a:ext>
          </a:extLst>
        </xdr:cNvPr>
        <xdr:cNvSpPr/>
      </xdr:nvSpPr>
      <xdr:spPr>
        <a:xfrm>
          <a:off x="10274300" y="5765800"/>
          <a:ext cx="457200" cy="3556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36</xdr:col>
      <xdr:colOff>0</xdr:colOff>
      <xdr:row>27</xdr:row>
      <xdr:rowOff>0</xdr:rowOff>
    </xdr:from>
    <xdr:to>
      <xdr:col>42</xdr:col>
      <xdr:colOff>1657</xdr:colOff>
      <xdr:row>29</xdr:row>
      <xdr:rowOff>1</xdr:rowOff>
    </xdr:to>
    <xdr:sp macro="" textlink="">
      <xdr:nvSpPr>
        <xdr:cNvPr id="25" name="大かっこ 24">
          <a:extLst>
            <a:ext uri="{FF2B5EF4-FFF2-40B4-BE49-F238E27FC236}">
              <a16:creationId xmlns:a16="http://schemas.microsoft.com/office/drawing/2014/main" id="{E1A58BE2-D350-41B8-9977-F843B71F9AB0}"/>
            </a:ext>
          </a:extLst>
        </xdr:cNvPr>
        <xdr:cNvSpPr/>
      </xdr:nvSpPr>
      <xdr:spPr>
        <a:xfrm>
          <a:off x="3187700" y="4292600"/>
          <a:ext cx="458857" cy="3556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75</xdr:col>
      <xdr:colOff>0</xdr:colOff>
      <xdr:row>15</xdr:row>
      <xdr:rowOff>0</xdr:rowOff>
    </xdr:from>
    <xdr:to>
      <xdr:col>81</xdr:col>
      <xdr:colOff>0</xdr:colOff>
      <xdr:row>17</xdr:row>
      <xdr:rowOff>1</xdr:rowOff>
    </xdr:to>
    <xdr:sp macro="" textlink="">
      <xdr:nvSpPr>
        <xdr:cNvPr id="26" name="大かっこ 25">
          <a:extLst>
            <a:ext uri="{FF2B5EF4-FFF2-40B4-BE49-F238E27FC236}">
              <a16:creationId xmlns:a16="http://schemas.microsoft.com/office/drawing/2014/main" id="{13834671-6340-4D51-AB78-DFCBE8A524AC}"/>
            </a:ext>
          </a:extLst>
        </xdr:cNvPr>
        <xdr:cNvSpPr/>
      </xdr:nvSpPr>
      <xdr:spPr>
        <a:xfrm>
          <a:off x="6162675" y="2581275"/>
          <a:ext cx="457200" cy="3429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15</xdr:col>
      <xdr:colOff>0</xdr:colOff>
      <xdr:row>80</xdr:row>
      <xdr:rowOff>0</xdr:rowOff>
    </xdr:from>
    <xdr:to>
      <xdr:col>21</xdr:col>
      <xdr:colOff>0</xdr:colOff>
      <xdr:row>82</xdr:row>
      <xdr:rowOff>0</xdr:rowOff>
    </xdr:to>
    <xdr:sp macro="" textlink="">
      <xdr:nvSpPr>
        <xdr:cNvPr id="27" name="大かっこ 26">
          <a:extLst>
            <a:ext uri="{FF2B5EF4-FFF2-40B4-BE49-F238E27FC236}">
              <a16:creationId xmlns:a16="http://schemas.microsoft.com/office/drawing/2014/main" id="{FB44E95C-3650-4810-8FB8-53855FE8C047}"/>
            </a:ext>
          </a:extLst>
        </xdr:cNvPr>
        <xdr:cNvSpPr/>
      </xdr:nvSpPr>
      <xdr:spPr>
        <a:xfrm>
          <a:off x="1587500" y="12788900"/>
          <a:ext cx="457200" cy="3556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6</xdr:col>
      <xdr:colOff>0</xdr:colOff>
      <xdr:row>90</xdr:row>
      <xdr:rowOff>0</xdr:rowOff>
    </xdr:from>
    <xdr:to>
      <xdr:col>12</xdr:col>
      <xdr:colOff>0</xdr:colOff>
      <xdr:row>92</xdr:row>
      <xdr:rowOff>1</xdr:rowOff>
    </xdr:to>
    <xdr:sp macro="" textlink="">
      <xdr:nvSpPr>
        <xdr:cNvPr id="28" name="大かっこ 27">
          <a:extLst>
            <a:ext uri="{FF2B5EF4-FFF2-40B4-BE49-F238E27FC236}">
              <a16:creationId xmlns:a16="http://schemas.microsoft.com/office/drawing/2014/main" id="{1E752EFE-780E-44F8-A9E6-DC49942D12A0}"/>
            </a:ext>
          </a:extLst>
        </xdr:cNvPr>
        <xdr:cNvSpPr/>
      </xdr:nvSpPr>
      <xdr:spPr>
        <a:xfrm>
          <a:off x="901700" y="14274800"/>
          <a:ext cx="457200" cy="3556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54</xdr:col>
      <xdr:colOff>74543</xdr:colOff>
      <xdr:row>80</xdr:row>
      <xdr:rowOff>0</xdr:rowOff>
    </xdr:from>
    <xdr:to>
      <xdr:col>61</xdr:col>
      <xdr:colOff>0</xdr:colOff>
      <xdr:row>82</xdr:row>
      <xdr:rowOff>0</xdr:rowOff>
    </xdr:to>
    <xdr:sp macro="" textlink="">
      <xdr:nvSpPr>
        <xdr:cNvPr id="29" name="大かっこ 28">
          <a:extLst>
            <a:ext uri="{FF2B5EF4-FFF2-40B4-BE49-F238E27FC236}">
              <a16:creationId xmlns:a16="http://schemas.microsoft.com/office/drawing/2014/main" id="{E772C622-467C-4DFC-9588-C737276FDE97}"/>
            </a:ext>
          </a:extLst>
        </xdr:cNvPr>
        <xdr:cNvSpPr/>
      </xdr:nvSpPr>
      <xdr:spPr>
        <a:xfrm>
          <a:off x="4633843" y="12788900"/>
          <a:ext cx="458857" cy="3556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46</xdr:col>
      <xdr:colOff>0</xdr:colOff>
      <xdr:row>90</xdr:row>
      <xdr:rowOff>0</xdr:rowOff>
    </xdr:from>
    <xdr:to>
      <xdr:col>52</xdr:col>
      <xdr:colOff>1</xdr:colOff>
      <xdr:row>92</xdr:row>
      <xdr:rowOff>1</xdr:rowOff>
    </xdr:to>
    <xdr:sp macro="" textlink="">
      <xdr:nvSpPr>
        <xdr:cNvPr id="30" name="大かっこ 29">
          <a:extLst>
            <a:ext uri="{FF2B5EF4-FFF2-40B4-BE49-F238E27FC236}">
              <a16:creationId xmlns:a16="http://schemas.microsoft.com/office/drawing/2014/main" id="{CF2D7F79-6315-4DA5-976D-D1C50CA9E323}"/>
            </a:ext>
          </a:extLst>
        </xdr:cNvPr>
        <xdr:cNvSpPr/>
      </xdr:nvSpPr>
      <xdr:spPr>
        <a:xfrm>
          <a:off x="3949700" y="14274800"/>
          <a:ext cx="457201" cy="3556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94</xdr:col>
      <xdr:colOff>74543</xdr:colOff>
      <xdr:row>80</xdr:row>
      <xdr:rowOff>0</xdr:rowOff>
    </xdr:from>
    <xdr:to>
      <xdr:col>100</xdr:col>
      <xdr:colOff>74543</xdr:colOff>
      <xdr:row>82</xdr:row>
      <xdr:rowOff>0</xdr:rowOff>
    </xdr:to>
    <xdr:sp macro="" textlink="">
      <xdr:nvSpPr>
        <xdr:cNvPr id="31" name="大かっこ 30">
          <a:extLst>
            <a:ext uri="{FF2B5EF4-FFF2-40B4-BE49-F238E27FC236}">
              <a16:creationId xmlns:a16="http://schemas.microsoft.com/office/drawing/2014/main" id="{13ACD42B-C404-4179-8A51-F2F0A38951A0}"/>
            </a:ext>
          </a:extLst>
        </xdr:cNvPr>
        <xdr:cNvSpPr/>
      </xdr:nvSpPr>
      <xdr:spPr>
        <a:xfrm>
          <a:off x="7681843" y="12788900"/>
          <a:ext cx="457200" cy="3556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86</xdr:col>
      <xdr:colOff>0</xdr:colOff>
      <xdr:row>90</xdr:row>
      <xdr:rowOff>0</xdr:rowOff>
    </xdr:from>
    <xdr:to>
      <xdr:col>92</xdr:col>
      <xdr:colOff>0</xdr:colOff>
      <xdr:row>92</xdr:row>
      <xdr:rowOff>1</xdr:rowOff>
    </xdr:to>
    <xdr:sp macro="" textlink="">
      <xdr:nvSpPr>
        <xdr:cNvPr id="32" name="大かっこ 31">
          <a:extLst>
            <a:ext uri="{FF2B5EF4-FFF2-40B4-BE49-F238E27FC236}">
              <a16:creationId xmlns:a16="http://schemas.microsoft.com/office/drawing/2014/main" id="{D129624D-B4A5-4F73-A771-4141DD69636A}"/>
            </a:ext>
          </a:extLst>
        </xdr:cNvPr>
        <xdr:cNvSpPr/>
      </xdr:nvSpPr>
      <xdr:spPr>
        <a:xfrm>
          <a:off x="6997700" y="14274800"/>
          <a:ext cx="457200" cy="3556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135</xdr:col>
      <xdr:colOff>0</xdr:colOff>
      <xdr:row>80</xdr:row>
      <xdr:rowOff>827</xdr:rowOff>
    </xdr:from>
    <xdr:to>
      <xdr:col>141</xdr:col>
      <xdr:colOff>0</xdr:colOff>
      <xdr:row>82</xdr:row>
      <xdr:rowOff>2484</xdr:rowOff>
    </xdr:to>
    <xdr:sp macro="" textlink="">
      <xdr:nvSpPr>
        <xdr:cNvPr id="33" name="大かっこ 32">
          <a:extLst>
            <a:ext uri="{FF2B5EF4-FFF2-40B4-BE49-F238E27FC236}">
              <a16:creationId xmlns:a16="http://schemas.microsoft.com/office/drawing/2014/main" id="{FC0417E2-7994-49AF-A050-D4C3645177FE}"/>
            </a:ext>
          </a:extLst>
        </xdr:cNvPr>
        <xdr:cNvSpPr/>
      </xdr:nvSpPr>
      <xdr:spPr>
        <a:xfrm>
          <a:off x="10731500" y="12789727"/>
          <a:ext cx="457200" cy="3572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126</xdr:col>
      <xdr:colOff>1</xdr:colOff>
      <xdr:row>90</xdr:row>
      <xdr:rowOff>1948</xdr:rowOff>
    </xdr:from>
    <xdr:to>
      <xdr:col>132</xdr:col>
      <xdr:colOff>1</xdr:colOff>
      <xdr:row>92</xdr:row>
      <xdr:rowOff>0</xdr:rowOff>
    </xdr:to>
    <xdr:sp macro="" textlink="">
      <xdr:nvSpPr>
        <xdr:cNvPr id="34" name="大かっこ 33">
          <a:extLst>
            <a:ext uri="{FF2B5EF4-FFF2-40B4-BE49-F238E27FC236}">
              <a16:creationId xmlns:a16="http://schemas.microsoft.com/office/drawing/2014/main" id="{DB09EAB6-5F45-4363-8BE9-606783AB0399}"/>
            </a:ext>
          </a:extLst>
        </xdr:cNvPr>
        <xdr:cNvSpPr/>
      </xdr:nvSpPr>
      <xdr:spPr>
        <a:xfrm>
          <a:off x="10045701" y="14276748"/>
          <a:ext cx="457200" cy="3536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118</xdr:col>
      <xdr:colOff>0</xdr:colOff>
      <xdr:row>47</xdr:row>
      <xdr:rowOff>0</xdr:rowOff>
    </xdr:from>
    <xdr:to>
      <xdr:col>124</xdr:col>
      <xdr:colOff>0</xdr:colOff>
      <xdr:row>49</xdr:row>
      <xdr:rowOff>1</xdr:rowOff>
    </xdr:to>
    <xdr:sp macro="" textlink="">
      <xdr:nvSpPr>
        <xdr:cNvPr id="38" name="大かっこ 37">
          <a:extLst>
            <a:ext uri="{FF2B5EF4-FFF2-40B4-BE49-F238E27FC236}">
              <a16:creationId xmlns:a16="http://schemas.microsoft.com/office/drawing/2014/main" id="{5F67C030-1D15-4C43-A356-6FFAFD77B453}"/>
            </a:ext>
          </a:extLst>
        </xdr:cNvPr>
        <xdr:cNvSpPr/>
      </xdr:nvSpPr>
      <xdr:spPr>
        <a:xfrm>
          <a:off x="9436100" y="7239000"/>
          <a:ext cx="457200" cy="3556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111</xdr:col>
      <xdr:colOff>0</xdr:colOff>
      <xdr:row>27</xdr:row>
      <xdr:rowOff>0</xdr:rowOff>
    </xdr:from>
    <xdr:to>
      <xdr:col>117</xdr:col>
      <xdr:colOff>1657</xdr:colOff>
      <xdr:row>29</xdr:row>
      <xdr:rowOff>1</xdr:rowOff>
    </xdr:to>
    <xdr:sp macro="" textlink="">
      <xdr:nvSpPr>
        <xdr:cNvPr id="40" name="大かっこ 39">
          <a:extLst>
            <a:ext uri="{FF2B5EF4-FFF2-40B4-BE49-F238E27FC236}">
              <a16:creationId xmlns:a16="http://schemas.microsoft.com/office/drawing/2014/main" id="{66A65517-80E2-4CB7-A257-EB4E79141C54}"/>
            </a:ext>
          </a:extLst>
        </xdr:cNvPr>
        <xdr:cNvSpPr/>
      </xdr:nvSpPr>
      <xdr:spPr>
        <a:xfrm>
          <a:off x="8902700" y="4292600"/>
          <a:ext cx="458857" cy="3556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21</xdr:col>
      <xdr:colOff>25950</xdr:colOff>
      <xdr:row>57</xdr:row>
      <xdr:rowOff>12700</xdr:rowOff>
    </xdr:from>
    <xdr:to>
      <xdr:col>26</xdr:col>
      <xdr:colOff>50800</xdr:colOff>
      <xdr:row>59</xdr:row>
      <xdr:rowOff>12700</xdr:rowOff>
    </xdr:to>
    <xdr:sp macro="" textlink="">
      <xdr:nvSpPr>
        <xdr:cNvPr id="41" name="大かっこ 40">
          <a:extLst>
            <a:ext uri="{FF2B5EF4-FFF2-40B4-BE49-F238E27FC236}">
              <a16:creationId xmlns:a16="http://schemas.microsoft.com/office/drawing/2014/main" id="{D04AE00A-FBCC-4ED1-B81C-5B5F15B35ACA}"/>
            </a:ext>
          </a:extLst>
        </xdr:cNvPr>
        <xdr:cNvSpPr/>
      </xdr:nvSpPr>
      <xdr:spPr>
        <a:xfrm>
          <a:off x="2070650" y="8724900"/>
          <a:ext cx="405850" cy="3556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25950</xdr:colOff>
      <xdr:row>57</xdr:row>
      <xdr:rowOff>12700</xdr:rowOff>
    </xdr:from>
    <xdr:to>
      <xdr:col>38</xdr:col>
      <xdr:colOff>50800</xdr:colOff>
      <xdr:row>59</xdr:row>
      <xdr:rowOff>12700</xdr:rowOff>
    </xdr:to>
    <xdr:sp macro="" textlink="">
      <xdr:nvSpPr>
        <xdr:cNvPr id="42" name="大かっこ 41">
          <a:extLst>
            <a:ext uri="{FF2B5EF4-FFF2-40B4-BE49-F238E27FC236}">
              <a16:creationId xmlns:a16="http://schemas.microsoft.com/office/drawing/2014/main" id="{8B65CE2D-56D7-4EB5-8689-09698E19E656}"/>
            </a:ext>
          </a:extLst>
        </xdr:cNvPr>
        <xdr:cNvSpPr/>
      </xdr:nvSpPr>
      <xdr:spPr>
        <a:xfrm>
          <a:off x="2985050" y="8724900"/>
          <a:ext cx="405850" cy="3556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51</xdr:col>
      <xdr:colOff>25950</xdr:colOff>
      <xdr:row>57</xdr:row>
      <xdr:rowOff>12700</xdr:rowOff>
    </xdr:from>
    <xdr:to>
      <xdr:col>56</xdr:col>
      <xdr:colOff>50800</xdr:colOff>
      <xdr:row>59</xdr:row>
      <xdr:rowOff>12700</xdr:rowOff>
    </xdr:to>
    <xdr:sp macro="" textlink="">
      <xdr:nvSpPr>
        <xdr:cNvPr id="43" name="大かっこ 42">
          <a:extLst>
            <a:ext uri="{FF2B5EF4-FFF2-40B4-BE49-F238E27FC236}">
              <a16:creationId xmlns:a16="http://schemas.microsoft.com/office/drawing/2014/main" id="{794C5947-A43B-44B3-B51B-F6DA4B51215E}"/>
            </a:ext>
          </a:extLst>
        </xdr:cNvPr>
        <xdr:cNvSpPr/>
      </xdr:nvSpPr>
      <xdr:spPr>
        <a:xfrm>
          <a:off x="4356650" y="8724900"/>
          <a:ext cx="405850" cy="3556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63</xdr:col>
      <xdr:colOff>25950</xdr:colOff>
      <xdr:row>57</xdr:row>
      <xdr:rowOff>12700</xdr:rowOff>
    </xdr:from>
    <xdr:to>
      <xdr:col>68</xdr:col>
      <xdr:colOff>50800</xdr:colOff>
      <xdr:row>59</xdr:row>
      <xdr:rowOff>12700</xdr:rowOff>
    </xdr:to>
    <xdr:sp macro="" textlink="">
      <xdr:nvSpPr>
        <xdr:cNvPr id="44" name="大かっこ 43">
          <a:extLst>
            <a:ext uri="{FF2B5EF4-FFF2-40B4-BE49-F238E27FC236}">
              <a16:creationId xmlns:a16="http://schemas.microsoft.com/office/drawing/2014/main" id="{DFCA2F00-BC9F-4905-BA6D-1764D5CEC585}"/>
            </a:ext>
          </a:extLst>
        </xdr:cNvPr>
        <xdr:cNvSpPr/>
      </xdr:nvSpPr>
      <xdr:spPr>
        <a:xfrm>
          <a:off x="5271050" y="8724900"/>
          <a:ext cx="405850" cy="3556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87</xdr:col>
      <xdr:colOff>25950</xdr:colOff>
      <xdr:row>57</xdr:row>
      <xdr:rowOff>12700</xdr:rowOff>
    </xdr:from>
    <xdr:to>
      <xdr:col>92</xdr:col>
      <xdr:colOff>50800</xdr:colOff>
      <xdr:row>59</xdr:row>
      <xdr:rowOff>12700</xdr:rowOff>
    </xdr:to>
    <xdr:sp macro="" textlink="">
      <xdr:nvSpPr>
        <xdr:cNvPr id="45" name="大かっこ 44">
          <a:extLst>
            <a:ext uri="{FF2B5EF4-FFF2-40B4-BE49-F238E27FC236}">
              <a16:creationId xmlns:a16="http://schemas.microsoft.com/office/drawing/2014/main" id="{7D79E68A-760F-450C-A815-607EDAAAF91B}"/>
            </a:ext>
          </a:extLst>
        </xdr:cNvPr>
        <xdr:cNvSpPr/>
      </xdr:nvSpPr>
      <xdr:spPr>
        <a:xfrm>
          <a:off x="7099850" y="8724900"/>
          <a:ext cx="405850" cy="3556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99</xdr:col>
      <xdr:colOff>25950</xdr:colOff>
      <xdr:row>57</xdr:row>
      <xdr:rowOff>12700</xdr:rowOff>
    </xdr:from>
    <xdr:to>
      <xdr:col>104</xdr:col>
      <xdr:colOff>50800</xdr:colOff>
      <xdr:row>59</xdr:row>
      <xdr:rowOff>12700</xdr:rowOff>
    </xdr:to>
    <xdr:sp macro="" textlink="">
      <xdr:nvSpPr>
        <xdr:cNvPr id="46" name="大かっこ 45">
          <a:extLst>
            <a:ext uri="{FF2B5EF4-FFF2-40B4-BE49-F238E27FC236}">
              <a16:creationId xmlns:a16="http://schemas.microsoft.com/office/drawing/2014/main" id="{D1222B9C-2309-47FF-A8CB-F9881EAC0C02}"/>
            </a:ext>
          </a:extLst>
        </xdr:cNvPr>
        <xdr:cNvSpPr/>
      </xdr:nvSpPr>
      <xdr:spPr>
        <a:xfrm>
          <a:off x="8014250" y="8724900"/>
          <a:ext cx="405850" cy="3556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123</xdr:col>
      <xdr:colOff>25950</xdr:colOff>
      <xdr:row>57</xdr:row>
      <xdr:rowOff>12700</xdr:rowOff>
    </xdr:from>
    <xdr:to>
      <xdr:col>128</xdr:col>
      <xdr:colOff>50800</xdr:colOff>
      <xdr:row>59</xdr:row>
      <xdr:rowOff>12700</xdr:rowOff>
    </xdr:to>
    <xdr:sp macro="" textlink="">
      <xdr:nvSpPr>
        <xdr:cNvPr id="47" name="大かっこ 46">
          <a:extLst>
            <a:ext uri="{FF2B5EF4-FFF2-40B4-BE49-F238E27FC236}">
              <a16:creationId xmlns:a16="http://schemas.microsoft.com/office/drawing/2014/main" id="{B971316E-C6B8-4DE5-AC2F-6AD3CC007F15}"/>
            </a:ext>
          </a:extLst>
        </xdr:cNvPr>
        <xdr:cNvSpPr/>
      </xdr:nvSpPr>
      <xdr:spPr>
        <a:xfrm>
          <a:off x="9843050" y="8724900"/>
          <a:ext cx="405850" cy="3556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135</xdr:col>
      <xdr:colOff>25950</xdr:colOff>
      <xdr:row>57</xdr:row>
      <xdr:rowOff>12700</xdr:rowOff>
    </xdr:from>
    <xdr:to>
      <xdr:col>140</xdr:col>
      <xdr:colOff>50800</xdr:colOff>
      <xdr:row>59</xdr:row>
      <xdr:rowOff>12700</xdr:rowOff>
    </xdr:to>
    <xdr:sp macro="" textlink="">
      <xdr:nvSpPr>
        <xdr:cNvPr id="48" name="大かっこ 47">
          <a:extLst>
            <a:ext uri="{FF2B5EF4-FFF2-40B4-BE49-F238E27FC236}">
              <a16:creationId xmlns:a16="http://schemas.microsoft.com/office/drawing/2014/main" id="{9DCA789E-8A02-45AD-AD37-31FA9A29D6C0}"/>
            </a:ext>
          </a:extLst>
        </xdr:cNvPr>
        <xdr:cNvSpPr/>
      </xdr:nvSpPr>
      <xdr:spPr>
        <a:xfrm>
          <a:off x="10757450" y="8724900"/>
          <a:ext cx="405850" cy="3556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10</xdr:row>
      <xdr:rowOff>0</xdr:rowOff>
    </xdr:from>
    <xdr:to>
      <xdr:col>15</xdr:col>
      <xdr:colOff>0</xdr:colOff>
      <xdr:row>12</xdr:row>
      <xdr:rowOff>0</xdr:rowOff>
    </xdr:to>
    <xdr:sp macro="" textlink="">
      <xdr:nvSpPr>
        <xdr:cNvPr id="2" name="大かっこ 1">
          <a:extLst>
            <a:ext uri="{FF2B5EF4-FFF2-40B4-BE49-F238E27FC236}">
              <a16:creationId xmlns:a16="http://schemas.microsoft.com/office/drawing/2014/main" id="{C789BBA8-C6A8-42C9-986C-B88E1B972299}"/>
            </a:ext>
          </a:extLst>
        </xdr:cNvPr>
        <xdr:cNvSpPr/>
      </xdr:nvSpPr>
      <xdr:spPr>
        <a:xfrm>
          <a:off x="2476500" y="2828925"/>
          <a:ext cx="6858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xdr:col>
      <xdr:colOff>0</xdr:colOff>
      <xdr:row>10</xdr:row>
      <xdr:rowOff>0</xdr:rowOff>
    </xdr:from>
    <xdr:to>
      <xdr:col>15</xdr:col>
      <xdr:colOff>0</xdr:colOff>
      <xdr:row>12</xdr:row>
      <xdr:rowOff>0</xdr:rowOff>
    </xdr:to>
    <xdr:sp macro="" textlink="">
      <xdr:nvSpPr>
        <xdr:cNvPr id="3" name="大かっこ 2">
          <a:extLst>
            <a:ext uri="{FF2B5EF4-FFF2-40B4-BE49-F238E27FC236}">
              <a16:creationId xmlns:a16="http://schemas.microsoft.com/office/drawing/2014/main" id="{5219C631-E2FE-4B63-A453-B63F04C37DFD}"/>
            </a:ext>
          </a:extLst>
        </xdr:cNvPr>
        <xdr:cNvSpPr/>
      </xdr:nvSpPr>
      <xdr:spPr>
        <a:xfrm>
          <a:off x="2476500" y="2828925"/>
          <a:ext cx="6858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17</xdr:col>
      <xdr:colOff>0</xdr:colOff>
      <xdr:row>10</xdr:row>
      <xdr:rowOff>0</xdr:rowOff>
    </xdr:from>
    <xdr:to>
      <xdr:col>22</xdr:col>
      <xdr:colOff>0</xdr:colOff>
      <xdr:row>12</xdr:row>
      <xdr:rowOff>0</xdr:rowOff>
    </xdr:to>
    <xdr:sp macro="" textlink="">
      <xdr:nvSpPr>
        <xdr:cNvPr id="4" name="大かっこ 3">
          <a:extLst>
            <a:ext uri="{FF2B5EF4-FFF2-40B4-BE49-F238E27FC236}">
              <a16:creationId xmlns:a16="http://schemas.microsoft.com/office/drawing/2014/main" id="{8CF4A679-69F8-4922-92D0-029874ACAEF5}"/>
            </a:ext>
          </a:extLst>
        </xdr:cNvPr>
        <xdr:cNvSpPr/>
      </xdr:nvSpPr>
      <xdr:spPr>
        <a:xfrm>
          <a:off x="2476500" y="2828925"/>
          <a:ext cx="6858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17</xdr:col>
      <xdr:colOff>0</xdr:colOff>
      <xdr:row>10</xdr:row>
      <xdr:rowOff>0</xdr:rowOff>
    </xdr:from>
    <xdr:to>
      <xdr:col>22</xdr:col>
      <xdr:colOff>0</xdr:colOff>
      <xdr:row>12</xdr:row>
      <xdr:rowOff>0</xdr:rowOff>
    </xdr:to>
    <xdr:sp macro="" textlink="">
      <xdr:nvSpPr>
        <xdr:cNvPr id="5" name="大かっこ 4">
          <a:extLst>
            <a:ext uri="{FF2B5EF4-FFF2-40B4-BE49-F238E27FC236}">
              <a16:creationId xmlns:a16="http://schemas.microsoft.com/office/drawing/2014/main" id="{E47AFDAE-AEC7-40FA-8661-0BC7D4F88D7C}"/>
            </a:ext>
          </a:extLst>
        </xdr:cNvPr>
        <xdr:cNvSpPr/>
      </xdr:nvSpPr>
      <xdr:spPr>
        <a:xfrm>
          <a:off x="2476500" y="2828925"/>
          <a:ext cx="6858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0</xdr:colOff>
      <xdr:row>10</xdr:row>
      <xdr:rowOff>0</xdr:rowOff>
    </xdr:from>
    <xdr:to>
      <xdr:col>29</xdr:col>
      <xdr:colOff>0</xdr:colOff>
      <xdr:row>12</xdr:row>
      <xdr:rowOff>0</xdr:rowOff>
    </xdr:to>
    <xdr:sp macro="" textlink="">
      <xdr:nvSpPr>
        <xdr:cNvPr id="6" name="大かっこ 5">
          <a:extLst>
            <a:ext uri="{FF2B5EF4-FFF2-40B4-BE49-F238E27FC236}">
              <a16:creationId xmlns:a16="http://schemas.microsoft.com/office/drawing/2014/main" id="{96FF168D-786E-4F22-BEA5-B23CEB5BEBE0}"/>
            </a:ext>
          </a:extLst>
        </xdr:cNvPr>
        <xdr:cNvSpPr/>
      </xdr:nvSpPr>
      <xdr:spPr>
        <a:xfrm>
          <a:off x="2476500" y="2828925"/>
          <a:ext cx="6858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0</xdr:colOff>
      <xdr:row>10</xdr:row>
      <xdr:rowOff>0</xdr:rowOff>
    </xdr:from>
    <xdr:to>
      <xdr:col>29</xdr:col>
      <xdr:colOff>0</xdr:colOff>
      <xdr:row>12</xdr:row>
      <xdr:rowOff>0</xdr:rowOff>
    </xdr:to>
    <xdr:sp macro="" textlink="">
      <xdr:nvSpPr>
        <xdr:cNvPr id="7" name="大かっこ 6">
          <a:extLst>
            <a:ext uri="{FF2B5EF4-FFF2-40B4-BE49-F238E27FC236}">
              <a16:creationId xmlns:a16="http://schemas.microsoft.com/office/drawing/2014/main" id="{4FABDDF0-1391-4727-B5A1-EB41F8645297}"/>
            </a:ext>
          </a:extLst>
        </xdr:cNvPr>
        <xdr:cNvSpPr/>
      </xdr:nvSpPr>
      <xdr:spPr>
        <a:xfrm>
          <a:off x="2476500" y="2828925"/>
          <a:ext cx="6858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10</xdr:row>
      <xdr:rowOff>0</xdr:rowOff>
    </xdr:from>
    <xdr:to>
      <xdr:col>36</xdr:col>
      <xdr:colOff>0</xdr:colOff>
      <xdr:row>12</xdr:row>
      <xdr:rowOff>0</xdr:rowOff>
    </xdr:to>
    <xdr:sp macro="" textlink="">
      <xdr:nvSpPr>
        <xdr:cNvPr id="8" name="大かっこ 7">
          <a:extLst>
            <a:ext uri="{FF2B5EF4-FFF2-40B4-BE49-F238E27FC236}">
              <a16:creationId xmlns:a16="http://schemas.microsoft.com/office/drawing/2014/main" id="{F5D89C70-8F7B-4C17-81DE-78DDCB37A61E}"/>
            </a:ext>
          </a:extLst>
        </xdr:cNvPr>
        <xdr:cNvSpPr/>
      </xdr:nvSpPr>
      <xdr:spPr>
        <a:xfrm>
          <a:off x="2476500" y="2828925"/>
          <a:ext cx="6858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10</xdr:row>
      <xdr:rowOff>0</xdr:rowOff>
    </xdr:from>
    <xdr:to>
      <xdr:col>36</xdr:col>
      <xdr:colOff>0</xdr:colOff>
      <xdr:row>12</xdr:row>
      <xdr:rowOff>0</xdr:rowOff>
    </xdr:to>
    <xdr:sp macro="" textlink="">
      <xdr:nvSpPr>
        <xdr:cNvPr id="9" name="大かっこ 8">
          <a:extLst>
            <a:ext uri="{FF2B5EF4-FFF2-40B4-BE49-F238E27FC236}">
              <a16:creationId xmlns:a16="http://schemas.microsoft.com/office/drawing/2014/main" id="{831296A3-3CC5-46D1-B4F4-4CE099B1133A}"/>
            </a:ext>
          </a:extLst>
        </xdr:cNvPr>
        <xdr:cNvSpPr/>
      </xdr:nvSpPr>
      <xdr:spPr>
        <a:xfrm>
          <a:off x="2476500" y="2828925"/>
          <a:ext cx="6858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17</xdr:col>
      <xdr:colOff>0</xdr:colOff>
      <xdr:row>14</xdr:row>
      <xdr:rowOff>0</xdr:rowOff>
    </xdr:from>
    <xdr:to>
      <xdr:col>22</xdr:col>
      <xdr:colOff>0</xdr:colOff>
      <xdr:row>16</xdr:row>
      <xdr:rowOff>0</xdr:rowOff>
    </xdr:to>
    <xdr:sp macro="" textlink="">
      <xdr:nvSpPr>
        <xdr:cNvPr id="10" name="大かっこ 9">
          <a:extLst>
            <a:ext uri="{FF2B5EF4-FFF2-40B4-BE49-F238E27FC236}">
              <a16:creationId xmlns:a16="http://schemas.microsoft.com/office/drawing/2014/main" id="{F1765E36-F120-4B29-A907-F8BD49C3D0F1}"/>
            </a:ext>
          </a:extLst>
        </xdr:cNvPr>
        <xdr:cNvSpPr/>
      </xdr:nvSpPr>
      <xdr:spPr>
        <a:xfrm>
          <a:off x="2476500" y="2828925"/>
          <a:ext cx="6858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17</xdr:col>
      <xdr:colOff>0</xdr:colOff>
      <xdr:row>14</xdr:row>
      <xdr:rowOff>0</xdr:rowOff>
    </xdr:from>
    <xdr:to>
      <xdr:col>22</xdr:col>
      <xdr:colOff>0</xdr:colOff>
      <xdr:row>16</xdr:row>
      <xdr:rowOff>0</xdr:rowOff>
    </xdr:to>
    <xdr:sp macro="" textlink="">
      <xdr:nvSpPr>
        <xdr:cNvPr id="11" name="大かっこ 10">
          <a:extLst>
            <a:ext uri="{FF2B5EF4-FFF2-40B4-BE49-F238E27FC236}">
              <a16:creationId xmlns:a16="http://schemas.microsoft.com/office/drawing/2014/main" id="{79D11DDC-17D3-4289-846A-F29A4DB9D26E}"/>
            </a:ext>
          </a:extLst>
        </xdr:cNvPr>
        <xdr:cNvSpPr/>
      </xdr:nvSpPr>
      <xdr:spPr>
        <a:xfrm>
          <a:off x="2476500" y="2828925"/>
          <a:ext cx="6858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0</xdr:colOff>
      <xdr:row>14</xdr:row>
      <xdr:rowOff>0</xdr:rowOff>
    </xdr:from>
    <xdr:to>
      <xdr:col>29</xdr:col>
      <xdr:colOff>0</xdr:colOff>
      <xdr:row>16</xdr:row>
      <xdr:rowOff>0</xdr:rowOff>
    </xdr:to>
    <xdr:sp macro="" textlink="">
      <xdr:nvSpPr>
        <xdr:cNvPr id="12" name="大かっこ 11">
          <a:extLst>
            <a:ext uri="{FF2B5EF4-FFF2-40B4-BE49-F238E27FC236}">
              <a16:creationId xmlns:a16="http://schemas.microsoft.com/office/drawing/2014/main" id="{14E7ACCE-9908-483B-871C-1920FCAE8566}"/>
            </a:ext>
          </a:extLst>
        </xdr:cNvPr>
        <xdr:cNvSpPr/>
      </xdr:nvSpPr>
      <xdr:spPr>
        <a:xfrm>
          <a:off x="2476500" y="2828925"/>
          <a:ext cx="6858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0</xdr:colOff>
      <xdr:row>14</xdr:row>
      <xdr:rowOff>0</xdr:rowOff>
    </xdr:from>
    <xdr:to>
      <xdr:col>29</xdr:col>
      <xdr:colOff>0</xdr:colOff>
      <xdr:row>16</xdr:row>
      <xdr:rowOff>0</xdr:rowOff>
    </xdr:to>
    <xdr:sp macro="" textlink="">
      <xdr:nvSpPr>
        <xdr:cNvPr id="13" name="大かっこ 12">
          <a:extLst>
            <a:ext uri="{FF2B5EF4-FFF2-40B4-BE49-F238E27FC236}">
              <a16:creationId xmlns:a16="http://schemas.microsoft.com/office/drawing/2014/main" id="{F5A6963B-D2BC-48B3-92B6-327E0AE3895D}"/>
            </a:ext>
          </a:extLst>
        </xdr:cNvPr>
        <xdr:cNvSpPr/>
      </xdr:nvSpPr>
      <xdr:spPr>
        <a:xfrm>
          <a:off x="2476500" y="2828925"/>
          <a:ext cx="6858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14</xdr:row>
      <xdr:rowOff>0</xdr:rowOff>
    </xdr:from>
    <xdr:to>
      <xdr:col>36</xdr:col>
      <xdr:colOff>0</xdr:colOff>
      <xdr:row>16</xdr:row>
      <xdr:rowOff>0</xdr:rowOff>
    </xdr:to>
    <xdr:sp macro="" textlink="">
      <xdr:nvSpPr>
        <xdr:cNvPr id="14" name="大かっこ 13">
          <a:extLst>
            <a:ext uri="{FF2B5EF4-FFF2-40B4-BE49-F238E27FC236}">
              <a16:creationId xmlns:a16="http://schemas.microsoft.com/office/drawing/2014/main" id="{4C15A47E-6C6D-473C-801F-B371081A8218}"/>
            </a:ext>
          </a:extLst>
        </xdr:cNvPr>
        <xdr:cNvSpPr/>
      </xdr:nvSpPr>
      <xdr:spPr>
        <a:xfrm>
          <a:off x="2476500" y="2828925"/>
          <a:ext cx="6858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14</xdr:row>
      <xdr:rowOff>0</xdr:rowOff>
    </xdr:from>
    <xdr:to>
      <xdr:col>36</xdr:col>
      <xdr:colOff>0</xdr:colOff>
      <xdr:row>16</xdr:row>
      <xdr:rowOff>0</xdr:rowOff>
    </xdr:to>
    <xdr:sp macro="" textlink="">
      <xdr:nvSpPr>
        <xdr:cNvPr id="15" name="大かっこ 14">
          <a:extLst>
            <a:ext uri="{FF2B5EF4-FFF2-40B4-BE49-F238E27FC236}">
              <a16:creationId xmlns:a16="http://schemas.microsoft.com/office/drawing/2014/main" id="{14A9E370-0D48-492C-BE13-5D0C325568EB}"/>
            </a:ext>
          </a:extLst>
        </xdr:cNvPr>
        <xdr:cNvSpPr/>
      </xdr:nvSpPr>
      <xdr:spPr>
        <a:xfrm>
          <a:off x="2476500" y="2828925"/>
          <a:ext cx="6858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0</xdr:colOff>
      <xdr:row>18</xdr:row>
      <xdr:rowOff>0</xdr:rowOff>
    </xdr:from>
    <xdr:to>
      <xdr:col>29</xdr:col>
      <xdr:colOff>0</xdr:colOff>
      <xdr:row>20</xdr:row>
      <xdr:rowOff>0</xdr:rowOff>
    </xdr:to>
    <xdr:sp macro="" textlink="">
      <xdr:nvSpPr>
        <xdr:cNvPr id="16" name="大かっこ 15">
          <a:extLst>
            <a:ext uri="{FF2B5EF4-FFF2-40B4-BE49-F238E27FC236}">
              <a16:creationId xmlns:a16="http://schemas.microsoft.com/office/drawing/2014/main" id="{162DADE7-CBFB-465C-9DE6-1869F0472AB2}"/>
            </a:ext>
          </a:extLst>
        </xdr:cNvPr>
        <xdr:cNvSpPr/>
      </xdr:nvSpPr>
      <xdr:spPr>
        <a:xfrm>
          <a:off x="2476500" y="2828925"/>
          <a:ext cx="6858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0</xdr:colOff>
      <xdr:row>18</xdr:row>
      <xdr:rowOff>0</xdr:rowOff>
    </xdr:from>
    <xdr:to>
      <xdr:col>29</xdr:col>
      <xdr:colOff>0</xdr:colOff>
      <xdr:row>20</xdr:row>
      <xdr:rowOff>0</xdr:rowOff>
    </xdr:to>
    <xdr:sp macro="" textlink="">
      <xdr:nvSpPr>
        <xdr:cNvPr id="17" name="大かっこ 16">
          <a:extLst>
            <a:ext uri="{FF2B5EF4-FFF2-40B4-BE49-F238E27FC236}">
              <a16:creationId xmlns:a16="http://schemas.microsoft.com/office/drawing/2014/main" id="{A58DA6C2-9300-48AB-9CD7-1EDD7AA4D4C3}"/>
            </a:ext>
          </a:extLst>
        </xdr:cNvPr>
        <xdr:cNvSpPr/>
      </xdr:nvSpPr>
      <xdr:spPr>
        <a:xfrm>
          <a:off x="2476500" y="2828925"/>
          <a:ext cx="6858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18</xdr:row>
      <xdr:rowOff>0</xdr:rowOff>
    </xdr:from>
    <xdr:to>
      <xdr:col>36</xdr:col>
      <xdr:colOff>0</xdr:colOff>
      <xdr:row>20</xdr:row>
      <xdr:rowOff>0</xdr:rowOff>
    </xdr:to>
    <xdr:sp macro="" textlink="">
      <xdr:nvSpPr>
        <xdr:cNvPr id="18" name="大かっこ 17">
          <a:extLst>
            <a:ext uri="{FF2B5EF4-FFF2-40B4-BE49-F238E27FC236}">
              <a16:creationId xmlns:a16="http://schemas.microsoft.com/office/drawing/2014/main" id="{ADFFB26F-BBEA-46C6-BE5E-E6B08EC0BEB7}"/>
            </a:ext>
          </a:extLst>
        </xdr:cNvPr>
        <xdr:cNvSpPr/>
      </xdr:nvSpPr>
      <xdr:spPr>
        <a:xfrm>
          <a:off x="2476500" y="2828925"/>
          <a:ext cx="6858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18</xdr:row>
      <xdr:rowOff>0</xdr:rowOff>
    </xdr:from>
    <xdr:to>
      <xdr:col>36</xdr:col>
      <xdr:colOff>0</xdr:colOff>
      <xdr:row>20</xdr:row>
      <xdr:rowOff>0</xdr:rowOff>
    </xdr:to>
    <xdr:sp macro="" textlink="">
      <xdr:nvSpPr>
        <xdr:cNvPr id="19" name="大かっこ 18">
          <a:extLst>
            <a:ext uri="{FF2B5EF4-FFF2-40B4-BE49-F238E27FC236}">
              <a16:creationId xmlns:a16="http://schemas.microsoft.com/office/drawing/2014/main" id="{4D3440CB-32F6-488E-AB74-A462A3490B08}"/>
            </a:ext>
          </a:extLst>
        </xdr:cNvPr>
        <xdr:cNvSpPr/>
      </xdr:nvSpPr>
      <xdr:spPr>
        <a:xfrm>
          <a:off x="2476500" y="2828925"/>
          <a:ext cx="6858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22</xdr:row>
      <xdr:rowOff>0</xdr:rowOff>
    </xdr:from>
    <xdr:to>
      <xdr:col>36</xdr:col>
      <xdr:colOff>0</xdr:colOff>
      <xdr:row>24</xdr:row>
      <xdr:rowOff>0</xdr:rowOff>
    </xdr:to>
    <xdr:sp macro="" textlink="">
      <xdr:nvSpPr>
        <xdr:cNvPr id="20" name="大かっこ 19">
          <a:extLst>
            <a:ext uri="{FF2B5EF4-FFF2-40B4-BE49-F238E27FC236}">
              <a16:creationId xmlns:a16="http://schemas.microsoft.com/office/drawing/2014/main" id="{1E6A84E1-3B29-424F-A6EA-5183F82A2647}"/>
            </a:ext>
          </a:extLst>
        </xdr:cNvPr>
        <xdr:cNvSpPr/>
      </xdr:nvSpPr>
      <xdr:spPr>
        <a:xfrm>
          <a:off x="2476500" y="2828925"/>
          <a:ext cx="6858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22</xdr:row>
      <xdr:rowOff>0</xdr:rowOff>
    </xdr:from>
    <xdr:to>
      <xdr:col>36</xdr:col>
      <xdr:colOff>0</xdr:colOff>
      <xdr:row>24</xdr:row>
      <xdr:rowOff>0</xdr:rowOff>
    </xdr:to>
    <xdr:sp macro="" textlink="">
      <xdr:nvSpPr>
        <xdr:cNvPr id="21" name="大かっこ 20">
          <a:extLst>
            <a:ext uri="{FF2B5EF4-FFF2-40B4-BE49-F238E27FC236}">
              <a16:creationId xmlns:a16="http://schemas.microsoft.com/office/drawing/2014/main" id="{1742A65B-A8F3-4947-8C6F-3F1CCC27FF5C}"/>
            </a:ext>
          </a:extLst>
        </xdr:cNvPr>
        <xdr:cNvSpPr/>
      </xdr:nvSpPr>
      <xdr:spPr>
        <a:xfrm>
          <a:off x="2476500" y="2828925"/>
          <a:ext cx="6858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0</xdr:colOff>
      <xdr:row>14</xdr:row>
      <xdr:rowOff>0</xdr:rowOff>
    </xdr:from>
    <xdr:to>
      <xdr:col>8</xdr:col>
      <xdr:colOff>0</xdr:colOff>
      <xdr:row>16</xdr:row>
      <xdr:rowOff>0</xdr:rowOff>
    </xdr:to>
    <xdr:sp macro="" textlink="">
      <xdr:nvSpPr>
        <xdr:cNvPr id="22" name="大かっこ 21">
          <a:extLst>
            <a:ext uri="{FF2B5EF4-FFF2-40B4-BE49-F238E27FC236}">
              <a16:creationId xmlns:a16="http://schemas.microsoft.com/office/drawing/2014/main" id="{780A9A7E-431F-499F-941E-1AB92CC2137C}"/>
            </a:ext>
          </a:extLst>
        </xdr:cNvPr>
        <xdr:cNvSpPr/>
      </xdr:nvSpPr>
      <xdr:spPr>
        <a:xfrm>
          <a:off x="1695450" y="3619500"/>
          <a:ext cx="6858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0</xdr:colOff>
      <xdr:row>14</xdr:row>
      <xdr:rowOff>0</xdr:rowOff>
    </xdr:from>
    <xdr:to>
      <xdr:col>8</xdr:col>
      <xdr:colOff>0</xdr:colOff>
      <xdr:row>16</xdr:row>
      <xdr:rowOff>0</xdr:rowOff>
    </xdr:to>
    <xdr:sp macro="" textlink="">
      <xdr:nvSpPr>
        <xdr:cNvPr id="23" name="大かっこ 22">
          <a:extLst>
            <a:ext uri="{FF2B5EF4-FFF2-40B4-BE49-F238E27FC236}">
              <a16:creationId xmlns:a16="http://schemas.microsoft.com/office/drawing/2014/main" id="{4E58CFFB-D932-4518-8210-EDDD49300405}"/>
            </a:ext>
          </a:extLst>
        </xdr:cNvPr>
        <xdr:cNvSpPr/>
      </xdr:nvSpPr>
      <xdr:spPr>
        <a:xfrm>
          <a:off x="1695450" y="3619500"/>
          <a:ext cx="6858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en-US" altLang="ja-JP"/>
        </a:p>
        <a:p>
          <a:endParaRPr lang="ja-JP" altLang="en-US"/>
        </a:p>
      </xdr:txBody>
    </xdr:sp>
    <xdr:clientData/>
  </xdr:twoCellAnchor>
  <xdr:twoCellAnchor>
    <xdr:from>
      <xdr:col>10</xdr:col>
      <xdr:colOff>0</xdr:colOff>
      <xdr:row>18</xdr:row>
      <xdr:rowOff>0</xdr:rowOff>
    </xdr:from>
    <xdr:to>
      <xdr:col>15</xdr:col>
      <xdr:colOff>0</xdr:colOff>
      <xdr:row>20</xdr:row>
      <xdr:rowOff>0</xdr:rowOff>
    </xdr:to>
    <xdr:sp macro="" textlink="">
      <xdr:nvSpPr>
        <xdr:cNvPr id="24" name="大かっこ 23">
          <a:extLst>
            <a:ext uri="{FF2B5EF4-FFF2-40B4-BE49-F238E27FC236}">
              <a16:creationId xmlns:a16="http://schemas.microsoft.com/office/drawing/2014/main" id="{4E8C5037-FD83-49E9-B78F-79F8B334AE41}"/>
            </a:ext>
          </a:extLst>
        </xdr:cNvPr>
        <xdr:cNvSpPr/>
      </xdr:nvSpPr>
      <xdr:spPr>
        <a:xfrm>
          <a:off x="1695450" y="3619500"/>
          <a:ext cx="6858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xdr:col>
      <xdr:colOff>0</xdr:colOff>
      <xdr:row>18</xdr:row>
      <xdr:rowOff>0</xdr:rowOff>
    </xdr:from>
    <xdr:to>
      <xdr:col>15</xdr:col>
      <xdr:colOff>0</xdr:colOff>
      <xdr:row>20</xdr:row>
      <xdr:rowOff>0</xdr:rowOff>
    </xdr:to>
    <xdr:sp macro="" textlink="">
      <xdr:nvSpPr>
        <xdr:cNvPr id="25" name="大かっこ 24">
          <a:extLst>
            <a:ext uri="{FF2B5EF4-FFF2-40B4-BE49-F238E27FC236}">
              <a16:creationId xmlns:a16="http://schemas.microsoft.com/office/drawing/2014/main" id="{9B5DD039-E8B2-423C-93BA-AC327DB656A2}"/>
            </a:ext>
          </a:extLst>
        </xdr:cNvPr>
        <xdr:cNvSpPr/>
      </xdr:nvSpPr>
      <xdr:spPr>
        <a:xfrm>
          <a:off x="1695450" y="3619500"/>
          <a:ext cx="6858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en-US" altLang="ja-JP"/>
        </a:p>
        <a:p>
          <a:endParaRPr lang="ja-JP" altLang="en-US"/>
        </a:p>
      </xdr:txBody>
    </xdr:sp>
    <xdr:clientData/>
  </xdr:twoCellAnchor>
  <xdr:twoCellAnchor>
    <xdr:from>
      <xdr:col>17</xdr:col>
      <xdr:colOff>0</xdr:colOff>
      <xdr:row>22</xdr:row>
      <xdr:rowOff>0</xdr:rowOff>
    </xdr:from>
    <xdr:to>
      <xdr:col>22</xdr:col>
      <xdr:colOff>0</xdr:colOff>
      <xdr:row>24</xdr:row>
      <xdr:rowOff>0</xdr:rowOff>
    </xdr:to>
    <xdr:sp macro="" textlink="">
      <xdr:nvSpPr>
        <xdr:cNvPr id="26" name="大かっこ 25">
          <a:extLst>
            <a:ext uri="{FF2B5EF4-FFF2-40B4-BE49-F238E27FC236}">
              <a16:creationId xmlns:a16="http://schemas.microsoft.com/office/drawing/2014/main" id="{FEDF7D66-E1AA-46E4-A1FB-FDB037CE5D28}"/>
            </a:ext>
          </a:extLst>
        </xdr:cNvPr>
        <xdr:cNvSpPr/>
      </xdr:nvSpPr>
      <xdr:spPr>
        <a:xfrm>
          <a:off x="1695450" y="3619500"/>
          <a:ext cx="6858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17</xdr:col>
      <xdr:colOff>0</xdr:colOff>
      <xdr:row>22</xdr:row>
      <xdr:rowOff>0</xdr:rowOff>
    </xdr:from>
    <xdr:to>
      <xdr:col>22</xdr:col>
      <xdr:colOff>0</xdr:colOff>
      <xdr:row>24</xdr:row>
      <xdr:rowOff>0</xdr:rowOff>
    </xdr:to>
    <xdr:sp macro="" textlink="">
      <xdr:nvSpPr>
        <xdr:cNvPr id="27" name="大かっこ 26">
          <a:extLst>
            <a:ext uri="{FF2B5EF4-FFF2-40B4-BE49-F238E27FC236}">
              <a16:creationId xmlns:a16="http://schemas.microsoft.com/office/drawing/2014/main" id="{76CC9408-388F-4E50-BC39-269459E812C9}"/>
            </a:ext>
          </a:extLst>
        </xdr:cNvPr>
        <xdr:cNvSpPr/>
      </xdr:nvSpPr>
      <xdr:spPr>
        <a:xfrm>
          <a:off x="1695450" y="3619500"/>
          <a:ext cx="6858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en-US" altLang="ja-JP"/>
        </a:p>
        <a:p>
          <a:endParaRPr lang="ja-JP" altLang="en-US"/>
        </a:p>
      </xdr:txBody>
    </xdr:sp>
    <xdr:clientData/>
  </xdr:twoCellAnchor>
  <xdr:twoCellAnchor>
    <xdr:from>
      <xdr:col>24</xdr:col>
      <xdr:colOff>0</xdr:colOff>
      <xdr:row>26</xdr:row>
      <xdr:rowOff>0</xdr:rowOff>
    </xdr:from>
    <xdr:to>
      <xdr:col>29</xdr:col>
      <xdr:colOff>0</xdr:colOff>
      <xdr:row>28</xdr:row>
      <xdr:rowOff>0</xdr:rowOff>
    </xdr:to>
    <xdr:sp macro="" textlink="">
      <xdr:nvSpPr>
        <xdr:cNvPr id="28" name="大かっこ 27">
          <a:extLst>
            <a:ext uri="{FF2B5EF4-FFF2-40B4-BE49-F238E27FC236}">
              <a16:creationId xmlns:a16="http://schemas.microsoft.com/office/drawing/2014/main" id="{5453D4C8-E28A-4096-877B-EEFB9A21239E}"/>
            </a:ext>
          </a:extLst>
        </xdr:cNvPr>
        <xdr:cNvSpPr/>
      </xdr:nvSpPr>
      <xdr:spPr>
        <a:xfrm>
          <a:off x="1695450" y="3619500"/>
          <a:ext cx="6858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0</xdr:colOff>
      <xdr:row>26</xdr:row>
      <xdr:rowOff>0</xdr:rowOff>
    </xdr:from>
    <xdr:to>
      <xdr:col>29</xdr:col>
      <xdr:colOff>0</xdr:colOff>
      <xdr:row>28</xdr:row>
      <xdr:rowOff>0</xdr:rowOff>
    </xdr:to>
    <xdr:sp macro="" textlink="">
      <xdr:nvSpPr>
        <xdr:cNvPr id="29" name="大かっこ 28">
          <a:extLst>
            <a:ext uri="{FF2B5EF4-FFF2-40B4-BE49-F238E27FC236}">
              <a16:creationId xmlns:a16="http://schemas.microsoft.com/office/drawing/2014/main" id="{E4DD4285-A7AE-424E-9D46-049A62279DA2}"/>
            </a:ext>
          </a:extLst>
        </xdr:cNvPr>
        <xdr:cNvSpPr/>
      </xdr:nvSpPr>
      <xdr:spPr>
        <a:xfrm>
          <a:off x="1695450" y="3619500"/>
          <a:ext cx="6858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en-US" altLang="ja-JP"/>
        </a:p>
        <a:p>
          <a:endParaRPr lang="ja-JP" altLang="en-US"/>
        </a:p>
      </xdr:txBody>
    </xdr:sp>
    <xdr:clientData/>
  </xdr:twoCellAnchor>
  <xdr:twoCellAnchor>
    <xdr:from>
      <xdr:col>3</xdr:col>
      <xdr:colOff>0</xdr:colOff>
      <xdr:row>18</xdr:row>
      <xdr:rowOff>0</xdr:rowOff>
    </xdr:from>
    <xdr:to>
      <xdr:col>8</xdr:col>
      <xdr:colOff>0</xdr:colOff>
      <xdr:row>20</xdr:row>
      <xdr:rowOff>0</xdr:rowOff>
    </xdr:to>
    <xdr:sp macro="" textlink="">
      <xdr:nvSpPr>
        <xdr:cNvPr id="30" name="大かっこ 29">
          <a:extLst>
            <a:ext uri="{FF2B5EF4-FFF2-40B4-BE49-F238E27FC236}">
              <a16:creationId xmlns:a16="http://schemas.microsoft.com/office/drawing/2014/main" id="{CD476A55-A23F-42E5-BA12-6CBA796FCC22}"/>
            </a:ext>
          </a:extLst>
        </xdr:cNvPr>
        <xdr:cNvSpPr/>
      </xdr:nvSpPr>
      <xdr:spPr>
        <a:xfrm>
          <a:off x="1695450" y="4410075"/>
          <a:ext cx="6858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0</xdr:colOff>
      <xdr:row>18</xdr:row>
      <xdr:rowOff>0</xdr:rowOff>
    </xdr:from>
    <xdr:to>
      <xdr:col>8</xdr:col>
      <xdr:colOff>0</xdr:colOff>
      <xdr:row>20</xdr:row>
      <xdr:rowOff>0</xdr:rowOff>
    </xdr:to>
    <xdr:sp macro="" textlink="">
      <xdr:nvSpPr>
        <xdr:cNvPr id="31" name="大かっこ 30">
          <a:extLst>
            <a:ext uri="{FF2B5EF4-FFF2-40B4-BE49-F238E27FC236}">
              <a16:creationId xmlns:a16="http://schemas.microsoft.com/office/drawing/2014/main" id="{3B5EBCAE-92F1-4FCC-BFE1-28C95E7C36C3}"/>
            </a:ext>
          </a:extLst>
        </xdr:cNvPr>
        <xdr:cNvSpPr/>
      </xdr:nvSpPr>
      <xdr:spPr>
        <a:xfrm>
          <a:off x="1695450" y="4410075"/>
          <a:ext cx="6858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xdr:col>
      <xdr:colOff>0</xdr:colOff>
      <xdr:row>22</xdr:row>
      <xdr:rowOff>0</xdr:rowOff>
    </xdr:from>
    <xdr:to>
      <xdr:col>15</xdr:col>
      <xdr:colOff>0</xdr:colOff>
      <xdr:row>24</xdr:row>
      <xdr:rowOff>0</xdr:rowOff>
    </xdr:to>
    <xdr:sp macro="" textlink="">
      <xdr:nvSpPr>
        <xdr:cNvPr id="32" name="大かっこ 31">
          <a:extLst>
            <a:ext uri="{FF2B5EF4-FFF2-40B4-BE49-F238E27FC236}">
              <a16:creationId xmlns:a16="http://schemas.microsoft.com/office/drawing/2014/main" id="{68D3CCD4-9107-4BE5-A087-A7DF407C7B01}"/>
            </a:ext>
          </a:extLst>
        </xdr:cNvPr>
        <xdr:cNvSpPr/>
      </xdr:nvSpPr>
      <xdr:spPr>
        <a:xfrm>
          <a:off x="1695450" y="4410075"/>
          <a:ext cx="6858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xdr:col>
      <xdr:colOff>0</xdr:colOff>
      <xdr:row>22</xdr:row>
      <xdr:rowOff>0</xdr:rowOff>
    </xdr:from>
    <xdr:to>
      <xdr:col>15</xdr:col>
      <xdr:colOff>0</xdr:colOff>
      <xdr:row>24</xdr:row>
      <xdr:rowOff>0</xdr:rowOff>
    </xdr:to>
    <xdr:sp macro="" textlink="">
      <xdr:nvSpPr>
        <xdr:cNvPr id="33" name="大かっこ 32">
          <a:extLst>
            <a:ext uri="{FF2B5EF4-FFF2-40B4-BE49-F238E27FC236}">
              <a16:creationId xmlns:a16="http://schemas.microsoft.com/office/drawing/2014/main" id="{787389EB-7B8C-43C8-9E3B-5247C71C5AF1}"/>
            </a:ext>
          </a:extLst>
        </xdr:cNvPr>
        <xdr:cNvSpPr/>
      </xdr:nvSpPr>
      <xdr:spPr>
        <a:xfrm>
          <a:off x="1695450" y="4410075"/>
          <a:ext cx="6858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17</xdr:col>
      <xdr:colOff>0</xdr:colOff>
      <xdr:row>26</xdr:row>
      <xdr:rowOff>0</xdr:rowOff>
    </xdr:from>
    <xdr:to>
      <xdr:col>22</xdr:col>
      <xdr:colOff>0</xdr:colOff>
      <xdr:row>28</xdr:row>
      <xdr:rowOff>0</xdr:rowOff>
    </xdr:to>
    <xdr:sp macro="" textlink="">
      <xdr:nvSpPr>
        <xdr:cNvPr id="34" name="大かっこ 33">
          <a:extLst>
            <a:ext uri="{FF2B5EF4-FFF2-40B4-BE49-F238E27FC236}">
              <a16:creationId xmlns:a16="http://schemas.microsoft.com/office/drawing/2014/main" id="{29C12FCD-BA78-4BB6-8717-D0C91BEAFD89}"/>
            </a:ext>
          </a:extLst>
        </xdr:cNvPr>
        <xdr:cNvSpPr/>
      </xdr:nvSpPr>
      <xdr:spPr>
        <a:xfrm>
          <a:off x="1695450" y="4410075"/>
          <a:ext cx="6858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17</xdr:col>
      <xdr:colOff>0</xdr:colOff>
      <xdr:row>26</xdr:row>
      <xdr:rowOff>0</xdr:rowOff>
    </xdr:from>
    <xdr:to>
      <xdr:col>22</xdr:col>
      <xdr:colOff>0</xdr:colOff>
      <xdr:row>28</xdr:row>
      <xdr:rowOff>0</xdr:rowOff>
    </xdr:to>
    <xdr:sp macro="" textlink="">
      <xdr:nvSpPr>
        <xdr:cNvPr id="35" name="大かっこ 34">
          <a:extLst>
            <a:ext uri="{FF2B5EF4-FFF2-40B4-BE49-F238E27FC236}">
              <a16:creationId xmlns:a16="http://schemas.microsoft.com/office/drawing/2014/main" id="{FE385887-D797-4FDE-A7FF-D6857C203647}"/>
            </a:ext>
          </a:extLst>
        </xdr:cNvPr>
        <xdr:cNvSpPr/>
      </xdr:nvSpPr>
      <xdr:spPr>
        <a:xfrm>
          <a:off x="1695450" y="4410075"/>
          <a:ext cx="6858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0</xdr:colOff>
      <xdr:row>22</xdr:row>
      <xdr:rowOff>0</xdr:rowOff>
    </xdr:from>
    <xdr:to>
      <xdr:col>8</xdr:col>
      <xdr:colOff>0</xdr:colOff>
      <xdr:row>24</xdr:row>
      <xdr:rowOff>0</xdr:rowOff>
    </xdr:to>
    <xdr:sp macro="" textlink="">
      <xdr:nvSpPr>
        <xdr:cNvPr id="36" name="大かっこ 35">
          <a:extLst>
            <a:ext uri="{FF2B5EF4-FFF2-40B4-BE49-F238E27FC236}">
              <a16:creationId xmlns:a16="http://schemas.microsoft.com/office/drawing/2014/main" id="{30529F2B-6D62-4020-81AF-BDED5DC98510}"/>
            </a:ext>
          </a:extLst>
        </xdr:cNvPr>
        <xdr:cNvSpPr/>
      </xdr:nvSpPr>
      <xdr:spPr>
        <a:xfrm>
          <a:off x="1695450" y="4410075"/>
          <a:ext cx="6858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0</xdr:colOff>
      <xdr:row>22</xdr:row>
      <xdr:rowOff>0</xdr:rowOff>
    </xdr:from>
    <xdr:to>
      <xdr:col>8</xdr:col>
      <xdr:colOff>0</xdr:colOff>
      <xdr:row>24</xdr:row>
      <xdr:rowOff>0</xdr:rowOff>
    </xdr:to>
    <xdr:sp macro="" textlink="">
      <xdr:nvSpPr>
        <xdr:cNvPr id="37" name="大かっこ 36">
          <a:extLst>
            <a:ext uri="{FF2B5EF4-FFF2-40B4-BE49-F238E27FC236}">
              <a16:creationId xmlns:a16="http://schemas.microsoft.com/office/drawing/2014/main" id="{774B6111-6E2F-438E-AD08-4C3EBB93EA4E}"/>
            </a:ext>
          </a:extLst>
        </xdr:cNvPr>
        <xdr:cNvSpPr/>
      </xdr:nvSpPr>
      <xdr:spPr>
        <a:xfrm>
          <a:off x="1695450" y="4410075"/>
          <a:ext cx="6858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xdr:col>
      <xdr:colOff>0</xdr:colOff>
      <xdr:row>26</xdr:row>
      <xdr:rowOff>0</xdr:rowOff>
    </xdr:from>
    <xdr:to>
      <xdr:col>15</xdr:col>
      <xdr:colOff>0</xdr:colOff>
      <xdr:row>28</xdr:row>
      <xdr:rowOff>0</xdr:rowOff>
    </xdr:to>
    <xdr:sp macro="" textlink="">
      <xdr:nvSpPr>
        <xdr:cNvPr id="38" name="大かっこ 37">
          <a:extLst>
            <a:ext uri="{FF2B5EF4-FFF2-40B4-BE49-F238E27FC236}">
              <a16:creationId xmlns:a16="http://schemas.microsoft.com/office/drawing/2014/main" id="{A7EB1BFF-CFAE-4A94-A23A-2D0404D1EE78}"/>
            </a:ext>
          </a:extLst>
        </xdr:cNvPr>
        <xdr:cNvSpPr/>
      </xdr:nvSpPr>
      <xdr:spPr>
        <a:xfrm>
          <a:off x="1695450" y="4410075"/>
          <a:ext cx="6858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xdr:col>
      <xdr:colOff>0</xdr:colOff>
      <xdr:row>26</xdr:row>
      <xdr:rowOff>0</xdr:rowOff>
    </xdr:from>
    <xdr:to>
      <xdr:col>15</xdr:col>
      <xdr:colOff>0</xdr:colOff>
      <xdr:row>28</xdr:row>
      <xdr:rowOff>0</xdr:rowOff>
    </xdr:to>
    <xdr:sp macro="" textlink="">
      <xdr:nvSpPr>
        <xdr:cNvPr id="39" name="大かっこ 38">
          <a:extLst>
            <a:ext uri="{FF2B5EF4-FFF2-40B4-BE49-F238E27FC236}">
              <a16:creationId xmlns:a16="http://schemas.microsoft.com/office/drawing/2014/main" id="{6C035DA5-2ACC-4C8E-BC41-9AA86406A7A0}"/>
            </a:ext>
          </a:extLst>
        </xdr:cNvPr>
        <xdr:cNvSpPr/>
      </xdr:nvSpPr>
      <xdr:spPr>
        <a:xfrm>
          <a:off x="1695450" y="4410075"/>
          <a:ext cx="6858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0</xdr:colOff>
      <xdr:row>26</xdr:row>
      <xdr:rowOff>0</xdr:rowOff>
    </xdr:from>
    <xdr:to>
      <xdr:col>8</xdr:col>
      <xdr:colOff>0</xdr:colOff>
      <xdr:row>28</xdr:row>
      <xdr:rowOff>0</xdr:rowOff>
    </xdr:to>
    <xdr:sp macro="" textlink="">
      <xdr:nvSpPr>
        <xdr:cNvPr id="40" name="大かっこ 39">
          <a:extLst>
            <a:ext uri="{FF2B5EF4-FFF2-40B4-BE49-F238E27FC236}">
              <a16:creationId xmlns:a16="http://schemas.microsoft.com/office/drawing/2014/main" id="{B7A4CCDB-B5F2-4631-82D7-FCD96B775CF6}"/>
            </a:ext>
          </a:extLst>
        </xdr:cNvPr>
        <xdr:cNvSpPr/>
      </xdr:nvSpPr>
      <xdr:spPr>
        <a:xfrm>
          <a:off x="1695450" y="4410075"/>
          <a:ext cx="6858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0</xdr:colOff>
      <xdr:row>26</xdr:row>
      <xdr:rowOff>0</xdr:rowOff>
    </xdr:from>
    <xdr:to>
      <xdr:col>8</xdr:col>
      <xdr:colOff>0</xdr:colOff>
      <xdr:row>28</xdr:row>
      <xdr:rowOff>0</xdr:rowOff>
    </xdr:to>
    <xdr:sp macro="" textlink="">
      <xdr:nvSpPr>
        <xdr:cNvPr id="41" name="大かっこ 40">
          <a:extLst>
            <a:ext uri="{FF2B5EF4-FFF2-40B4-BE49-F238E27FC236}">
              <a16:creationId xmlns:a16="http://schemas.microsoft.com/office/drawing/2014/main" id="{19A4EDAF-5FCA-470D-B4B6-71E74CF1DEE2}"/>
            </a:ext>
          </a:extLst>
        </xdr:cNvPr>
        <xdr:cNvSpPr/>
      </xdr:nvSpPr>
      <xdr:spPr>
        <a:xfrm>
          <a:off x="1695450" y="4410075"/>
          <a:ext cx="6858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xdr:col>
      <xdr:colOff>0</xdr:colOff>
      <xdr:row>26</xdr:row>
      <xdr:rowOff>0</xdr:rowOff>
    </xdr:from>
    <xdr:to>
      <xdr:col>15</xdr:col>
      <xdr:colOff>0</xdr:colOff>
      <xdr:row>28</xdr:row>
      <xdr:rowOff>0</xdr:rowOff>
    </xdr:to>
    <xdr:sp macro="" textlink="">
      <xdr:nvSpPr>
        <xdr:cNvPr id="42" name="大かっこ 41">
          <a:extLst>
            <a:ext uri="{FF2B5EF4-FFF2-40B4-BE49-F238E27FC236}">
              <a16:creationId xmlns:a16="http://schemas.microsoft.com/office/drawing/2014/main" id="{D0A48FE0-E7CE-4099-87B0-048603C31AFE}"/>
            </a:ext>
          </a:extLst>
        </xdr:cNvPr>
        <xdr:cNvSpPr/>
      </xdr:nvSpPr>
      <xdr:spPr>
        <a:xfrm>
          <a:off x="428625" y="5203031"/>
          <a:ext cx="690563" cy="5000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xdr:col>
      <xdr:colOff>0</xdr:colOff>
      <xdr:row>26</xdr:row>
      <xdr:rowOff>0</xdr:rowOff>
    </xdr:from>
    <xdr:to>
      <xdr:col>15</xdr:col>
      <xdr:colOff>0</xdr:colOff>
      <xdr:row>28</xdr:row>
      <xdr:rowOff>0</xdr:rowOff>
    </xdr:to>
    <xdr:sp macro="" textlink="">
      <xdr:nvSpPr>
        <xdr:cNvPr id="43" name="大かっこ 42">
          <a:extLst>
            <a:ext uri="{FF2B5EF4-FFF2-40B4-BE49-F238E27FC236}">
              <a16:creationId xmlns:a16="http://schemas.microsoft.com/office/drawing/2014/main" id="{F789F73E-E110-453B-A7AD-DA4FC425E803}"/>
            </a:ext>
          </a:extLst>
        </xdr:cNvPr>
        <xdr:cNvSpPr/>
      </xdr:nvSpPr>
      <xdr:spPr>
        <a:xfrm>
          <a:off x="428625" y="5203031"/>
          <a:ext cx="690563" cy="5000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33</xdr:row>
      <xdr:rowOff>0</xdr:rowOff>
    </xdr:from>
    <xdr:to>
      <xdr:col>15</xdr:col>
      <xdr:colOff>0</xdr:colOff>
      <xdr:row>35</xdr:row>
      <xdr:rowOff>0</xdr:rowOff>
    </xdr:to>
    <xdr:sp macro="" textlink="">
      <xdr:nvSpPr>
        <xdr:cNvPr id="5" name="大かっこ 4">
          <a:extLst>
            <a:ext uri="{FF2B5EF4-FFF2-40B4-BE49-F238E27FC236}">
              <a16:creationId xmlns:a16="http://schemas.microsoft.com/office/drawing/2014/main" id="{71B1AB20-D272-4B3E-92CC-B5D8BB1C2685}"/>
            </a:ext>
          </a:extLst>
        </xdr:cNvPr>
        <xdr:cNvSpPr/>
      </xdr:nvSpPr>
      <xdr:spPr>
        <a:xfrm>
          <a:off x="1238250" y="2828925"/>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xdr:col>
      <xdr:colOff>0</xdr:colOff>
      <xdr:row>33</xdr:row>
      <xdr:rowOff>0</xdr:rowOff>
    </xdr:from>
    <xdr:to>
      <xdr:col>15</xdr:col>
      <xdr:colOff>0</xdr:colOff>
      <xdr:row>35</xdr:row>
      <xdr:rowOff>0</xdr:rowOff>
    </xdr:to>
    <xdr:sp macro="" textlink="">
      <xdr:nvSpPr>
        <xdr:cNvPr id="6" name="大かっこ 5">
          <a:extLst>
            <a:ext uri="{FF2B5EF4-FFF2-40B4-BE49-F238E27FC236}">
              <a16:creationId xmlns:a16="http://schemas.microsoft.com/office/drawing/2014/main" id="{D1597B68-FE42-4A1E-9D18-D4F0DBA3043B}"/>
            </a:ext>
          </a:extLst>
        </xdr:cNvPr>
        <xdr:cNvSpPr/>
      </xdr:nvSpPr>
      <xdr:spPr>
        <a:xfrm>
          <a:off x="1238250" y="2828925"/>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17</xdr:col>
      <xdr:colOff>0</xdr:colOff>
      <xdr:row>33</xdr:row>
      <xdr:rowOff>0</xdr:rowOff>
    </xdr:from>
    <xdr:to>
      <xdr:col>22</xdr:col>
      <xdr:colOff>0</xdr:colOff>
      <xdr:row>35</xdr:row>
      <xdr:rowOff>0</xdr:rowOff>
    </xdr:to>
    <xdr:sp macro="" textlink="">
      <xdr:nvSpPr>
        <xdr:cNvPr id="7" name="大かっこ 6">
          <a:extLst>
            <a:ext uri="{FF2B5EF4-FFF2-40B4-BE49-F238E27FC236}">
              <a16:creationId xmlns:a16="http://schemas.microsoft.com/office/drawing/2014/main" id="{990C5BE1-3AA2-4BC7-8CC9-97073B5FD429}"/>
            </a:ext>
          </a:extLst>
        </xdr:cNvPr>
        <xdr:cNvSpPr/>
      </xdr:nvSpPr>
      <xdr:spPr>
        <a:xfrm>
          <a:off x="2047875" y="2828925"/>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17</xdr:col>
      <xdr:colOff>0</xdr:colOff>
      <xdr:row>33</xdr:row>
      <xdr:rowOff>0</xdr:rowOff>
    </xdr:from>
    <xdr:to>
      <xdr:col>22</xdr:col>
      <xdr:colOff>0</xdr:colOff>
      <xdr:row>35</xdr:row>
      <xdr:rowOff>0</xdr:rowOff>
    </xdr:to>
    <xdr:sp macro="" textlink="">
      <xdr:nvSpPr>
        <xdr:cNvPr id="8" name="大かっこ 7">
          <a:extLst>
            <a:ext uri="{FF2B5EF4-FFF2-40B4-BE49-F238E27FC236}">
              <a16:creationId xmlns:a16="http://schemas.microsoft.com/office/drawing/2014/main" id="{B3E357E3-5E6E-46AC-8FE7-84989900FC3E}"/>
            </a:ext>
          </a:extLst>
        </xdr:cNvPr>
        <xdr:cNvSpPr/>
      </xdr:nvSpPr>
      <xdr:spPr>
        <a:xfrm>
          <a:off x="2047875" y="2828925"/>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0</xdr:colOff>
      <xdr:row>33</xdr:row>
      <xdr:rowOff>0</xdr:rowOff>
    </xdr:from>
    <xdr:to>
      <xdr:col>29</xdr:col>
      <xdr:colOff>0</xdr:colOff>
      <xdr:row>35</xdr:row>
      <xdr:rowOff>0</xdr:rowOff>
    </xdr:to>
    <xdr:sp macro="" textlink="">
      <xdr:nvSpPr>
        <xdr:cNvPr id="9" name="大かっこ 8">
          <a:extLst>
            <a:ext uri="{FF2B5EF4-FFF2-40B4-BE49-F238E27FC236}">
              <a16:creationId xmlns:a16="http://schemas.microsoft.com/office/drawing/2014/main" id="{8E1182F2-97EB-44E0-B052-701B3F5C4A7C}"/>
            </a:ext>
          </a:extLst>
        </xdr:cNvPr>
        <xdr:cNvSpPr/>
      </xdr:nvSpPr>
      <xdr:spPr>
        <a:xfrm>
          <a:off x="2857500" y="2828925"/>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0</xdr:colOff>
      <xdr:row>33</xdr:row>
      <xdr:rowOff>0</xdr:rowOff>
    </xdr:from>
    <xdr:to>
      <xdr:col>29</xdr:col>
      <xdr:colOff>0</xdr:colOff>
      <xdr:row>35</xdr:row>
      <xdr:rowOff>0</xdr:rowOff>
    </xdr:to>
    <xdr:sp macro="" textlink="">
      <xdr:nvSpPr>
        <xdr:cNvPr id="10" name="大かっこ 9">
          <a:extLst>
            <a:ext uri="{FF2B5EF4-FFF2-40B4-BE49-F238E27FC236}">
              <a16:creationId xmlns:a16="http://schemas.microsoft.com/office/drawing/2014/main" id="{6BB15779-A9D3-4656-B584-D4E4409536C9}"/>
            </a:ext>
          </a:extLst>
        </xdr:cNvPr>
        <xdr:cNvSpPr/>
      </xdr:nvSpPr>
      <xdr:spPr>
        <a:xfrm>
          <a:off x="2857500" y="2828925"/>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33</xdr:row>
      <xdr:rowOff>0</xdr:rowOff>
    </xdr:from>
    <xdr:to>
      <xdr:col>36</xdr:col>
      <xdr:colOff>0</xdr:colOff>
      <xdr:row>35</xdr:row>
      <xdr:rowOff>0</xdr:rowOff>
    </xdr:to>
    <xdr:sp macro="" textlink="">
      <xdr:nvSpPr>
        <xdr:cNvPr id="11" name="大かっこ 10">
          <a:extLst>
            <a:ext uri="{FF2B5EF4-FFF2-40B4-BE49-F238E27FC236}">
              <a16:creationId xmlns:a16="http://schemas.microsoft.com/office/drawing/2014/main" id="{20DE17A5-0524-4087-BDA8-B8B0DC7FBF9F}"/>
            </a:ext>
          </a:extLst>
        </xdr:cNvPr>
        <xdr:cNvSpPr/>
      </xdr:nvSpPr>
      <xdr:spPr>
        <a:xfrm>
          <a:off x="3667125" y="2828925"/>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33</xdr:row>
      <xdr:rowOff>0</xdr:rowOff>
    </xdr:from>
    <xdr:to>
      <xdr:col>36</xdr:col>
      <xdr:colOff>0</xdr:colOff>
      <xdr:row>35</xdr:row>
      <xdr:rowOff>0</xdr:rowOff>
    </xdr:to>
    <xdr:sp macro="" textlink="">
      <xdr:nvSpPr>
        <xdr:cNvPr id="12" name="大かっこ 11">
          <a:extLst>
            <a:ext uri="{FF2B5EF4-FFF2-40B4-BE49-F238E27FC236}">
              <a16:creationId xmlns:a16="http://schemas.microsoft.com/office/drawing/2014/main" id="{54479397-9174-41D8-BD94-7DE19DE58DBC}"/>
            </a:ext>
          </a:extLst>
        </xdr:cNvPr>
        <xdr:cNvSpPr/>
      </xdr:nvSpPr>
      <xdr:spPr>
        <a:xfrm>
          <a:off x="3667125" y="2828925"/>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17</xdr:col>
      <xdr:colOff>0</xdr:colOff>
      <xdr:row>37</xdr:row>
      <xdr:rowOff>0</xdr:rowOff>
    </xdr:from>
    <xdr:to>
      <xdr:col>22</xdr:col>
      <xdr:colOff>0</xdr:colOff>
      <xdr:row>39</xdr:row>
      <xdr:rowOff>0</xdr:rowOff>
    </xdr:to>
    <xdr:sp macro="" textlink="">
      <xdr:nvSpPr>
        <xdr:cNvPr id="13" name="大かっこ 12">
          <a:extLst>
            <a:ext uri="{FF2B5EF4-FFF2-40B4-BE49-F238E27FC236}">
              <a16:creationId xmlns:a16="http://schemas.microsoft.com/office/drawing/2014/main" id="{DA4B4247-BCF6-40C4-A3B8-537ACB666B87}"/>
            </a:ext>
          </a:extLst>
        </xdr:cNvPr>
        <xdr:cNvSpPr/>
      </xdr:nvSpPr>
      <xdr:spPr>
        <a:xfrm>
          <a:off x="2047875" y="3619500"/>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17</xdr:col>
      <xdr:colOff>0</xdr:colOff>
      <xdr:row>37</xdr:row>
      <xdr:rowOff>0</xdr:rowOff>
    </xdr:from>
    <xdr:to>
      <xdr:col>22</xdr:col>
      <xdr:colOff>0</xdr:colOff>
      <xdr:row>39</xdr:row>
      <xdr:rowOff>0</xdr:rowOff>
    </xdr:to>
    <xdr:sp macro="" textlink="">
      <xdr:nvSpPr>
        <xdr:cNvPr id="14" name="大かっこ 13">
          <a:extLst>
            <a:ext uri="{FF2B5EF4-FFF2-40B4-BE49-F238E27FC236}">
              <a16:creationId xmlns:a16="http://schemas.microsoft.com/office/drawing/2014/main" id="{790E66A1-E976-49FA-9FDE-3B56265788E7}"/>
            </a:ext>
          </a:extLst>
        </xdr:cNvPr>
        <xdr:cNvSpPr/>
      </xdr:nvSpPr>
      <xdr:spPr>
        <a:xfrm>
          <a:off x="2047875" y="3619500"/>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0</xdr:colOff>
      <xdr:row>37</xdr:row>
      <xdr:rowOff>0</xdr:rowOff>
    </xdr:from>
    <xdr:to>
      <xdr:col>29</xdr:col>
      <xdr:colOff>0</xdr:colOff>
      <xdr:row>39</xdr:row>
      <xdr:rowOff>0</xdr:rowOff>
    </xdr:to>
    <xdr:sp macro="" textlink="">
      <xdr:nvSpPr>
        <xdr:cNvPr id="15" name="大かっこ 14">
          <a:extLst>
            <a:ext uri="{FF2B5EF4-FFF2-40B4-BE49-F238E27FC236}">
              <a16:creationId xmlns:a16="http://schemas.microsoft.com/office/drawing/2014/main" id="{58257B99-9EE6-4FAA-BC05-1F1320E8C378}"/>
            </a:ext>
          </a:extLst>
        </xdr:cNvPr>
        <xdr:cNvSpPr/>
      </xdr:nvSpPr>
      <xdr:spPr>
        <a:xfrm>
          <a:off x="2857500" y="3619500"/>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0</xdr:colOff>
      <xdr:row>37</xdr:row>
      <xdr:rowOff>0</xdr:rowOff>
    </xdr:from>
    <xdr:to>
      <xdr:col>29</xdr:col>
      <xdr:colOff>0</xdr:colOff>
      <xdr:row>39</xdr:row>
      <xdr:rowOff>0</xdr:rowOff>
    </xdr:to>
    <xdr:sp macro="" textlink="">
      <xdr:nvSpPr>
        <xdr:cNvPr id="16" name="大かっこ 15">
          <a:extLst>
            <a:ext uri="{FF2B5EF4-FFF2-40B4-BE49-F238E27FC236}">
              <a16:creationId xmlns:a16="http://schemas.microsoft.com/office/drawing/2014/main" id="{FAA1C9A2-A6B0-4C25-929C-8346E5AAB123}"/>
            </a:ext>
          </a:extLst>
        </xdr:cNvPr>
        <xdr:cNvSpPr/>
      </xdr:nvSpPr>
      <xdr:spPr>
        <a:xfrm>
          <a:off x="2857500" y="3619500"/>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37</xdr:row>
      <xdr:rowOff>0</xdr:rowOff>
    </xdr:from>
    <xdr:to>
      <xdr:col>36</xdr:col>
      <xdr:colOff>0</xdr:colOff>
      <xdr:row>39</xdr:row>
      <xdr:rowOff>0</xdr:rowOff>
    </xdr:to>
    <xdr:sp macro="" textlink="">
      <xdr:nvSpPr>
        <xdr:cNvPr id="17" name="大かっこ 16">
          <a:extLst>
            <a:ext uri="{FF2B5EF4-FFF2-40B4-BE49-F238E27FC236}">
              <a16:creationId xmlns:a16="http://schemas.microsoft.com/office/drawing/2014/main" id="{200CE7CF-2774-4C24-8246-83E25482626C}"/>
            </a:ext>
          </a:extLst>
        </xdr:cNvPr>
        <xdr:cNvSpPr/>
      </xdr:nvSpPr>
      <xdr:spPr>
        <a:xfrm>
          <a:off x="3667125" y="3619500"/>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37</xdr:row>
      <xdr:rowOff>0</xdr:rowOff>
    </xdr:from>
    <xdr:to>
      <xdr:col>36</xdr:col>
      <xdr:colOff>0</xdr:colOff>
      <xdr:row>39</xdr:row>
      <xdr:rowOff>0</xdr:rowOff>
    </xdr:to>
    <xdr:sp macro="" textlink="">
      <xdr:nvSpPr>
        <xdr:cNvPr id="18" name="大かっこ 17">
          <a:extLst>
            <a:ext uri="{FF2B5EF4-FFF2-40B4-BE49-F238E27FC236}">
              <a16:creationId xmlns:a16="http://schemas.microsoft.com/office/drawing/2014/main" id="{9B1AD11E-B1AA-439A-9B7E-7DFD1DD997E3}"/>
            </a:ext>
          </a:extLst>
        </xdr:cNvPr>
        <xdr:cNvSpPr/>
      </xdr:nvSpPr>
      <xdr:spPr>
        <a:xfrm>
          <a:off x="3667125" y="3619500"/>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0</xdr:colOff>
      <xdr:row>41</xdr:row>
      <xdr:rowOff>0</xdr:rowOff>
    </xdr:from>
    <xdr:to>
      <xdr:col>29</xdr:col>
      <xdr:colOff>0</xdr:colOff>
      <xdr:row>43</xdr:row>
      <xdr:rowOff>0</xdr:rowOff>
    </xdr:to>
    <xdr:sp macro="" textlink="">
      <xdr:nvSpPr>
        <xdr:cNvPr id="19" name="大かっこ 18">
          <a:extLst>
            <a:ext uri="{FF2B5EF4-FFF2-40B4-BE49-F238E27FC236}">
              <a16:creationId xmlns:a16="http://schemas.microsoft.com/office/drawing/2014/main" id="{94A7FC9C-EF67-45AE-AF62-F8D8B51B6F06}"/>
            </a:ext>
          </a:extLst>
        </xdr:cNvPr>
        <xdr:cNvSpPr/>
      </xdr:nvSpPr>
      <xdr:spPr>
        <a:xfrm>
          <a:off x="2857500" y="4410075"/>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0</xdr:colOff>
      <xdr:row>41</xdr:row>
      <xdr:rowOff>0</xdr:rowOff>
    </xdr:from>
    <xdr:to>
      <xdr:col>29</xdr:col>
      <xdr:colOff>0</xdr:colOff>
      <xdr:row>43</xdr:row>
      <xdr:rowOff>0</xdr:rowOff>
    </xdr:to>
    <xdr:sp macro="" textlink="">
      <xdr:nvSpPr>
        <xdr:cNvPr id="20" name="大かっこ 19">
          <a:extLst>
            <a:ext uri="{FF2B5EF4-FFF2-40B4-BE49-F238E27FC236}">
              <a16:creationId xmlns:a16="http://schemas.microsoft.com/office/drawing/2014/main" id="{C86A22FF-E328-4EC4-A4AA-364ECD4AF200}"/>
            </a:ext>
          </a:extLst>
        </xdr:cNvPr>
        <xdr:cNvSpPr/>
      </xdr:nvSpPr>
      <xdr:spPr>
        <a:xfrm>
          <a:off x="2857500" y="4410075"/>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41</xdr:row>
      <xdr:rowOff>0</xdr:rowOff>
    </xdr:from>
    <xdr:to>
      <xdr:col>36</xdr:col>
      <xdr:colOff>0</xdr:colOff>
      <xdr:row>43</xdr:row>
      <xdr:rowOff>0</xdr:rowOff>
    </xdr:to>
    <xdr:sp macro="" textlink="">
      <xdr:nvSpPr>
        <xdr:cNvPr id="21" name="大かっこ 20">
          <a:extLst>
            <a:ext uri="{FF2B5EF4-FFF2-40B4-BE49-F238E27FC236}">
              <a16:creationId xmlns:a16="http://schemas.microsoft.com/office/drawing/2014/main" id="{C4D4A7FC-B62D-4C8B-8FED-685B1A9826FF}"/>
            </a:ext>
          </a:extLst>
        </xdr:cNvPr>
        <xdr:cNvSpPr/>
      </xdr:nvSpPr>
      <xdr:spPr>
        <a:xfrm>
          <a:off x="3667125" y="4410075"/>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41</xdr:row>
      <xdr:rowOff>0</xdr:rowOff>
    </xdr:from>
    <xdr:to>
      <xdr:col>36</xdr:col>
      <xdr:colOff>0</xdr:colOff>
      <xdr:row>43</xdr:row>
      <xdr:rowOff>0</xdr:rowOff>
    </xdr:to>
    <xdr:sp macro="" textlink="">
      <xdr:nvSpPr>
        <xdr:cNvPr id="22" name="大かっこ 21">
          <a:extLst>
            <a:ext uri="{FF2B5EF4-FFF2-40B4-BE49-F238E27FC236}">
              <a16:creationId xmlns:a16="http://schemas.microsoft.com/office/drawing/2014/main" id="{096C8F5C-9087-40E1-BEB0-C8EF5B1F97E3}"/>
            </a:ext>
          </a:extLst>
        </xdr:cNvPr>
        <xdr:cNvSpPr/>
      </xdr:nvSpPr>
      <xdr:spPr>
        <a:xfrm>
          <a:off x="3667125" y="4410075"/>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45</xdr:row>
      <xdr:rowOff>0</xdr:rowOff>
    </xdr:from>
    <xdr:to>
      <xdr:col>36</xdr:col>
      <xdr:colOff>0</xdr:colOff>
      <xdr:row>47</xdr:row>
      <xdr:rowOff>0</xdr:rowOff>
    </xdr:to>
    <xdr:sp macro="" textlink="">
      <xdr:nvSpPr>
        <xdr:cNvPr id="23" name="大かっこ 22">
          <a:extLst>
            <a:ext uri="{FF2B5EF4-FFF2-40B4-BE49-F238E27FC236}">
              <a16:creationId xmlns:a16="http://schemas.microsoft.com/office/drawing/2014/main" id="{7B5AE4A6-3B71-4982-AA31-E2BF11C77DFE}"/>
            </a:ext>
          </a:extLst>
        </xdr:cNvPr>
        <xdr:cNvSpPr/>
      </xdr:nvSpPr>
      <xdr:spPr>
        <a:xfrm>
          <a:off x="3667125" y="5200650"/>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45</xdr:row>
      <xdr:rowOff>0</xdr:rowOff>
    </xdr:from>
    <xdr:to>
      <xdr:col>36</xdr:col>
      <xdr:colOff>0</xdr:colOff>
      <xdr:row>47</xdr:row>
      <xdr:rowOff>0</xdr:rowOff>
    </xdr:to>
    <xdr:sp macro="" textlink="">
      <xdr:nvSpPr>
        <xdr:cNvPr id="24" name="大かっこ 23">
          <a:extLst>
            <a:ext uri="{FF2B5EF4-FFF2-40B4-BE49-F238E27FC236}">
              <a16:creationId xmlns:a16="http://schemas.microsoft.com/office/drawing/2014/main" id="{398CEE7E-D2A4-404D-AF6E-77CC0923D9FF}"/>
            </a:ext>
          </a:extLst>
        </xdr:cNvPr>
        <xdr:cNvSpPr/>
      </xdr:nvSpPr>
      <xdr:spPr>
        <a:xfrm>
          <a:off x="3667125" y="5200650"/>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0</xdr:colOff>
      <xdr:row>37</xdr:row>
      <xdr:rowOff>0</xdr:rowOff>
    </xdr:from>
    <xdr:to>
      <xdr:col>8</xdr:col>
      <xdr:colOff>0</xdr:colOff>
      <xdr:row>39</xdr:row>
      <xdr:rowOff>0</xdr:rowOff>
    </xdr:to>
    <xdr:sp macro="" textlink="">
      <xdr:nvSpPr>
        <xdr:cNvPr id="25" name="大かっこ 24">
          <a:extLst>
            <a:ext uri="{FF2B5EF4-FFF2-40B4-BE49-F238E27FC236}">
              <a16:creationId xmlns:a16="http://schemas.microsoft.com/office/drawing/2014/main" id="{DA0D8165-31AC-44FC-B230-2FE717110347}"/>
            </a:ext>
          </a:extLst>
        </xdr:cNvPr>
        <xdr:cNvSpPr/>
      </xdr:nvSpPr>
      <xdr:spPr>
        <a:xfrm>
          <a:off x="428625" y="3619500"/>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0</xdr:colOff>
      <xdr:row>37</xdr:row>
      <xdr:rowOff>0</xdr:rowOff>
    </xdr:from>
    <xdr:to>
      <xdr:col>8</xdr:col>
      <xdr:colOff>0</xdr:colOff>
      <xdr:row>39</xdr:row>
      <xdr:rowOff>0</xdr:rowOff>
    </xdr:to>
    <xdr:sp macro="" textlink="">
      <xdr:nvSpPr>
        <xdr:cNvPr id="26" name="大かっこ 25">
          <a:extLst>
            <a:ext uri="{FF2B5EF4-FFF2-40B4-BE49-F238E27FC236}">
              <a16:creationId xmlns:a16="http://schemas.microsoft.com/office/drawing/2014/main" id="{8D945AA5-BDF1-4769-80D5-0341F6976E32}"/>
            </a:ext>
          </a:extLst>
        </xdr:cNvPr>
        <xdr:cNvSpPr/>
      </xdr:nvSpPr>
      <xdr:spPr>
        <a:xfrm>
          <a:off x="428625" y="3619500"/>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en-US" altLang="ja-JP"/>
        </a:p>
        <a:p>
          <a:endParaRPr lang="ja-JP" altLang="en-US"/>
        </a:p>
      </xdr:txBody>
    </xdr:sp>
    <xdr:clientData/>
  </xdr:twoCellAnchor>
  <xdr:twoCellAnchor>
    <xdr:from>
      <xdr:col>10</xdr:col>
      <xdr:colOff>0</xdr:colOff>
      <xdr:row>41</xdr:row>
      <xdr:rowOff>0</xdr:rowOff>
    </xdr:from>
    <xdr:to>
      <xdr:col>15</xdr:col>
      <xdr:colOff>0</xdr:colOff>
      <xdr:row>43</xdr:row>
      <xdr:rowOff>0</xdr:rowOff>
    </xdr:to>
    <xdr:sp macro="" textlink="">
      <xdr:nvSpPr>
        <xdr:cNvPr id="27" name="大かっこ 26">
          <a:extLst>
            <a:ext uri="{FF2B5EF4-FFF2-40B4-BE49-F238E27FC236}">
              <a16:creationId xmlns:a16="http://schemas.microsoft.com/office/drawing/2014/main" id="{0367DC1E-FC8C-4F01-AEA1-C8E516C04CF4}"/>
            </a:ext>
          </a:extLst>
        </xdr:cNvPr>
        <xdr:cNvSpPr/>
      </xdr:nvSpPr>
      <xdr:spPr>
        <a:xfrm>
          <a:off x="1238250" y="4410075"/>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xdr:col>
      <xdr:colOff>0</xdr:colOff>
      <xdr:row>41</xdr:row>
      <xdr:rowOff>0</xdr:rowOff>
    </xdr:from>
    <xdr:to>
      <xdr:col>15</xdr:col>
      <xdr:colOff>0</xdr:colOff>
      <xdr:row>43</xdr:row>
      <xdr:rowOff>0</xdr:rowOff>
    </xdr:to>
    <xdr:sp macro="" textlink="">
      <xdr:nvSpPr>
        <xdr:cNvPr id="28" name="大かっこ 27">
          <a:extLst>
            <a:ext uri="{FF2B5EF4-FFF2-40B4-BE49-F238E27FC236}">
              <a16:creationId xmlns:a16="http://schemas.microsoft.com/office/drawing/2014/main" id="{D2CEBF33-B77D-4FB1-A447-7E676C1834FA}"/>
            </a:ext>
          </a:extLst>
        </xdr:cNvPr>
        <xdr:cNvSpPr/>
      </xdr:nvSpPr>
      <xdr:spPr>
        <a:xfrm>
          <a:off x="1238250" y="4410075"/>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en-US" altLang="ja-JP"/>
        </a:p>
        <a:p>
          <a:endParaRPr lang="ja-JP" altLang="en-US"/>
        </a:p>
      </xdr:txBody>
    </xdr:sp>
    <xdr:clientData/>
  </xdr:twoCellAnchor>
  <xdr:twoCellAnchor>
    <xdr:from>
      <xdr:col>17</xdr:col>
      <xdr:colOff>0</xdr:colOff>
      <xdr:row>45</xdr:row>
      <xdr:rowOff>0</xdr:rowOff>
    </xdr:from>
    <xdr:to>
      <xdr:col>22</xdr:col>
      <xdr:colOff>0</xdr:colOff>
      <xdr:row>47</xdr:row>
      <xdr:rowOff>0</xdr:rowOff>
    </xdr:to>
    <xdr:sp macro="" textlink="">
      <xdr:nvSpPr>
        <xdr:cNvPr id="29" name="大かっこ 28">
          <a:extLst>
            <a:ext uri="{FF2B5EF4-FFF2-40B4-BE49-F238E27FC236}">
              <a16:creationId xmlns:a16="http://schemas.microsoft.com/office/drawing/2014/main" id="{78E4CD14-1AFB-413C-AF7B-0FBDB7AA34CD}"/>
            </a:ext>
          </a:extLst>
        </xdr:cNvPr>
        <xdr:cNvSpPr/>
      </xdr:nvSpPr>
      <xdr:spPr>
        <a:xfrm>
          <a:off x="2047875" y="5200650"/>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17</xdr:col>
      <xdr:colOff>0</xdr:colOff>
      <xdr:row>45</xdr:row>
      <xdr:rowOff>0</xdr:rowOff>
    </xdr:from>
    <xdr:to>
      <xdr:col>22</xdr:col>
      <xdr:colOff>0</xdr:colOff>
      <xdr:row>47</xdr:row>
      <xdr:rowOff>0</xdr:rowOff>
    </xdr:to>
    <xdr:sp macro="" textlink="">
      <xdr:nvSpPr>
        <xdr:cNvPr id="30" name="大かっこ 29">
          <a:extLst>
            <a:ext uri="{FF2B5EF4-FFF2-40B4-BE49-F238E27FC236}">
              <a16:creationId xmlns:a16="http://schemas.microsoft.com/office/drawing/2014/main" id="{085FEED5-C928-4474-8D12-96D8ABC41AA6}"/>
            </a:ext>
          </a:extLst>
        </xdr:cNvPr>
        <xdr:cNvSpPr/>
      </xdr:nvSpPr>
      <xdr:spPr>
        <a:xfrm>
          <a:off x="2047875" y="5200650"/>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en-US" altLang="ja-JP"/>
        </a:p>
        <a:p>
          <a:endParaRPr lang="ja-JP" altLang="en-US"/>
        </a:p>
      </xdr:txBody>
    </xdr:sp>
    <xdr:clientData/>
  </xdr:twoCellAnchor>
  <xdr:twoCellAnchor>
    <xdr:from>
      <xdr:col>24</xdr:col>
      <xdr:colOff>0</xdr:colOff>
      <xdr:row>49</xdr:row>
      <xdr:rowOff>0</xdr:rowOff>
    </xdr:from>
    <xdr:to>
      <xdr:col>29</xdr:col>
      <xdr:colOff>0</xdr:colOff>
      <xdr:row>51</xdr:row>
      <xdr:rowOff>0</xdr:rowOff>
    </xdr:to>
    <xdr:sp macro="" textlink="">
      <xdr:nvSpPr>
        <xdr:cNvPr id="31" name="大かっこ 30">
          <a:extLst>
            <a:ext uri="{FF2B5EF4-FFF2-40B4-BE49-F238E27FC236}">
              <a16:creationId xmlns:a16="http://schemas.microsoft.com/office/drawing/2014/main" id="{5AFE1EB9-0DA1-44FC-9DF8-BE1EA1134523}"/>
            </a:ext>
          </a:extLst>
        </xdr:cNvPr>
        <xdr:cNvSpPr/>
      </xdr:nvSpPr>
      <xdr:spPr>
        <a:xfrm>
          <a:off x="2857500" y="5991225"/>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0</xdr:colOff>
      <xdr:row>49</xdr:row>
      <xdr:rowOff>0</xdr:rowOff>
    </xdr:from>
    <xdr:to>
      <xdr:col>29</xdr:col>
      <xdr:colOff>0</xdr:colOff>
      <xdr:row>51</xdr:row>
      <xdr:rowOff>0</xdr:rowOff>
    </xdr:to>
    <xdr:sp macro="" textlink="">
      <xdr:nvSpPr>
        <xdr:cNvPr id="32" name="大かっこ 31">
          <a:extLst>
            <a:ext uri="{FF2B5EF4-FFF2-40B4-BE49-F238E27FC236}">
              <a16:creationId xmlns:a16="http://schemas.microsoft.com/office/drawing/2014/main" id="{DCEEFB4D-2D8E-4AA0-9CC9-E2A3170DDB7E}"/>
            </a:ext>
          </a:extLst>
        </xdr:cNvPr>
        <xdr:cNvSpPr/>
      </xdr:nvSpPr>
      <xdr:spPr>
        <a:xfrm>
          <a:off x="2857500" y="5991225"/>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en-US" altLang="ja-JP"/>
        </a:p>
        <a:p>
          <a:endParaRPr lang="ja-JP" altLang="en-US"/>
        </a:p>
      </xdr:txBody>
    </xdr:sp>
    <xdr:clientData/>
  </xdr:twoCellAnchor>
  <xdr:twoCellAnchor>
    <xdr:from>
      <xdr:col>3</xdr:col>
      <xdr:colOff>0</xdr:colOff>
      <xdr:row>41</xdr:row>
      <xdr:rowOff>0</xdr:rowOff>
    </xdr:from>
    <xdr:to>
      <xdr:col>8</xdr:col>
      <xdr:colOff>0</xdr:colOff>
      <xdr:row>43</xdr:row>
      <xdr:rowOff>0</xdr:rowOff>
    </xdr:to>
    <xdr:sp macro="" textlink="">
      <xdr:nvSpPr>
        <xdr:cNvPr id="33" name="大かっこ 32">
          <a:extLst>
            <a:ext uri="{FF2B5EF4-FFF2-40B4-BE49-F238E27FC236}">
              <a16:creationId xmlns:a16="http://schemas.microsoft.com/office/drawing/2014/main" id="{8977CD99-61C0-4E1F-AA8A-8A561990703B}"/>
            </a:ext>
          </a:extLst>
        </xdr:cNvPr>
        <xdr:cNvSpPr/>
      </xdr:nvSpPr>
      <xdr:spPr>
        <a:xfrm>
          <a:off x="428625" y="4410075"/>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0</xdr:colOff>
      <xdr:row>41</xdr:row>
      <xdr:rowOff>0</xdr:rowOff>
    </xdr:from>
    <xdr:to>
      <xdr:col>8</xdr:col>
      <xdr:colOff>0</xdr:colOff>
      <xdr:row>43</xdr:row>
      <xdr:rowOff>0</xdr:rowOff>
    </xdr:to>
    <xdr:sp macro="" textlink="">
      <xdr:nvSpPr>
        <xdr:cNvPr id="34" name="大かっこ 33">
          <a:extLst>
            <a:ext uri="{FF2B5EF4-FFF2-40B4-BE49-F238E27FC236}">
              <a16:creationId xmlns:a16="http://schemas.microsoft.com/office/drawing/2014/main" id="{FD83FA57-64E3-4627-AB3F-912C3695BB37}"/>
            </a:ext>
          </a:extLst>
        </xdr:cNvPr>
        <xdr:cNvSpPr/>
      </xdr:nvSpPr>
      <xdr:spPr>
        <a:xfrm>
          <a:off x="428625" y="4410075"/>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xdr:col>
      <xdr:colOff>0</xdr:colOff>
      <xdr:row>45</xdr:row>
      <xdr:rowOff>0</xdr:rowOff>
    </xdr:from>
    <xdr:to>
      <xdr:col>15</xdr:col>
      <xdr:colOff>0</xdr:colOff>
      <xdr:row>47</xdr:row>
      <xdr:rowOff>0</xdr:rowOff>
    </xdr:to>
    <xdr:sp macro="" textlink="">
      <xdr:nvSpPr>
        <xdr:cNvPr id="35" name="大かっこ 34">
          <a:extLst>
            <a:ext uri="{FF2B5EF4-FFF2-40B4-BE49-F238E27FC236}">
              <a16:creationId xmlns:a16="http://schemas.microsoft.com/office/drawing/2014/main" id="{5DE5810A-2DE8-48A7-ACAB-84AD3E7A172C}"/>
            </a:ext>
          </a:extLst>
        </xdr:cNvPr>
        <xdr:cNvSpPr/>
      </xdr:nvSpPr>
      <xdr:spPr>
        <a:xfrm>
          <a:off x="1238250" y="5200650"/>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xdr:col>
      <xdr:colOff>0</xdr:colOff>
      <xdr:row>45</xdr:row>
      <xdr:rowOff>0</xdr:rowOff>
    </xdr:from>
    <xdr:to>
      <xdr:col>15</xdr:col>
      <xdr:colOff>0</xdr:colOff>
      <xdr:row>47</xdr:row>
      <xdr:rowOff>0</xdr:rowOff>
    </xdr:to>
    <xdr:sp macro="" textlink="">
      <xdr:nvSpPr>
        <xdr:cNvPr id="36" name="大かっこ 35">
          <a:extLst>
            <a:ext uri="{FF2B5EF4-FFF2-40B4-BE49-F238E27FC236}">
              <a16:creationId xmlns:a16="http://schemas.microsoft.com/office/drawing/2014/main" id="{DDB8C6EC-8CFB-4668-A048-7C4194B7DF01}"/>
            </a:ext>
          </a:extLst>
        </xdr:cNvPr>
        <xdr:cNvSpPr/>
      </xdr:nvSpPr>
      <xdr:spPr>
        <a:xfrm>
          <a:off x="1238250" y="5200650"/>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17</xdr:col>
      <xdr:colOff>0</xdr:colOff>
      <xdr:row>49</xdr:row>
      <xdr:rowOff>0</xdr:rowOff>
    </xdr:from>
    <xdr:to>
      <xdr:col>22</xdr:col>
      <xdr:colOff>0</xdr:colOff>
      <xdr:row>51</xdr:row>
      <xdr:rowOff>0</xdr:rowOff>
    </xdr:to>
    <xdr:sp macro="" textlink="">
      <xdr:nvSpPr>
        <xdr:cNvPr id="37" name="大かっこ 36">
          <a:extLst>
            <a:ext uri="{FF2B5EF4-FFF2-40B4-BE49-F238E27FC236}">
              <a16:creationId xmlns:a16="http://schemas.microsoft.com/office/drawing/2014/main" id="{D3A7E1F7-47D0-4D2D-A85E-A707AB48E6AB}"/>
            </a:ext>
          </a:extLst>
        </xdr:cNvPr>
        <xdr:cNvSpPr/>
      </xdr:nvSpPr>
      <xdr:spPr>
        <a:xfrm>
          <a:off x="2047875" y="5991225"/>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17</xdr:col>
      <xdr:colOff>0</xdr:colOff>
      <xdr:row>49</xdr:row>
      <xdr:rowOff>0</xdr:rowOff>
    </xdr:from>
    <xdr:to>
      <xdr:col>22</xdr:col>
      <xdr:colOff>0</xdr:colOff>
      <xdr:row>51</xdr:row>
      <xdr:rowOff>0</xdr:rowOff>
    </xdr:to>
    <xdr:sp macro="" textlink="">
      <xdr:nvSpPr>
        <xdr:cNvPr id="38" name="大かっこ 37">
          <a:extLst>
            <a:ext uri="{FF2B5EF4-FFF2-40B4-BE49-F238E27FC236}">
              <a16:creationId xmlns:a16="http://schemas.microsoft.com/office/drawing/2014/main" id="{F9E30FC3-E8EB-4BA9-AC24-A03E51CADB4D}"/>
            </a:ext>
          </a:extLst>
        </xdr:cNvPr>
        <xdr:cNvSpPr/>
      </xdr:nvSpPr>
      <xdr:spPr>
        <a:xfrm>
          <a:off x="2047875" y="5991225"/>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0</xdr:colOff>
      <xdr:row>45</xdr:row>
      <xdr:rowOff>0</xdr:rowOff>
    </xdr:from>
    <xdr:to>
      <xdr:col>8</xdr:col>
      <xdr:colOff>0</xdr:colOff>
      <xdr:row>47</xdr:row>
      <xdr:rowOff>0</xdr:rowOff>
    </xdr:to>
    <xdr:sp macro="" textlink="">
      <xdr:nvSpPr>
        <xdr:cNvPr id="39" name="大かっこ 38">
          <a:extLst>
            <a:ext uri="{FF2B5EF4-FFF2-40B4-BE49-F238E27FC236}">
              <a16:creationId xmlns:a16="http://schemas.microsoft.com/office/drawing/2014/main" id="{8191686D-E232-4A67-9A98-2841904155A9}"/>
            </a:ext>
          </a:extLst>
        </xdr:cNvPr>
        <xdr:cNvSpPr/>
      </xdr:nvSpPr>
      <xdr:spPr>
        <a:xfrm>
          <a:off x="428625" y="5200650"/>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0</xdr:colOff>
      <xdr:row>45</xdr:row>
      <xdr:rowOff>0</xdr:rowOff>
    </xdr:from>
    <xdr:to>
      <xdr:col>8</xdr:col>
      <xdr:colOff>0</xdr:colOff>
      <xdr:row>47</xdr:row>
      <xdr:rowOff>0</xdr:rowOff>
    </xdr:to>
    <xdr:sp macro="" textlink="">
      <xdr:nvSpPr>
        <xdr:cNvPr id="40" name="大かっこ 39">
          <a:extLst>
            <a:ext uri="{FF2B5EF4-FFF2-40B4-BE49-F238E27FC236}">
              <a16:creationId xmlns:a16="http://schemas.microsoft.com/office/drawing/2014/main" id="{87BB8B26-B59C-428D-874B-63387DFC4BFA}"/>
            </a:ext>
          </a:extLst>
        </xdr:cNvPr>
        <xdr:cNvSpPr/>
      </xdr:nvSpPr>
      <xdr:spPr>
        <a:xfrm>
          <a:off x="428625" y="5200650"/>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xdr:col>
      <xdr:colOff>0</xdr:colOff>
      <xdr:row>49</xdr:row>
      <xdr:rowOff>0</xdr:rowOff>
    </xdr:from>
    <xdr:to>
      <xdr:col>15</xdr:col>
      <xdr:colOff>0</xdr:colOff>
      <xdr:row>51</xdr:row>
      <xdr:rowOff>0</xdr:rowOff>
    </xdr:to>
    <xdr:sp macro="" textlink="">
      <xdr:nvSpPr>
        <xdr:cNvPr id="41" name="大かっこ 40">
          <a:extLst>
            <a:ext uri="{FF2B5EF4-FFF2-40B4-BE49-F238E27FC236}">
              <a16:creationId xmlns:a16="http://schemas.microsoft.com/office/drawing/2014/main" id="{3062BD70-0C86-471A-ABC0-E759538AA22C}"/>
            </a:ext>
          </a:extLst>
        </xdr:cNvPr>
        <xdr:cNvSpPr/>
      </xdr:nvSpPr>
      <xdr:spPr>
        <a:xfrm>
          <a:off x="1238250" y="5991225"/>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xdr:col>
      <xdr:colOff>0</xdr:colOff>
      <xdr:row>49</xdr:row>
      <xdr:rowOff>0</xdr:rowOff>
    </xdr:from>
    <xdr:to>
      <xdr:col>15</xdr:col>
      <xdr:colOff>0</xdr:colOff>
      <xdr:row>51</xdr:row>
      <xdr:rowOff>0</xdr:rowOff>
    </xdr:to>
    <xdr:sp macro="" textlink="">
      <xdr:nvSpPr>
        <xdr:cNvPr id="42" name="大かっこ 41">
          <a:extLst>
            <a:ext uri="{FF2B5EF4-FFF2-40B4-BE49-F238E27FC236}">
              <a16:creationId xmlns:a16="http://schemas.microsoft.com/office/drawing/2014/main" id="{88A96AD9-FE75-4898-8265-446A92C3C73A}"/>
            </a:ext>
          </a:extLst>
        </xdr:cNvPr>
        <xdr:cNvSpPr/>
      </xdr:nvSpPr>
      <xdr:spPr>
        <a:xfrm>
          <a:off x="1238250" y="5991225"/>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0</xdr:colOff>
      <xdr:row>49</xdr:row>
      <xdr:rowOff>0</xdr:rowOff>
    </xdr:from>
    <xdr:to>
      <xdr:col>8</xdr:col>
      <xdr:colOff>0</xdr:colOff>
      <xdr:row>51</xdr:row>
      <xdr:rowOff>0</xdr:rowOff>
    </xdr:to>
    <xdr:sp macro="" textlink="">
      <xdr:nvSpPr>
        <xdr:cNvPr id="43" name="大かっこ 42">
          <a:extLst>
            <a:ext uri="{FF2B5EF4-FFF2-40B4-BE49-F238E27FC236}">
              <a16:creationId xmlns:a16="http://schemas.microsoft.com/office/drawing/2014/main" id="{7EFD4C14-3AF6-422A-95E8-05C5D03A0E11}"/>
            </a:ext>
          </a:extLst>
        </xdr:cNvPr>
        <xdr:cNvSpPr/>
      </xdr:nvSpPr>
      <xdr:spPr>
        <a:xfrm>
          <a:off x="428625" y="5991225"/>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0</xdr:colOff>
      <xdr:row>49</xdr:row>
      <xdr:rowOff>0</xdr:rowOff>
    </xdr:from>
    <xdr:to>
      <xdr:col>8</xdr:col>
      <xdr:colOff>0</xdr:colOff>
      <xdr:row>51</xdr:row>
      <xdr:rowOff>0</xdr:rowOff>
    </xdr:to>
    <xdr:sp macro="" textlink="">
      <xdr:nvSpPr>
        <xdr:cNvPr id="44" name="大かっこ 43">
          <a:extLst>
            <a:ext uri="{FF2B5EF4-FFF2-40B4-BE49-F238E27FC236}">
              <a16:creationId xmlns:a16="http://schemas.microsoft.com/office/drawing/2014/main" id="{372B4F66-11E8-4498-A08D-A8088B488F5E}"/>
            </a:ext>
          </a:extLst>
        </xdr:cNvPr>
        <xdr:cNvSpPr/>
      </xdr:nvSpPr>
      <xdr:spPr>
        <a:xfrm>
          <a:off x="428625" y="5991225"/>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xdr:col>
      <xdr:colOff>0</xdr:colOff>
      <xdr:row>49</xdr:row>
      <xdr:rowOff>0</xdr:rowOff>
    </xdr:from>
    <xdr:to>
      <xdr:col>15</xdr:col>
      <xdr:colOff>0</xdr:colOff>
      <xdr:row>51</xdr:row>
      <xdr:rowOff>0</xdr:rowOff>
    </xdr:to>
    <xdr:sp macro="" textlink="">
      <xdr:nvSpPr>
        <xdr:cNvPr id="45" name="大かっこ 44">
          <a:extLst>
            <a:ext uri="{FF2B5EF4-FFF2-40B4-BE49-F238E27FC236}">
              <a16:creationId xmlns:a16="http://schemas.microsoft.com/office/drawing/2014/main" id="{AD0716B8-3850-420A-95C7-59C974A2FD40}"/>
            </a:ext>
          </a:extLst>
        </xdr:cNvPr>
        <xdr:cNvSpPr/>
      </xdr:nvSpPr>
      <xdr:spPr>
        <a:xfrm>
          <a:off x="1238250" y="5991225"/>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xdr:col>
      <xdr:colOff>0</xdr:colOff>
      <xdr:row>49</xdr:row>
      <xdr:rowOff>0</xdr:rowOff>
    </xdr:from>
    <xdr:to>
      <xdr:col>15</xdr:col>
      <xdr:colOff>0</xdr:colOff>
      <xdr:row>51</xdr:row>
      <xdr:rowOff>0</xdr:rowOff>
    </xdr:to>
    <xdr:sp macro="" textlink="">
      <xdr:nvSpPr>
        <xdr:cNvPr id="46" name="大かっこ 45">
          <a:extLst>
            <a:ext uri="{FF2B5EF4-FFF2-40B4-BE49-F238E27FC236}">
              <a16:creationId xmlns:a16="http://schemas.microsoft.com/office/drawing/2014/main" id="{AB8D7DFD-9B0C-46BE-A853-E48760602DA9}"/>
            </a:ext>
          </a:extLst>
        </xdr:cNvPr>
        <xdr:cNvSpPr/>
      </xdr:nvSpPr>
      <xdr:spPr>
        <a:xfrm>
          <a:off x="1238250" y="5991225"/>
          <a:ext cx="7143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25950</xdr:colOff>
      <xdr:row>57</xdr:row>
      <xdr:rowOff>12700</xdr:rowOff>
    </xdr:from>
    <xdr:to>
      <xdr:col>14</xdr:col>
      <xdr:colOff>50800</xdr:colOff>
      <xdr:row>59</xdr:row>
      <xdr:rowOff>0</xdr:rowOff>
    </xdr:to>
    <xdr:sp macro="" textlink="">
      <xdr:nvSpPr>
        <xdr:cNvPr id="2" name="大かっこ 1">
          <a:extLst>
            <a:ext uri="{FF2B5EF4-FFF2-40B4-BE49-F238E27FC236}">
              <a16:creationId xmlns:a16="http://schemas.microsoft.com/office/drawing/2014/main" id="{A1BE8CCB-F929-42AA-B7EF-A02C4368BA29}"/>
            </a:ext>
          </a:extLst>
        </xdr:cNvPr>
        <xdr:cNvSpPr/>
      </xdr:nvSpPr>
      <xdr:spPr>
        <a:xfrm>
          <a:off x="1159425" y="8594725"/>
          <a:ext cx="405850" cy="3302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122</xdr:col>
      <xdr:colOff>0</xdr:colOff>
      <xdr:row>47</xdr:row>
      <xdr:rowOff>0</xdr:rowOff>
    </xdr:from>
    <xdr:to>
      <xdr:col>128</xdr:col>
      <xdr:colOff>0</xdr:colOff>
      <xdr:row>49</xdr:row>
      <xdr:rowOff>1</xdr:rowOff>
    </xdr:to>
    <xdr:sp macro="" textlink="">
      <xdr:nvSpPr>
        <xdr:cNvPr id="3" name="大かっこ 2">
          <a:extLst>
            <a:ext uri="{FF2B5EF4-FFF2-40B4-BE49-F238E27FC236}">
              <a16:creationId xmlns:a16="http://schemas.microsoft.com/office/drawing/2014/main" id="{B17A0977-DBD4-4288-80DF-1AEC7FEF3CE9}"/>
            </a:ext>
          </a:extLst>
        </xdr:cNvPr>
        <xdr:cNvSpPr/>
      </xdr:nvSpPr>
      <xdr:spPr>
        <a:xfrm>
          <a:off x="11115675" y="7162800"/>
          <a:ext cx="457200" cy="3429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92</xdr:col>
      <xdr:colOff>0</xdr:colOff>
      <xdr:row>47</xdr:row>
      <xdr:rowOff>0</xdr:rowOff>
    </xdr:from>
    <xdr:to>
      <xdr:col>98</xdr:col>
      <xdr:colOff>0</xdr:colOff>
      <xdr:row>49</xdr:row>
      <xdr:rowOff>1</xdr:rowOff>
    </xdr:to>
    <xdr:sp macro="" textlink="">
      <xdr:nvSpPr>
        <xdr:cNvPr id="4" name="大かっこ 3">
          <a:extLst>
            <a:ext uri="{FF2B5EF4-FFF2-40B4-BE49-F238E27FC236}">
              <a16:creationId xmlns:a16="http://schemas.microsoft.com/office/drawing/2014/main" id="{86226BA5-8428-4666-BB5A-12BB70E2143B}"/>
            </a:ext>
          </a:extLst>
        </xdr:cNvPr>
        <xdr:cNvSpPr/>
      </xdr:nvSpPr>
      <xdr:spPr>
        <a:xfrm>
          <a:off x="8372475" y="7162800"/>
          <a:ext cx="457200" cy="3429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69</xdr:col>
      <xdr:colOff>38101</xdr:colOff>
      <xdr:row>47</xdr:row>
      <xdr:rowOff>0</xdr:rowOff>
    </xdr:from>
    <xdr:to>
      <xdr:col>76</xdr:col>
      <xdr:colOff>1</xdr:colOff>
      <xdr:row>49</xdr:row>
      <xdr:rowOff>1</xdr:rowOff>
    </xdr:to>
    <xdr:sp macro="" textlink="">
      <xdr:nvSpPr>
        <xdr:cNvPr id="5" name="大かっこ 4">
          <a:extLst>
            <a:ext uri="{FF2B5EF4-FFF2-40B4-BE49-F238E27FC236}">
              <a16:creationId xmlns:a16="http://schemas.microsoft.com/office/drawing/2014/main" id="{37BC6182-8368-45CF-B3EA-B855B844A8BD}"/>
            </a:ext>
          </a:extLst>
        </xdr:cNvPr>
        <xdr:cNvSpPr/>
      </xdr:nvSpPr>
      <xdr:spPr>
        <a:xfrm>
          <a:off x="4787901" y="6826250"/>
          <a:ext cx="450850" cy="3429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56</xdr:col>
      <xdr:colOff>0</xdr:colOff>
      <xdr:row>47</xdr:row>
      <xdr:rowOff>0</xdr:rowOff>
    </xdr:from>
    <xdr:to>
      <xdr:col>62</xdr:col>
      <xdr:colOff>0</xdr:colOff>
      <xdr:row>49</xdr:row>
      <xdr:rowOff>1</xdr:rowOff>
    </xdr:to>
    <xdr:sp macro="" textlink="">
      <xdr:nvSpPr>
        <xdr:cNvPr id="6" name="大かっこ 5">
          <a:extLst>
            <a:ext uri="{FF2B5EF4-FFF2-40B4-BE49-F238E27FC236}">
              <a16:creationId xmlns:a16="http://schemas.microsoft.com/office/drawing/2014/main" id="{442EB217-5BB8-41D2-99CF-2F1C5B4C501E}"/>
            </a:ext>
          </a:extLst>
        </xdr:cNvPr>
        <xdr:cNvSpPr/>
      </xdr:nvSpPr>
      <xdr:spPr>
        <a:xfrm>
          <a:off x="5629275" y="7162800"/>
          <a:ext cx="457200" cy="3429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34</xdr:col>
      <xdr:colOff>0</xdr:colOff>
      <xdr:row>47</xdr:row>
      <xdr:rowOff>0</xdr:rowOff>
    </xdr:from>
    <xdr:to>
      <xdr:col>40</xdr:col>
      <xdr:colOff>0</xdr:colOff>
      <xdr:row>49</xdr:row>
      <xdr:rowOff>1</xdr:rowOff>
    </xdr:to>
    <xdr:sp macro="" textlink="">
      <xdr:nvSpPr>
        <xdr:cNvPr id="7" name="大かっこ 6">
          <a:extLst>
            <a:ext uri="{FF2B5EF4-FFF2-40B4-BE49-F238E27FC236}">
              <a16:creationId xmlns:a16="http://schemas.microsoft.com/office/drawing/2014/main" id="{3BD16115-FB10-4B45-8EA2-118CC3682B35}"/>
            </a:ext>
          </a:extLst>
        </xdr:cNvPr>
        <xdr:cNvSpPr/>
      </xdr:nvSpPr>
      <xdr:spPr>
        <a:xfrm>
          <a:off x="3952875" y="7162800"/>
          <a:ext cx="457200" cy="3429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34637</xdr:colOff>
      <xdr:row>47</xdr:row>
      <xdr:rowOff>0</xdr:rowOff>
    </xdr:from>
    <xdr:to>
      <xdr:col>10</xdr:col>
      <xdr:colOff>1</xdr:colOff>
      <xdr:row>49</xdr:row>
      <xdr:rowOff>1</xdr:rowOff>
    </xdr:to>
    <xdr:sp macro="" textlink="">
      <xdr:nvSpPr>
        <xdr:cNvPr id="9" name="大かっこ 8">
          <a:extLst>
            <a:ext uri="{FF2B5EF4-FFF2-40B4-BE49-F238E27FC236}">
              <a16:creationId xmlns:a16="http://schemas.microsoft.com/office/drawing/2014/main" id="{D3616E68-4351-4938-9AAF-A7B95C85F6E0}"/>
            </a:ext>
          </a:extLst>
        </xdr:cNvPr>
        <xdr:cNvSpPr/>
      </xdr:nvSpPr>
      <xdr:spPr>
        <a:xfrm>
          <a:off x="173182" y="6898409"/>
          <a:ext cx="450274" cy="3463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44</xdr:col>
      <xdr:colOff>74543</xdr:colOff>
      <xdr:row>37</xdr:row>
      <xdr:rowOff>0</xdr:rowOff>
    </xdr:from>
    <xdr:to>
      <xdr:col>51</xdr:col>
      <xdr:colOff>0</xdr:colOff>
      <xdr:row>39</xdr:row>
      <xdr:rowOff>1</xdr:rowOff>
    </xdr:to>
    <xdr:sp macro="" textlink="">
      <xdr:nvSpPr>
        <xdr:cNvPr id="11" name="大かっこ 10">
          <a:extLst>
            <a:ext uri="{FF2B5EF4-FFF2-40B4-BE49-F238E27FC236}">
              <a16:creationId xmlns:a16="http://schemas.microsoft.com/office/drawing/2014/main" id="{A3333215-E29F-402B-AE28-1E62D7073E6E}"/>
            </a:ext>
          </a:extLst>
        </xdr:cNvPr>
        <xdr:cNvSpPr/>
      </xdr:nvSpPr>
      <xdr:spPr>
        <a:xfrm>
          <a:off x="4789418" y="5743575"/>
          <a:ext cx="458857" cy="3429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81</xdr:col>
      <xdr:colOff>0</xdr:colOff>
      <xdr:row>37</xdr:row>
      <xdr:rowOff>0</xdr:rowOff>
    </xdr:from>
    <xdr:to>
      <xdr:col>87</xdr:col>
      <xdr:colOff>0</xdr:colOff>
      <xdr:row>39</xdr:row>
      <xdr:rowOff>1</xdr:rowOff>
    </xdr:to>
    <xdr:sp macro="" textlink="">
      <xdr:nvSpPr>
        <xdr:cNvPr id="12" name="大かっこ 11">
          <a:extLst>
            <a:ext uri="{FF2B5EF4-FFF2-40B4-BE49-F238E27FC236}">
              <a16:creationId xmlns:a16="http://schemas.microsoft.com/office/drawing/2014/main" id="{217187EF-BF1A-4F52-A55F-2064852FF9FC}"/>
            </a:ext>
          </a:extLst>
        </xdr:cNvPr>
        <xdr:cNvSpPr/>
      </xdr:nvSpPr>
      <xdr:spPr>
        <a:xfrm>
          <a:off x="7534275" y="5743575"/>
          <a:ext cx="457200" cy="3429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63</xdr:col>
      <xdr:colOff>0</xdr:colOff>
      <xdr:row>15</xdr:row>
      <xdr:rowOff>0</xdr:rowOff>
    </xdr:from>
    <xdr:to>
      <xdr:col>69</xdr:col>
      <xdr:colOff>0</xdr:colOff>
      <xdr:row>17</xdr:row>
      <xdr:rowOff>1</xdr:rowOff>
    </xdr:to>
    <xdr:sp macro="" textlink="">
      <xdr:nvSpPr>
        <xdr:cNvPr id="15" name="大かっこ 14">
          <a:extLst>
            <a:ext uri="{FF2B5EF4-FFF2-40B4-BE49-F238E27FC236}">
              <a16:creationId xmlns:a16="http://schemas.microsoft.com/office/drawing/2014/main" id="{5DB85905-DF37-415A-AD3D-C8437C0022D1}"/>
            </a:ext>
          </a:extLst>
        </xdr:cNvPr>
        <xdr:cNvSpPr/>
      </xdr:nvSpPr>
      <xdr:spPr>
        <a:xfrm>
          <a:off x="6162675" y="2562225"/>
          <a:ext cx="457200" cy="3429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39</xdr:col>
      <xdr:colOff>25950</xdr:colOff>
      <xdr:row>57</xdr:row>
      <xdr:rowOff>12700</xdr:rowOff>
    </xdr:from>
    <xdr:to>
      <xdr:col>44</xdr:col>
      <xdr:colOff>50800</xdr:colOff>
      <xdr:row>59</xdr:row>
      <xdr:rowOff>12700</xdr:rowOff>
    </xdr:to>
    <xdr:sp macro="" textlink="">
      <xdr:nvSpPr>
        <xdr:cNvPr id="28" name="大かっこ 27">
          <a:extLst>
            <a:ext uri="{FF2B5EF4-FFF2-40B4-BE49-F238E27FC236}">
              <a16:creationId xmlns:a16="http://schemas.microsoft.com/office/drawing/2014/main" id="{51CF351C-46DB-4F1F-9504-E9B663658495}"/>
            </a:ext>
          </a:extLst>
        </xdr:cNvPr>
        <xdr:cNvSpPr/>
      </xdr:nvSpPr>
      <xdr:spPr>
        <a:xfrm>
          <a:off x="4359825" y="8594725"/>
          <a:ext cx="40585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51</xdr:col>
      <xdr:colOff>25950</xdr:colOff>
      <xdr:row>57</xdr:row>
      <xdr:rowOff>12700</xdr:rowOff>
    </xdr:from>
    <xdr:to>
      <xdr:col>56</xdr:col>
      <xdr:colOff>50800</xdr:colOff>
      <xdr:row>59</xdr:row>
      <xdr:rowOff>12700</xdr:rowOff>
    </xdr:to>
    <xdr:sp macro="" textlink="">
      <xdr:nvSpPr>
        <xdr:cNvPr id="29" name="大かっこ 28">
          <a:extLst>
            <a:ext uri="{FF2B5EF4-FFF2-40B4-BE49-F238E27FC236}">
              <a16:creationId xmlns:a16="http://schemas.microsoft.com/office/drawing/2014/main" id="{77C8D734-B509-4AD0-B0E6-FB874D17D3BF}"/>
            </a:ext>
          </a:extLst>
        </xdr:cNvPr>
        <xdr:cNvSpPr/>
      </xdr:nvSpPr>
      <xdr:spPr>
        <a:xfrm>
          <a:off x="5274225" y="8594725"/>
          <a:ext cx="40585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75</xdr:col>
      <xdr:colOff>25950</xdr:colOff>
      <xdr:row>57</xdr:row>
      <xdr:rowOff>12700</xdr:rowOff>
    </xdr:from>
    <xdr:to>
      <xdr:col>80</xdr:col>
      <xdr:colOff>50800</xdr:colOff>
      <xdr:row>59</xdr:row>
      <xdr:rowOff>12700</xdr:rowOff>
    </xdr:to>
    <xdr:sp macro="" textlink="">
      <xdr:nvSpPr>
        <xdr:cNvPr id="30" name="大かっこ 29">
          <a:extLst>
            <a:ext uri="{FF2B5EF4-FFF2-40B4-BE49-F238E27FC236}">
              <a16:creationId xmlns:a16="http://schemas.microsoft.com/office/drawing/2014/main" id="{D4EBF3B2-482B-4C1F-B612-749235159D37}"/>
            </a:ext>
          </a:extLst>
        </xdr:cNvPr>
        <xdr:cNvSpPr/>
      </xdr:nvSpPr>
      <xdr:spPr>
        <a:xfrm>
          <a:off x="7103025" y="8594725"/>
          <a:ext cx="40585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87</xdr:col>
      <xdr:colOff>25950</xdr:colOff>
      <xdr:row>57</xdr:row>
      <xdr:rowOff>12700</xdr:rowOff>
    </xdr:from>
    <xdr:to>
      <xdr:col>92</xdr:col>
      <xdr:colOff>50800</xdr:colOff>
      <xdr:row>59</xdr:row>
      <xdr:rowOff>12700</xdr:rowOff>
    </xdr:to>
    <xdr:sp macro="" textlink="">
      <xdr:nvSpPr>
        <xdr:cNvPr id="31" name="大かっこ 30">
          <a:extLst>
            <a:ext uri="{FF2B5EF4-FFF2-40B4-BE49-F238E27FC236}">
              <a16:creationId xmlns:a16="http://schemas.microsoft.com/office/drawing/2014/main" id="{A5288BFA-3EE2-4615-92A6-20198405D915}"/>
            </a:ext>
          </a:extLst>
        </xdr:cNvPr>
        <xdr:cNvSpPr/>
      </xdr:nvSpPr>
      <xdr:spPr>
        <a:xfrm>
          <a:off x="6579150" y="8328025"/>
          <a:ext cx="40585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117</xdr:col>
      <xdr:colOff>25950</xdr:colOff>
      <xdr:row>57</xdr:row>
      <xdr:rowOff>12700</xdr:rowOff>
    </xdr:from>
    <xdr:to>
      <xdr:col>122</xdr:col>
      <xdr:colOff>50800</xdr:colOff>
      <xdr:row>59</xdr:row>
      <xdr:rowOff>12700</xdr:rowOff>
    </xdr:to>
    <xdr:sp macro="" textlink="">
      <xdr:nvSpPr>
        <xdr:cNvPr id="33" name="大かっこ 32">
          <a:extLst>
            <a:ext uri="{FF2B5EF4-FFF2-40B4-BE49-F238E27FC236}">
              <a16:creationId xmlns:a16="http://schemas.microsoft.com/office/drawing/2014/main" id="{D2666484-9B92-43FC-AB1B-350370BC27FD}"/>
            </a:ext>
          </a:extLst>
        </xdr:cNvPr>
        <xdr:cNvSpPr/>
      </xdr:nvSpPr>
      <xdr:spPr>
        <a:xfrm>
          <a:off x="10760625" y="8594725"/>
          <a:ext cx="40585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105</xdr:col>
      <xdr:colOff>25950</xdr:colOff>
      <xdr:row>47</xdr:row>
      <xdr:rowOff>12700</xdr:rowOff>
    </xdr:from>
    <xdr:to>
      <xdr:col>110</xdr:col>
      <xdr:colOff>50800</xdr:colOff>
      <xdr:row>49</xdr:row>
      <xdr:rowOff>12700</xdr:rowOff>
    </xdr:to>
    <xdr:sp macro="" textlink="">
      <xdr:nvSpPr>
        <xdr:cNvPr id="34" name="大かっこ 33">
          <a:extLst>
            <a:ext uri="{FF2B5EF4-FFF2-40B4-BE49-F238E27FC236}">
              <a16:creationId xmlns:a16="http://schemas.microsoft.com/office/drawing/2014/main" id="{7D534DD4-9EDC-4600-93B0-292CFBAC0AB9}"/>
            </a:ext>
          </a:extLst>
        </xdr:cNvPr>
        <xdr:cNvSpPr/>
      </xdr:nvSpPr>
      <xdr:spPr>
        <a:xfrm>
          <a:off x="7455450" y="6958013"/>
          <a:ext cx="382038" cy="3492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21</xdr:col>
      <xdr:colOff>25950</xdr:colOff>
      <xdr:row>47</xdr:row>
      <xdr:rowOff>12700</xdr:rowOff>
    </xdr:from>
    <xdr:to>
      <xdr:col>26</xdr:col>
      <xdr:colOff>50800</xdr:colOff>
      <xdr:row>49</xdr:row>
      <xdr:rowOff>12700</xdr:rowOff>
    </xdr:to>
    <xdr:sp macro="" textlink="">
      <xdr:nvSpPr>
        <xdr:cNvPr id="35" name="大かっこ 34">
          <a:extLst>
            <a:ext uri="{FF2B5EF4-FFF2-40B4-BE49-F238E27FC236}">
              <a16:creationId xmlns:a16="http://schemas.microsoft.com/office/drawing/2014/main" id="{4C74D4A9-3B6A-4919-9C19-6B9BA0162687}"/>
            </a:ext>
          </a:extLst>
        </xdr:cNvPr>
        <xdr:cNvSpPr/>
      </xdr:nvSpPr>
      <xdr:spPr>
        <a:xfrm>
          <a:off x="2073825" y="8613775"/>
          <a:ext cx="40585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114</xdr:col>
      <xdr:colOff>0</xdr:colOff>
      <xdr:row>37</xdr:row>
      <xdr:rowOff>0</xdr:rowOff>
    </xdr:from>
    <xdr:to>
      <xdr:col>120</xdr:col>
      <xdr:colOff>0</xdr:colOff>
      <xdr:row>39</xdr:row>
      <xdr:rowOff>1</xdr:rowOff>
    </xdr:to>
    <xdr:sp macro="" textlink="">
      <xdr:nvSpPr>
        <xdr:cNvPr id="37" name="大かっこ 36">
          <a:extLst>
            <a:ext uri="{FF2B5EF4-FFF2-40B4-BE49-F238E27FC236}">
              <a16:creationId xmlns:a16="http://schemas.microsoft.com/office/drawing/2014/main" id="{7B812022-B37C-4C4A-9BF6-B4DA1472731E}"/>
            </a:ext>
          </a:extLst>
        </xdr:cNvPr>
        <xdr:cNvSpPr/>
      </xdr:nvSpPr>
      <xdr:spPr>
        <a:xfrm>
          <a:off x="6619875" y="5762625"/>
          <a:ext cx="457200" cy="3429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12</xdr:col>
      <xdr:colOff>0</xdr:colOff>
      <xdr:row>37</xdr:row>
      <xdr:rowOff>0</xdr:rowOff>
    </xdr:from>
    <xdr:to>
      <xdr:col>18</xdr:col>
      <xdr:colOff>0</xdr:colOff>
      <xdr:row>39</xdr:row>
      <xdr:rowOff>1</xdr:rowOff>
    </xdr:to>
    <xdr:sp macro="" textlink="">
      <xdr:nvSpPr>
        <xdr:cNvPr id="39" name="大かっこ 38">
          <a:extLst>
            <a:ext uri="{FF2B5EF4-FFF2-40B4-BE49-F238E27FC236}">
              <a16:creationId xmlns:a16="http://schemas.microsoft.com/office/drawing/2014/main" id="{81DCB318-A9A5-4552-ADF5-D287C23D798F}"/>
            </a:ext>
          </a:extLst>
        </xdr:cNvPr>
        <xdr:cNvSpPr/>
      </xdr:nvSpPr>
      <xdr:spPr>
        <a:xfrm>
          <a:off x="6619875" y="5762625"/>
          <a:ext cx="457200" cy="3429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29</xdr:col>
      <xdr:colOff>74543</xdr:colOff>
      <xdr:row>27</xdr:row>
      <xdr:rowOff>0</xdr:rowOff>
    </xdr:from>
    <xdr:to>
      <xdr:col>36</xdr:col>
      <xdr:colOff>0</xdr:colOff>
      <xdr:row>29</xdr:row>
      <xdr:rowOff>1</xdr:rowOff>
    </xdr:to>
    <xdr:sp macro="" textlink="">
      <xdr:nvSpPr>
        <xdr:cNvPr id="41" name="大かっこ 40">
          <a:extLst>
            <a:ext uri="{FF2B5EF4-FFF2-40B4-BE49-F238E27FC236}">
              <a16:creationId xmlns:a16="http://schemas.microsoft.com/office/drawing/2014/main" id="{360D2B91-D6B3-4049-BE60-C79CCC3760B2}"/>
            </a:ext>
          </a:extLst>
        </xdr:cNvPr>
        <xdr:cNvSpPr/>
      </xdr:nvSpPr>
      <xdr:spPr>
        <a:xfrm>
          <a:off x="3875018" y="6276975"/>
          <a:ext cx="458857" cy="3429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95</xdr:col>
      <xdr:colOff>74543</xdr:colOff>
      <xdr:row>27</xdr:row>
      <xdr:rowOff>0</xdr:rowOff>
    </xdr:from>
    <xdr:to>
      <xdr:col>102</xdr:col>
      <xdr:colOff>0</xdr:colOff>
      <xdr:row>29</xdr:row>
      <xdr:rowOff>1</xdr:rowOff>
    </xdr:to>
    <xdr:sp macro="" textlink="">
      <xdr:nvSpPr>
        <xdr:cNvPr id="42" name="大かっこ 41">
          <a:extLst>
            <a:ext uri="{FF2B5EF4-FFF2-40B4-BE49-F238E27FC236}">
              <a16:creationId xmlns:a16="http://schemas.microsoft.com/office/drawing/2014/main" id="{D8D8EE6B-EB31-4CBF-96E9-88E59EFDA784}"/>
            </a:ext>
          </a:extLst>
        </xdr:cNvPr>
        <xdr:cNvSpPr/>
      </xdr:nvSpPr>
      <xdr:spPr>
        <a:xfrm>
          <a:off x="3875018" y="6276975"/>
          <a:ext cx="458857" cy="3429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48</xdr:col>
      <xdr:colOff>74543</xdr:colOff>
      <xdr:row>97</xdr:row>
      <xdr:rowOff>0</xdr:rowOff>
    </xdr:from>
    <xdr:to>
      <xdr:col>55</xdr:col>
      <xdr:colOff>0</xdr:colOff>
      <xdr:row>99</xdr:row>
      <xdr:rowOff>1</xdr:rowOff>
    </xdr:to>
    <xdr:sp macro="" textlink="">
      <xdr:nvSpPr>
        <xdr:cNvPr id="50" name="大かっこ 49">
          <a:extLst>
            <a:ext uri="{FF2B5EF4-FFF2-40B4-BE49-F238E27FC236}">
              <a16:creationId xmlns:a16="http://schemas.microsoft.com/office/drawing/2014/main" id="{95695DEC-26CE-43C3-9385-2706A143013E}"/>
            </a:ext>
          </a:extLst>
        </xdr:cNvPr>
        <xdr:cNvSpPr/>
      </xdr:nvSpPr>
      <xdr:spPr>
        <a:xfrm>
          <a:off x="3875018" y="17078325"/>
          <a:ext cx="458857" cy="3429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77</xdr:col>
      <xdr:colOff>0</xdr:colOff>
      <xdr:row>97</xdr:row>
      <xdr:rowOff>0</xdr:rowOff>
    </xdr:from>
    <xdr:to>
      <xdr:col>83</xdr:col>
      <xdr:colOff>0</xdr:colOff>
      <xdr:row>99</xdr:row>
      <xdr:rowOff>1</xdr:rowOff>
    </xdr:to>
    <xdr:sp macro="" textlink="">
      <xdr:nvSpPr>
        <xdr:cNvPr id="51" name="大かっこ 50">
          <a:extLst>
            <a:ext uri="{FF2B5EF4-FFF2-40B4-BE49-F238E27FC236}">
              <a16:creationId xmlns:a16="http://schemas.microsoft.com/office/drawing/2014/main" id="{0F3ED8FB-2AF7-4B43-B20B-9D48ABC0AED2}"/>
            </a:ext>
          </a:extLst>
        </xdr:cNvPr>
        <xdr:cNvSpPr/>
      </xdr:nvSpPr>
      <xdr:spPr>
        <a:xfrm>
          <a:off x="6619875" y="17078325"/>
          <a:ext cx="457200" cy="3429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63</xdr:col>
      <xdr:colOff>0</xdr:colOff>
      <xdr:row>75</xdr:row>
      <xdr:rowOff>0</xdr:rowOff>
    </xdr:from>
    <xdr:to>
      <xdr:col>69</xdr:col>
      <xdr:colOff>0</xdr:colOff>
      <xdr:row>77</xdr:row>
      <xdr:rowOff>1</xdr:rowOff>
    </xdr:to>
    <xdr:sp macro="" textlink="">
      <xdr:nvSpPr>
        <xdr:cNvPr id="52" name="大かっこ 51">
          <a:extLst>
            <a:ext uri="{FF2B5EF4-FFF2-40B4-BE49-F238E27FC236}">
              <a16:creationId xmlns:a16="http://schemas.microsoft.com/office/drawing/2014/main" id="{D3380B82-1E64-45BF-A517-9DC903CFE367}"/>
            </a:ext>
          </a:extLst>
        </xdr:cNvPr>
        <xdr:cNvSpPr/>
      </xdr:nvSpPr>
      <xdr:spPr>
        <a:xfrm>
          <a:off x="5248275" y="13554075"/>
          <a:ext cx="457200" cy="3429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105</xdr:col>
      <xdr:colOff>0</xdr:colOff>
      <xdr:row>97</xdr:row>
      <xdr:rowOff>0</xdr:rowOff>
    </xdr:from>
    <xdr:to>
      <xdr:col>111</xdr:col>
      <xdr:colOff>0</xdr:colOff>
      <xdr:row>99</xdr:row>
      <xdr:rowOff>1</xdr:rowOff>
    </xdr:to>
    <xdr:sp macro="" textlink="">
      <xdr:nvSpPr>
        <xdr:cNvPr id="53" name="大かっこ 52">
          <a:extLst>
            <a:ext uri="{FF2B5EF4-FFF2-40B4-BE49-F238E27FC236}">
              <a16:creationId xmlns:a16="http://schemas.microsoft.com/office/drawing/2014/main" id="{60A3AAB0-C812-45E3-9F0D-D5023DDE7BBD}"/>
            </a:ext>
          </a:extLst>
        </xdr:cNvPr>
        <xdr:cNvSpPr/>
      </xdr:nvSpPr>
      <xdr:spPr>
        <a:xfrm>
          <a:off x="9134475" y="17078325"/>
          <a:ext cx="457200" cy="3429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21</xdr:col>
      <xdr:colOff>0</xdr:colOff>
      <xdr:row>97</xdr:row>
      <xdr:rowOff>0</xdr:rowOff>
    </xdr:from>
    <xdr:to>
      <xdr:col>27</xdr:col>
      <xdr:colOff>0</xdr:colOff>
      <xdr:row>99</xdr:row>
      <xdr:rowOff>1</xdr:rowOff>
    </xdr:to>
    <xdr:sp macro="" textlink="">
      <xdr:nvSpPr>
        <xdr:cNvPr id="54" name="大かっこ 53">
          <a:extLst>
            <a:ext uri="{FF2B5EF4-FFF2-40B4-BE49-F238E27FC236}">
              <a16:creationId xmlns:a16="http://schemas.microsoft.com/office/drawing/2014/main" id="{B30A3DBA-ABF9-4D87-A63C-7CFF7DB28C8F}"/>
            </a:ext>
          </a:extLst>
        </xdr:cNvPr>
        <xdr:cNvSpPr/>
      </xdr:nvSpPr>
      <xdr:spPr>
        <a:xfrm>
          <a:off x="1362075" y="17078325"/>
          <a:ext cx="457200" cy="3429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34</xdr:col>
      <xdr:colOff>74543</xdr:colOff>
      <xdr:row>87</xdr:row>
      <xdr:rowOff>0</xdr:rowOff>
    </xdr:from>
    <xdr:to>
      <xdr:col>41</xdr:col>
      <xdr:colOff>0</xdr:colOff>
      <xdr:row>89</xdr:row>
      <xdr:rowOff>1</xdr:rowOff>
    </xdr:to>
    <xdr:sp macro="" textlink="">
      <xdr:nvSpPr>
        <xdr:cNvPr id="55" name="大かっこ 54">
          <a:extLst>
            <a:ext uri="{FF2B5EF4-FFF2-40B4-BE49-F238E27FC236}">
              <a16:creationId xmlns:a16="http://schemas.microsoft.com/office/drawing/2014/main" id="{B8FFF9EA-C2A1-4322-A687-2EA0A7D4AFFB}"/>
            </a:ext>
          </a:extLst>
        </xdr:cNvPr>
        <xdr:cNvSpPr/>
      </xdr:nvSpPr>
      <xdr:spPr>
        <a:xfrm>
          <a:off x="2732018" y="15487650"/>
          <a:ext cx="458857" cy="3429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90</xdr:col>
      <xdr:colOff>74543</xdr:colOff>
      <xdr:row>87</xdr:row>
      <xdr:rowOff>0</xdr:rowOff>
    </xdr:from>
    <xdr:to>
      <xdr:col>97</xdr:col>
      <xdr:colOff>0</xdr:colOff>
      <xdr:row>89</xdr:row>
      <xdr:rowOff>1</xdr:rowOff>
    </xdr:to>
    <xdr:sp macro="" textlink="">
      <xdr:nvSpPr>
        <xdr:cNvPr id="56" name="大かっこ 55">
          <a:extLst>
            <a:ext uri="{FF2B5EF4-FFF2-40B4-BE49-F238E27FC236}">
              <a16:creationId xmlns:a16="http://schemas.microsoft.com/office/drawing/2014/main" id="{B0B7C479-6C16-4280-B3E6-EF2BE893C9E5}"/>
            </a:ext>
          </a:extLst>
        </xdr:cNvPr>
        <xdr:cNvSpPr/>
      </xdr:nvSpPr>
      <xdr:spPr>
        <a:xfrm>
          <a:off x="7761218" y="15487650"/>
          <a:ext cx="458857" cy="3429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20</xdr:col>
      <xdr:colOff>66675</xdr:colOff>
      <xdr:row>99</xdr:row>
      <xdr:rowOff>9525</xdr:rowOff>
    </xdr:from>
    <xdr:to>
      <xdr:col>26</xdr:col>
      <xdr:colOff>66675</xdr:colOff>
      <xdr:row>101</xdr:row>
      <xdr:rowOff>9526</xdr:rowOff>
    </xdr:to>
    <xdr:sp macro="" textlink="">
      <xdr:nvSpPr>
        <xdr:cNvPr id="8" name="大かっこ 7">
          <a:extLst>
            <a:ext uri="{FF2B5EF4-FFF2-40B4-BE49-F238E27FC236}">
              <a16:creationId xmlns:a16="http://schemas.microsoft.com/office/drawing/2014/main" id="{E95E8612-8B97-2901-D364-0BCECB95AEF1}"/>
            </a:ext>
          </a:extLst>
        </xdr:cNvPr>
        <xdr:cNvSpPr/>
      </xdr:nvSpPr>
      <xdr:spPr>
        <a:xfrm>
          <a:off x="1514475" y="15144750"/>
          <a:ext cx="457200" cy="3429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112</xdr:col>
      <xdr:colOff>66675</xdr:colOff>
      <xdr:row>15</xdr:row>
      <xdr:rowOff>9525</xdr:rowOff>
    </xdr:from>
    <xdr:to>
      <xdr:col>118</xdr:col>
      <xdr:colOff>66675</xdr:colOff>
      <xdr:row>17</xdr:row>
      <xdr:rowOff>9526</xdr:rowOff>
    </xdr:to>
    <xdr:sp macro="" textlink="">
      <xdr:nvSpPr>
        <xdr:cNvPr id="10" name="大かっこ 9">
          <a:extLst>
            <a:ext uri="{FF2B5EF4-FFF2-40B4-BE49-F238E27FC236}">
              <a16:creationId xmlns:a16="http://schemas.microsoft.com/office/drawing/2014/main" id="{55DC72E4-A3A7-41CE-655E-83D476744C8C}"/>
            </a:ext>
          </a:extLst>
        </xdr:cNvPr>
        <xdr:cNvSpPr/>
      </xdr:nvSpPr>
      <xdr:spPr>
        <a:xfrm>
          <a:off x="8524875" y="2628900"/>
          <a:ext cx="457200" cy="3429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87</xdr:col>
      <xdr:colOff>16425</xdr:colOff>
      <xdr:row>59</xdr:row>
      <xdr:rowOff>22225</xdr:rowOff>
    </xdr:from>
    <xdr:to>
      <xdr:col>92</xdr:col>
      <xdr:colOff>41275</xdr:colOff>
      <xdr:row>61</xdr:row>
      <xdr:rowOff>22225</xdr:rowOff>
    </xdr:to>
    <xdr:sp macro="" textlink="">
      <xdr:nvSpPr>
        <xdr:cNvPr id="13" name="大かっこ 12">
          <a:extLst>
            <a:ext uri="{FF2B5EF4-FFF2-40B4-BE49-F238E27FC236}">
              <a16:creationId xmlns:a16="http://schemas.microsoft.com/office/drawing/2014/main" id="{24C5E27E-112B-F95B-586F-6F14F2FC0F89}"/>
            </a:ext>
          </a:extLst>
        </xdr:cNvPr>
        <xdr:cNvSpPr/>
      </xdr:nvSpPr>
      <xdr:spPr>
        <a:xfrm>
          <a:off x="6569625" y="8680450"/>
          <a:ext cx="40585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32</xdr:row>
      <xdr:rowOff>0</xdr:rowOff>
    </xdr:from>
    <xdr:to>
      <xdr:col>130</xdr:col>
      <xdr:colOff>0</xdr:colOff>
      <xdr:row>32</xdr:row>
      <xdr:rowOff>0</xdr:rowOff>
    </xdr:to>
    <xdr:cxnSp macro="">
      <xdr:nvCxnSpPr>
        <xdr:cNvPr id="2" name="直線コネクタ 1">
          <a:extLst>
            <a:ext uri="{FF2B5EF4-FFF2-40B4-BE49-F238E27FC236}">
              <a16:creationId xmlns:a16="http://schemas.microsoft.com/office/drawing/2014/main" id="{3A03A8B2-6B89-4195-BF4E-E87B8582D507}"/>
            </a:ext>
          </a:extLst>
        </xdr:cNvPr>
        <xdr:cNvCxnSpPr/>
      </xdr:nvCxnSpPr>
      <xdr:spPr>
        <a:xfrm>
          <a:off x="523875" y="4914900"/>
          <a:ext cx="9829800"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42</xdr:row>
      <xdr:rowOff>0</xdr:rowOff>
    </xdr:from>
    <xdr:to>
      <xdr:col>130</xdr:col>
      <xdr:colOff>0</xdr:colOff>
      <xdr:row>42</xdr:row>
      <xdr:rowOff>0</xdr:rowOff>
    </xdr:to>
    <xdr:cxnSp macro="">
      <xdr:nvCxnSpPr>
        <xdr:cNvPr id="5" name="直線コネクタ 4">
          <a:extLst>
            <a:ext uri="{FF2B5EF4-FFF2-40B4-BE49-F238E27FC236}">
              <a16:creationId xmlns:a16="http://schemas.microsoft.com/office/drawing/2014/main" id="{F3AE5037-9C68-4C0F-AB14-335A3EF4C700}"/>
            </a:ext>
          </a:extLst>
        </xdr:cNvPr>
        <xdr:cNvCxnSpPr/>
      </xdr:nvCxnSpPr>
      <xdr:spPr>
        <a:xfrm>
          <a:off x="523875" y="6334125"/>
          <a:ext cx="9829800"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94</xdr:row>
      <xdr:rowOff>0</xdr:rowOff>
    </xdr:from>
    <xdr:to>
      <xdr:col>131</xdr:col>
      <xdr:colOff>0</xdr:colOff>
      <xdr:row>94</xdr:row>
      <xdr:rowOff>0</xdr:rowOff>
    </xdr:to>
    <xdr:cxnSp macro="">
      <xdr:nvCxnSpPr>
        <xdr:cNvPr id="6" name="直線コネクタ 5">
          <a:extLst>
            <a:ext uri="{FF2B5EF4-FFF2-40B4-BE49-F238E27FC236}">
              <a16:creationId xmlns:a16="http://schemas.microsoft.com/office/drawing/2014/main" id="{1ABB6AE2-0489-6317-142B-CF1BCB04E870}"/>
            </a:ext>
          </a:extLst>
        </xdr:cNvPr>
        <xdr:cNvCxnSpPr/>
      </xdr:nvCxnSpPr>
      <xdr:spPr>
        <a:xfrm>
          <a:off x="523875" y="14592300"/>
          <a:ext cx="9906000"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0</xdr:colOff>
      <xdr:row>10</xdr:row>
      <xdr:rowOff>0</xdr:rowOff>
    </xdr:from>
    <xdr:to>
      <xdr:col>16</xdr:col>
      <xdr:colOff>0</xdr:colOff>
      <xdr:row>12</xdr:row>
      <xdr:rowOff>0</xdr:rowOff>
    </xdr:to>
    <xdr:sp macro="" textlink="">
      <xdr:nvSpPr>
        <xdr:cNvPr id="2" name="大かっこ 1">
          <a:extLst>
            <a:ext uri="{FF2B5EF4-FFF2-40B4-BE49-F238E27FC236}">
              <a16:creationId xmlns:a16="http://schemas.microsoft.com/office/drawing/2014/main" id="{57D0F009-6A9C-4F7D-851B-A4BE29A27F43}"/>
            </a:ext>
          </a:extLst>
        </xdr:cNvPr>
        <xdr:cNvSpPr/>
      </xdr:nvSpPr>
      <xdr:spPr>
        <a:xfrm>
          <a:off x="1114425" y="2743200"/>
          <a:ext cx="666750"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25</xdr:col>
      <xdr:colOff>0</xdr:colOff>
      <xdr:row>10</xdr:row>
      <xdr:rowOff>0</xdr:rowOff>
    </xdr:from>
    <xdr:to>
      <xdr:col>30</xdr:col>
      <xdr:colOff>0</xdr:colOff>
      <xdr:row>12</xdr:row>
      <xdr:rowOff>0</xdr:rowOff>
    </xdr:to>
    <xdr:sp macro="" textlink="">
      <xdr:nvSpPr>
        <xdr:cNvPr id="3" name="大かっこ 2">
          <a:extLst>
            <a:ext uri="{FF2B5EF4-FFF2-40B4-BE49-F238E27FC236}">
              <a16:creationId xmlns:a16="http://schemas.microsoft.com/office/drawing/2014/main" id="{5F1ABDDB-B85E-4875-8FAB-4E47CBC5BC3E}"/>
            </a:ext>
          </a:extLst>
        </xdr:cNvPr>
        <xdr:cNvSpPr/>
      </xdr:nvSpPr>
      <xdr:spPr>
        <a:xfrm>
          <a:off x="2590800" y="2743200"/>
          <a:ext cx="0"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25</xdr:col>
      <xdr:colOff>0</xdr:colOff>
      <xdr:row>14</xdr:row>
      <xdr:rowOff>0</xdr:rowOff>
    </xdr:from>
    <xdr:to>
      <xdr:col>30</xdr:col>
      <xdr:colOff>0</xdr:colOff>
      <xdr:row>16</xdr:row>
      <xdr:rowOff>0</xdr:rowOff>
    </xdr:to>
    <xdr:sp macro="" textlink="">
      <xdr:nvSpPr>
        <xdr:cNvPr id="4" name="大かっこ 3">
          <a:extLst>
            <a:ext uri="{FF2B5EF4-FFF2-40B4-BE49-F238E27FC236}">
              <a16:creationId xmlns:a16="http://schemas.microsoft.com/office/drawing/2014/main" id="{2EDB0D7A-4EC5-4846-98F1-3A90825B3C3D}"/>
            </a:ext>
          </a:extLst>
        </xdr:cNvPr>
        <xdr:cNvSpPr/>
      </xdr:nvSpPr>
      <xdr:spPr>
        <a:xfrm>
          <a:off x="2590800" y="3333750"/>
          <a:ext cx="0"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25</xdr:col>
      <xdr:colOff>0</xdr:colOff>
      <xdr:row>29</xdr:row>
      <xdr:rowOff>0</xdr:rowOff>
    </xdr:from>
    <xdr:to>
      <xdr:col>30</xdr:col>
      <xdr:colOff>0</xdr:colOff>
      <xdr:row>31</xdr:row>
      <xdr:rowOff>0</xdr:rowOff>
    </xdr:to>
    <xdr:sp macro="" textlink="">
      <xdr:nvSpPr>
        <xdr:cNvPr id="5" name="大かっこ 4">
          <a:extLst>
            <a:ext uri="{FF2B5EF4-FFF2-40B4-BE49-F238E27FC236}">
              <a16:creationId xmlns:a16="http://schemas.microsoft.com/office/drawing/2014/main" id="{6AD105E4-3822-474D-9611-6030CF00AF60}"/>
            </a:ext>
          </a:extLst>
        </xdr:cNvPr>
        <xdr:cNvSpPr/>
      </xdr:nvSpPr>
      <xdr:spPr>
        <a:xfrm>
          <a:off x="2590800" y="5200650"/>
          <a:ext cx="0"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25</xdr:col>
      <xdr:colOff>0</xdr:colOff>
      <xdr:row>33</xdr:row>
      <xdr:rowOff>0</xdr:rowOff>
    </xdr:from>
    <xdr:to>
      <xdr:col>30</xdr:col>
      <xdr:colOff>0</xdr:colOff>
      <xdr:row>35</xdr:row>
      <xdr:rowOff>0</xdr:rowOff>
    </xdr:to>
    <xdr:sp macro="" textlink="">
      <xdr:nvSpPr>
        <xdr:cNvPr id="6" name="大かっこ 5">
          <a:extLst>
            <a:ext uri="{FF2B5EF4-FFF2-40B4-BE49-F238E27FC236}">
              <a16:creationId xmlns:a16="http://schemas.microsoft.com/office/drawing/2014/main" id="{6E853C59-765C-4FB5-9215-A049B1CA7322}"/>
            </a:ext>
          </a:extLst>
        </xdr:cNvPr>
        <xdr:cNvSpPr/>
      </xdr:nvSpPr>
      <xdr:spPr>
        <a:xfrm>
          <a:off x="2590800" y="5791200"/>
          <a:ext cx="0"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0</xdr:colOff>
      <xdr:row>10</xdr:row>
      <xdr:rowOff>0</xdr:rowOff>
    </xdr:from>
    <xdr:to>
      <xdr:col>23</xdr:col>
      <xdr:colOff>0</xdr:colOff>
      <xdr:row>12</xdr:row>
      <xdr:rowOff>0</xdr:rowOff>
    </xdr:to>
    <xdr:sp macro="" textlink="">
      <xdr:nvSpPr>
        <xdr:cNvPr id="7" name="大かっこ 6">
          <a:extLst>
            <a:ext uri="{FF2B5EF4-FFF2-40B4-BE49-F238E27FC236}">
              <a16:creationId xmlns:a16="http://schemas.microsoft.com/office/drawing/2014/main" id="{3F772F36-222A-4428-A5E5-924EA2B0F20F}"/>
            </a:ext>
          </a:extLst>
        </xdr:cNvPr>
        <xdr:cNvSpPr/>
      </xdr:nvSpPr>
      <xdr:spPr>
        <a:xfrm>
          <a:off x="1876425" y="2743200"/>
          <a:ext cx="666750"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0</xdr:colOff>
      <xdr:row>14</xdr:row>
      <xdr:rowOff>0</xdr:rowOff>
    </xdr:from>
    <xdr:to>
      <xdr:col>23</xdr:col>
      <xdr:colOff>0</xdr:colOff>
      <xdr:row>16</xdr:row>
      <xdr:rowOff>0</xdr:rowOff>
    </xdr:to>
    <xdr:sp macro="" textlink="">
      <xdr:nvSpPr>
        <xdr:cNvPr id="8" name="大かっこ 7">
          <a:extLst>
            <a:ext uri="{FF2B5EF4-FFF2-40B4-BE49-F238E27FC236}">
              <a16:creationId xmlns:a16="http://schemas.microsoft.com/office/drawing/2014/main" id="{1420863B-6283-4F06-AD75-F07E3783B1FE}"/>
            </a:ext>
          </a:extLst>
        </xdr:cNvPr>
        <xdr:cNvSpPr/>
      </xdr:nvSpPr>
      <xdr:spPr>
        <a:xfrm>
          <a:off x="1876425" y="3333750"/>
          <a:ext cx="666750"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xdr:col>
      <xdr:colOff>0</xdr:colOff>
      <xdr:row>14</xdr:row>
      <xdr:rowOff>0</xdr:rowOff>
    </xdr:from>
    <xdr:to>
      <xdr:col>9</xdr:col>
      <xdr:colOff>0</xdr:colOff>
      <xdr:row>16</xdr:row>
      <xdr:rowOff>0</xdr:rowOff>
    </xdr:to>
    <xdr:sp macro="" textlink="">
      <xdr:nvSpPr>
        <xdr:cNvPr id="9" name="大かっこ 8">
          <a:extLst>
            <a:ext uri="{FF2B5EF4-FFF2-40B4-BE49-F238E27FC236}">
              <a16:creationId xmlns:a16="http://schemas.microsoft.com/office/drawing/2014/main" id="{985384C9-03A5-4AB0-87BB-90403E523DA6}"/>
            </a:ext>
          </a:extLst>
        </xdr:cNvPr>
        <xdr:cNvSpPr/>
      </xdr:nvSpPr>
      <xdr:spPr>
        <a:xfrm>
          <a:off x="352425" y="3333750"/>
          <a:ext cx="666750"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xdr:col>
      <xdr:colOff>0</xdr:colOff>
      <xdr:row>18</xdr:row>
      <xdr:rowOff>0</xdr:rowOff>
    </xdr:from>
    <xdr:to>
      <xdr:col>16</xdr:col>
      <xdr:colOff>0</xdr:colOff>
      <xdr:row>20</xdr:row>
      <xdr:rowOff>0</xdr:rowOff>
    </xdr:to>
    <xdr:sp macro="" textlink="">
      <xdr:nvSpPr>
        <xdr:cNvPr id="10" name="大かっこ 9">
          <a:extLst>
            <a:ext uri="{FF2B5EF4-FFF2-40B4-BE49-F238E27FC236}">
              <a16:creationId xmlns:a16="http://schemas.microsoft.com/office/drawing/2014/main" id="{16746F08-1CA2-4D42-AE3C-0F376AEA99E3}"/>
            </a:ext>
          </a:extLst>
        </xdr:cNvPr>
        <xdr:cNvSpPr/>
      </xdr:nvSpPr>
      <xdr:spPr>
        <a:xfrm>
          <a:off x="1114425" y="3924300"/>
          <a:ext cx="666750"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xdr:col>
      <xdr:colOff>0</xdr:colOff>
      <xdr:row>33</xdr:row>
      <xdr:rowOff>0</xdr:rowOff>
    </xdr:from>
    <xdr:to>
      <xdr:col>9</xdr:col>
      <xdr:colOff>0</xdr:colOff>
      <xdr:row>35</xdr:row>
      <xdr:rowOff>0</xdr:rowOff>
    </xdr:to>
    <xdr:sp macro="" textlink="">
      <xdr:nvSpPr>
        <xdr:cNvPr id="11" name="大かっこ 10">
          <a:extLst>
            <a:ext uri="{FF2B5EF4-FFF2-40B4-BE49-F238E27FC236}">
              <a16:creationId xmlns:a16="http://schemas.microsoft.com/office/drawing/2014/main" id="{E466BB6A-C5E4-490F-B3CD-96ED8E15A54E}"/>
            </a:ext>
          </a:extLst>
        </xdr:cNvPr>
        <xdr:cNvSpPr/>
      </xdr:nvSpPr>
      <xdr:spPr>
        <a:xfrm>
          <a:off x="352425" y="5791200"/>
          <a:ext cx="666750"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xdr:col>
      <xdr:colOff>0</xdr:colOff>
      <xdr:row>37</xdr:row>
      <xdr:rowOff>0</xdr:rowOff>
    </xdr:from>
    <xdr:to>
      <xdr:col>16</xdr:col>
      <xdr:colOff>0</xdr:colOff>
      <xdr:row>39</xdr:row>
      <xdr:rowOff>0</xdr:rowOff>
    </xdr:to>
    <xdr:sp macro="" textlink="">
      <xdr:nvSpPr>
        <xdr:cNvPr id="12" name="大かっこ 11">
          <a:extLst>
            <a:ext uri="{FF2B5EF4-FFF2-40B4-BE49-F238E27FC236}">
              <a16:creationId xmlns:a16="http://schemas.microsoft.com/office/drawing/2014/main" id="{4DD0F886-37DD-43C9-94CB-C156500ACD84}"/>
            </a:ext>
          </a:extLst>
        </xdr:cNvPr>
        <xdr:cNvSpPr/>
      </xdr:nvSpPr>
      <xdr:spPr>
        <a:xfrm>
          <a:off x="1114425" y="6381750"/>
          <a:ext cx="666750"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40</xdr:col>
      <xdr:colOff>0</xdr:colOff>
      <xdr:row>14</xdr:row>
      <xdr:rowOff>0</xdr:rowOff>
    </xdr:from>
    <xdr:to>
      <xdr:col>45</xdr:col>
      <xdr:colOff>0</xdr:colOff>
      <xdr:row>16</xdr:row>
      <xdr:rowOff>0</xdr:rowOff>
    </xdr:to>
    <xdr:sp macro="" textlink="">
      <xdr:nvSpPr>
        <xdr:cNvPr id="13" name="大かっこ 12">
          <a:extLst>
            <a:ext uri="{FF2B5EF4-FFF2-40B4-BE49-F238E27FC236}">
              <a16:creationId xmlns:a16="http://schemas.microsoft.com/office/drawing/2014/main" id="{842E1EED-A205-4963-BFBE-44A1A14E70C3}"/>
            </a:ext>
          </a:extLst>
        </xdr:cNvPr>
        <xdr:cNvSpPr/>
      </xdr:nvSpPr>
      <xdr:spPr>
        <a:xfrm>
          <a:off x="4610100" y="3333750"/>
          <a:ext cx="666750"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54</xdr:col>
      <xdr:colOff>0</xdr:colOff>
      <xdr:row>22</xdr:row>
      <xdr:rowOff>0</xdr:rowOff>
    </xdr:from>
    <xdr:to>
      <xdr:col>59</xdr:col>
      <xdr:colOff>0</xdr:colOff>
      <xdr:row>24</xdr:row>
      <xdr:rowOff>0</xdr:rowOff>
    </xdr:to>
    <xdr:sp macro="" textlink="">
      <xdr:nvSpPr>
        <xdr:cNvPr id="14" name="大かっこ 13">
          <a:extLst>
            <a:ext uri="{FF2B5EF4-FFF2-40B4-BE49-F238E27FC236}">
              <a16:creationId xmlns:a16="http://schemas.microsoft.com/office/drawing/2014/main" id="{8D103A8C-EDC0-451A-BA61-D6EC8A29A7EE}"/>
            </a:ext>
          </a:extLst>
        </xdr:cNvPr>
        <xdr:cNvSpPr/>
      </xdr:nvSpPr>
      <xdr:spPr>
        <a:xfrm>
          <a:off x="6134100" y="4333875"/>
          <a:ext cx="666750" cy="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47</xdr:col>
      <xdr:colOff>0</xdr:colOff>
      <xdr:row>18</xdr:row>
      <xdr:rowOff>0</xdr:rowOff>
    </xdr:from>
    <xdr:to>
      <xdr:col>52</xdr:col>
      <xdr:colOff>0</xdr:colOff>
      <xdr:row>20</xdr:row>
      <xdr:rowOff>0</xdr:rowOff>
    </xdr:to>
    <xdr:sp macro="" textlink="">
      <xdr:nvSpPr>
        <xdr:cNvPr id="15" name="大かっこ 14">
          <a:extLst>
            <a:ext uri="{FF2B5EF4-FFF2-40B4-BE49-F238E27FC236}">
              <a16:creationId xmlns:a16="http://schemas.microsoft.com/office/drawing/2014/main" id="{BDBCA4CE-1D3B-45CE-839A-8821F3D06E16}"/>
            </a:ext>
          </a:extLst>
        </xdr:cNvPr>
        <xdr:cNvSpPr/>
      </xdr:nvSpPr>
      <xdr:spPr>
        <a:xfrm>
          <a:off x="5372100" y="3924300"/>
          <a:ext cx="666750"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40</xdr:col>
      <xdr:colOff>0</xdr:colOff>
      <xdr:row>33</xdr:row>
      <xdr:rowOff>0</xdr:rowOff>
    </xdr:from>
    <xdr:to>
      <xdr:col>45</xdr:col>
      <xdr:colOff>0</xdr:colOff>
      <xdr:row>35</xdr:row>
      <xdr:rowOff>0</xdr:rowOff>
    </xdr:to>
    <xdr:sp macro="" textlink="">
      <xdr:nvSpPr>
        <xdr:cNvPr id="16" name="大かっこ 15">
          <a:extLst>
            <a:ext uri="{FF2B5EF4-FFF2-40B4-BE49-F238E27FC236}">
              <a16:creationId xmlns:a16="http://schemas.microsoft.com/office/drawing/2014/main" id="{E4F5D9E2-34BD-43FF-9E3E-E89426E084CB}"/>
            </a:ext>
          </a:extLst>
        </xdr:cNvPr>
        <xdr:cNvSpPr/>
      </xdr:nvSpPr>
      <xdr:spPr>
        <a:xfrm>
          <a:off x="4610100" y="5791200"/>
          <a:ext cx="666750"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54</xdr:col>
      <xdr:colOff>0</xdr:colOff>
      <xdr:row>41</xdr:row>
      <xdr:rowOff>0</xdr:rowOff>
    </xdr:from>
    <xdr:to>
      <xdr:col>59</xdr:col>
      <xdr:colOff>0</xdr:colOff>
      <xdr:row>43</xdr:row>
      <xdr:rowOff>0</xdr:rowOff>
    </xdr:to>
    <xdr:sp macro="" textlink="">
      <xdr:nvSpPr>
        <xdr:cNvPr id="17" name="大かっこ 16">
          <a:extLst>
            <a:ext uri="{FF2B5EF4-FFF2-40B4-BE49-F238E27FC236}">
              <a16:creationId xmlns:a16="http://schemas.microsoft.com/office/drawing/2014/main" id="{9DBB5A79-A994-47F9-864E-6CC5E647DC8C}"/>
            </a:ext>
          </a:extLst>
        </xdr:cNvPr>
        <xdr:cNvSpPr/>
      </xdr:nvSpPr>
      <xdr:spPr>
        <a:xfrm>
          <a:off x="6134100" y="6972300"/>
          <a:ext cx="666750"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47</xdr:col>
      <xdr:colOff>0</xdr:colOff>
      <xdr:row>37</xdr:row>
      <xdr:rowOff>0</xdr:rowOff>
    </xdr:from>
    <xdr:to>
      <xdr:col>52</xdr:col>
      <xdr:colOff>0</xdr:colOff>
      <xdr:row>39</xdr:row>
      <xdr:rowOff>0</xdr:rowOff>
    </xdr:to>
    <xdr:sp macro="" textlink="">
      <xdr:nvSpPr>
        <xdr:cNvPr id="18" name="大かっこ 17">
          <a:extLst>
            <a:ext uri="{FF2B5EF4-FFF2-40B4-BE49-F238E27FC236}">
              <a16:creationId xmlns:a16="http://schemas.microsoft.com/office/drawing/2014/main" id="{F66BA1B4-1695-4B2B-A34A-0CB2C42AEB6E}"/>
            </a:ext>
          </a:extLst>
        </xdr:cNvPr>
        <xdr:cNvSpPr/>
      </xdr:nvSpPr>
      <xdr:spPr>
        <a:xfrm>
          <a:off x="5372100" y="6381750"/>
          <a:ext cx="666750"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xdr:col>
      <xdr:colOff>0</xdr:colOff>
      <xdr:row>18</xdr:row>
      <xdr:rowOff>0</xdr:rowOff>
    </xdr:from>
    <xdr:to>
      <xdr:col>9</xdr:col>
      <xdr:colOff>0</xdr:colOff>
      <xdr:row>20</xdr:row>
      <xdr:rowOff>0</xdr:rowOff>
    </xdr:to>
    <xdr:sp macro="" textlink="">
      <xdr:nvSpPr>
        <xdr:cNvPr id="19" name="大かっこ 18">
          <a:extLst>
            <a:ext uri="{FF2B5EF4-FFF2-40B4-BE49-F238E27FC236}">
              <a16:creationId xmlns:a16="http://schemas.microsoft.com/office/drawing/2014/main" id="{8A05D1A6-D37E-4D48-86C4-780CF7911029}"/>
            </a:ext>
          </a:extLst>
        </xdr:cNvPr>
        <xdr:cNvSpPr/>
      </xdr:nvSpPr>
      <xdr:spPr>
        <a:xfrm>
          <a:off x="352425" y="3924300"/>
          <a:ext cx="666750"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xdr:col>
      <xdr:colOff>0</xdr:colOff>
      <xdr:row>37</xdr:row>
      <xdr:rowOff>0</xdr:rowOff>
    </xdr:from>
    <xdr:to>
      <xdr:col>9</xdr:col>
      <xdr:colOff>0</xdr:colOff>
      <xdr:row>39</xdr:row>
      <xdr:rowOff>0</xdr:rowOff>
    </xdr:to>
    <xdr:sp macro="" textlink="">
      <xdr:nvSpPr>
        <xdr:cNvPr id="20" name="大かっこ 19">
          <a:extLst>
            <a:ext uri="{FF2B5EF4-FFF2-40B4-BE49-F238E27FC236}">
              <a16:creationId xmlns:a16="http://schemas.microsoft.com/office/drawing/2014/main" id="{595CA492-D08B-4ED3-B900-4EF33A0EFC67}"/>
            </a:ext>
          </a:extLst>
        </xdr:cNvPr>
        <xdr:cNvSpPr/>
      </xdr:nvSpPr>
      <xdr:spPr>
        <a:xfrm>
          <a:off x="352425" y="6381750"/>
          <a:ext cx="666750"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40</xdr:col>
      <xdr:colOff>0</xdr:colOff>
      <xdr:row>18</xdr:row>
      <xdr:rowOff>0</xdr:rowOff>
    </xdr:from>
    <xdr:to>
      <xdr:col>45</xdr:col>
      <xdr:colOff>0</xdr:colOff>
      <xdr:row>20</xdr:row>
      <xdr:rowOff>0</xdr:rowOff>
    </xdr:to>
    <xdr:sp macro="" textlink="">
      <xdr:nvSpPr>
        <xdr:cNvPr id="21" name="大かっこ 20">
          <a:extLst>
            <a:ext uri="{FF2B5EF4-FFF2-40B4-BE49-F238E27FC236}">
              <a16:creationId xmlns:a16="http://schemas.microsoft.com/office/drawing/2014/main" id="{501E74A8-9DFE-4B70-BA3A-AD5139F3EB17}"/>
            </a:ext>
          </a:extLst>
        </xdr:cNvPr>
        <xdr:cNvSpPr/>
      </xdr:nvSpPr>
      <xdr:spPr>
        <a:xfrm>
          <a:off x="4610100" y="3924300"/>
          <a:ext cx="666750"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40</xdr:col>
      <xdr:colOff>0</xdr:colOff>
      <xdr:row>37</xdr:row>
      <xdr:rowOff>0</xdr:rowOff>
    </xdr:from>
    <xdr:to>
      <xdr:col>45</xdr:col>
      <xdr:colOff>0</xdr:colOff>
      <xdr:row>39</xdr:row>
      <xdr:rowOff>0</xdr:rowOff>
    </xdr:to>
    <xdr:sp macro="" textlink="">
      <xdr:nvSpPr>
        <xdr:cNvPr id="22" name="大かっこ 21">
          <a:extLst>
            <a:ext uri="{FF2B5EF4-FFF2-40B4-BE49-F238E27FC236}">
              <a16:creationId xmlns:a16="http://schemas.microsoft.com/office/drawing/2014/main" id="{C230962F-D12A-4382-B602-98515A9BD7A6}"/>
            </a:ext>
          </a:extLst>
        </xdr:cNvPr>
        <xdr:cNvSpPr/>
      </xdr:nvSpPr>
      <xdr:spPr>
        <a:xfrm>
          <a:off x="4610100" y="6381750"/>
          <a:ext cx="666750"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47</xdr:col>
      <xdr:colOff>0</xdr:colOff>
      <xdr:row>22</xdr:row>
      <xdr:rowOff>0</xdr:rowOff>
    </xdr:from>
    <xdr:to>
      <xdr:col>52</xdr:col>
      <xdr:colOff>0</xdr:colOff>
      <xdr:row>24</xdr:row>
      <xdr:rowOff>0</xdr:rowOff>
    </xdr:to>
    <xdr:sp macro="" textlink="">
      <xdr:nvSpPr>
        <xdr:cNvPr id="23" name="大かっこ 22">
          <a:extLst>
            <a:ext uri="{FF2B5EF4-FFF2-40B4-BE49-F238E27FC236}">
              <a16:creationId xmlns:a16="http://schemas.microsoft.com/office/drawing/2014/main" id="{8D471775-47D0-4969-A7EF-5EBAA61DB920}"/>
            </a:ext>
          </a:extLst>
        </xdr:cNvPr>
        <xdr:cNvSpPr/>
      </xdr:nvSpPr>
      <xdr:spPr>
        <a:xfrm>
          <a:off x="5372100" y="4333875"/>
          <a:ext cx="666750" cy="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47</xdr:col>
      <xdr:colOff>0</xdr:colOff>
      <xdr:row>41</xdr:row>
      <xdr:rowOff>0</xdr:rowOff>
    </xdr:from>
    <xdr:to>
      <xdr:col>52</xdr:col>
      <xdr:colOff>0</xdr:colOff>
      <xdr:row>43</xdr:row>
      <xdr:rowOff>0</xdr:rowOff>
    </xdr:to>
    <xdr:sp macro="" textlink="">
      <xdr:nvSpPr>
        <xdr:cNvPr id="24" name="大かっこ 23">
          <a:extLst>
            <a:ext uri="{FF2B5EF4-FFF2-40B4-BE49-F238E27FC236}">
              <a16:creationId xmlns:a16="http://schemas.microsoft.com/office/drawing/2014/main" id="{278D5EC3-0511-483B-A71C-FE102FA630B4}"/>
            </a:ext>
          </a:extLst>
        </xdr:cNvPr>
        <xdr:cNvSpPr/>
      </xdr:nvSpPr>
      <xdr:spPr>
        <a:xfrm>
          <a:off x="5372100" y="6972300"/>
          <a:ext cx="666750"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40</xdr:col>
      <xdr:colOff>0</xdr:colOff>
      <xdr:row>22</xdr:row>
      <xdr:rowOff>0</xdr:rowOff>
    </xdr:from>
    <xdr:to>
      <xdr:col>45</xdr:col>
      <xdr:colOff>0</xdr:colOff>
      <xdr:row>24</xdr:row>
      <xdr:rowOff>0</xdr:rowOff>
    </xdr:to>
    <xdr:sp macro="" textlink="">
      <xdr:nvSpPr>
        <xdr:cNvPr id="25" name="大かっこ 24">
          <a:extLst>
            <a:ext uri="{FF2B5EF4-FFF2-40B4-BE49-F238E27FC236}">
              <a16:creationId xmlns:a16="http://schemas.microsoft.com/office/drawing/2014/main" id="{C5DEF5D8-B0EF-4B31-A5DF-612D1FC7B3B8}"/>
            </a:ext>
          </a:extLst>
        </xdr:cNvPr>
        <xdr:cNvSpPr/>
      </xdr:nvSpPr>
      <xdr:spPr>
        <a:xfrm>
          <a:off x="4610100" y="4333875"/>
          <a:ext cx="666750" cy="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47</xdr:col>
      <xdr:colOff>1</xdr:colOff>
      <xdr:row>10</xdr:row>
      <xdr:rowOff>0</xdr:rowOff>
    </xdr:from>
    <xdr:to>
      <xdr:col>52</xdr:col>
      <xdr:colOff>1</xdr:colOff>
      <xdr:row>12</xdr:row>
      <xdr:rowOff>0</xdr:rowOff>
    </xdr:to>
    <xdr:sp macro="" textlink="">
      <xdr:nvSpPr>
        <xdr:cNvPr id="26" name="大かっこ 25">
          <a:extLst>
            <a:ext uri="{FF2B5EF4-FFF2-40B4-BE49-F238E27FC236}">
              <a16:creationId xmlns:a16="http://schemas.microsoft.com/office/drawing/2014/main" id="{0D7FFF67-DB8B-40A7-92C1-A6F0D8E995B3}"/>
            </a:ext>
          </a:extLst>
        </xdr:cNvPr>
        <xdr:cNvSpPr/>
      </xdr:nvSpPr>
      <xdr:spPr>
        <a:xfrm>
          <a:off x="5372101" y="2743200"/>
          <a:ext cx="666750"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54</xdr:col>
      <xdr:colOff>0</xdr:colOff>
      <xdr:row>10</xdr:row>
      <xdr:rowOff>0</xdr:rowOff>
    </xdr:from>
    <xdr:to>
      <xdr:col>59</xdr:col>
      <xdr:colOff>0</xdr:colOff>
      <xdr:row>12</xdr:row>
      <xdr:rowOff>0</xdr:rowOff>
    </xdr:to>
    <xdr:sp macro="" textlink="">
      <xdr:nvSpPr>
        <xdr:cNvPr id="27" name="大かっこ 26">
          <a:extLst>
            <a:ext uri="{FF2B5EF4-FFF2-40B4-BE49-F238E27FC236}">
              <a16:creationId xmlns:a16="http://schemas.microsoft.com/office/drawing/2014/main" id="{7AEC4D83-B9E7-4D8E-97FE-13C63ACA7C2A}"/>
            </a:ext>
          </a:extLst>
        </xdr:cNvPr>
        <xdr:cNvSpPr/>
      </xdr:nvSpPr>
      <xdr:spPr>
        <a:xfrm>
          <a:off x="6134100" y="2743200"/>
          <a:ext cx="666750"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54</xdr:col>
      <xdr:colOff>0</xdr:colOff>
      <xdr:row>14</xdr:row>
      <xdr:rowOff>0</xdr:rowOff>
    </xdr:from>
    <xdr:to>
      <xdr:col>59</xdr:col>
      <xdr:colOff>0</xdr:colOff>
      <xdr:row>16</xdr:row>
      <xdr:rowOff>0</xdr:rowOff>
    </xdr:to>
    <xdr:sp macro="" textlink="">
      <xdr:nvSpPr>
        <xdr:cNvPr id="28" name="大かっこ 27">
          <a:extLst>
            <a:ext uri="{FF2B5EF4-FFF2-40B4-BE49-F238E27FC236}">
              <a16:creationId xmlns:a16="http://schemas.microsoft.com/office/drawing/2014/main" id="{ED0636A3-0435-4F95-8629-365A2995E43E}"/>
            </a:ext>
          </a:extLst>
        </xdr:cNvPr>
        <xdr:cNvSpPr/>
      </xdr:nvSpPr>
      <xdr:spPr>
        <a:xfrm>
          <a:off x="6134100" y="3333750"/>
          <a:ext cx="666750"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47</xdr:col>
      <xdr:colOff>0</xdr:colOff>
      <xdr:row>29</xdr:row>
      <xdr:rowOff>0</xdr:rowOff>
    </xdr:from>
    <xdr:to>
      <xdr:col>52</xdr:col>
      <xdr:colOff>0</xdr:colOff>
      <xdr:row>31</xdr:row>
      <xdr:rowOff>0</xdr:rowOff>
    </xdr:to>
    <xdr:sp macro="" textlink="">
      <xdr:nvSpPr>
        <xdr:cNvPr id="29" name="大かっこ 28">
          <a:extLst>
            <a:ext uri="{FF2B5EF4-FFF2-40B4-BE49-F238E27FC236}">
              <a16:creationId xmlns:a16="http://schemas.microsoft.com/office/drawing/2014/main" id="{0DB4784E-EEC8-4AF5-A6B1-F4AA59430D5F}"/>
            </a:ext>
          </a:extLst>
        </xdr:cNvPr>
        <xdr:cNvSpPr/>
      </xdr:nvSpPr>
      <xdr:spPr>
        <a:xfrm>
          <a:off x="5372100" y="5200650"/>
          <a:ext cx="666750"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54</xdr:col>
      <xdr:colOff>0</xdr:colOff>
      <xdr:row>29</xdr:row>
      <xdr:rowOff>0</xdr:rowOff>
    </xdr:from>
    <xdr:to>
      <xdr:col>59</xdr:col>
      <xdr:colOff>0</xdr:colOff>
      <xdr:row>31</xdr:row>
      <xdr:rowOff>0</xdr:rowOff>
    </xdr:to>
    <xdr:sp macro="" textlink="">
      <xdr:nvSpPr>
        <xdr:cNvPr id="30" name="大かっこ 29">
          <a:extLst>
            <a:ext uri="{FF2B5EF4-FFF2-40B4-BE49-F238E27FC236}">
              <a16:creationId xmlns:a16="http://schemas.microsoft.com/office/drawing/2014/main" id="{40565AFD-1881-40C4-A1B0-38DFAE55F3DA}"/>
            </a:ext>
          </a:extLst>
        </xdr:cNvPr>
        <xdr:cNvSpPr/>
      </xdr:nvSpPr>
      <xdr:spPr>
        <a:xfrm>
          <a:off x="6134100" y="5200650"/>
          <a:ext cx="666750"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61</xdr:col>
      <xdr:colOff>0</xdr:colOff>
      <xdr:row>29</xdr:row>
      <xdr:rowOff>0</xdr:rowOff>
    </xdr:from>
    <xdr:to>
      <xdr:col>67</xdr:col>
      <xdr:colOff>0</xdr:colOff>
      <xdr:row>31</xdr:row>
      <xdr:rowOff>0</xdr:rowOff>
    </xdr:to>
    <xdr:sp macro="" textlink="">
      <xdr:nvSpPr>
        <xdr:cNvPr id="31" name="大かっこ 30">
          <a:extLst>
            <a:ext uri="{FF2B5EF4-FFF2-40B4-BE49-F238E27FC236}">
              <a16:creationId xmlns:a16="http://schemas.microsoft.com/office/drawing/2014/main" id="{CE4D0C4B-4801-400E-AFB6-6DC92D58300A}"/>
            </a:ext>
          </a:extLst>
        </xdr:cNvPr>
        <xdr:cNvSpPr/>
      </xdr:nvSpPr>
      <xdr:spPr>
        <a:xfrm>
          <a:off x="6896100" y="5200650"/>
          <a:ext cx="666750"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54</xdr:col>
      <xdr:colOff>0</xdr:colOff>
      <xdr:row>33</xdr:row>
      <xdr:rowOff>0</xdr:rowOff>
    </xdr:from>
    <xdr:to>
      <xdr:col>59</xdr:col>
      <xdr:colOff>0</xdr:colOff>
      <xdr:row>35</xdr:row>
      <xdr:rowOff>0</xdr:rowOff>
    </xdr:to>
    <xdr:sp macro="" textlink="">
      <xdr:nvSpPr>
        <xdr:cNvPr id="32" name="大かっこ 31">
          <a:extLst>
            <a:ext uri="{FF2B5EF4-FFF2-40B4-BE49-F238E27FC236}">
              <a16:creationId xmlns:a16="http://schemas.microsoft.com/office/drawing/2014/main" id="{FBAFB053-6A83-4EE3-9B5D-B1B65956F844}"/>
            </a:ext>
          </a:extLst>
        </xdr:cNvPr>
        <xdr:cNvSpPr/>
      </xdr:nvSpPr>
      <xdr:spPr>
        <a:xfrm>
          <a:off x="6134100" y="5791200"/>
          <a:ext cx="666750"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61</xdr:col>
      <xdr:colOff>0</xdr:colOff>
      <xdr:row>33</xdr:row>
      <xdr:rowOff>0</xdr:rowOff>
    </xdr:from>
    <xdr:to>
      <xdr:col>67</xdr:col>
      <xdr:colOff>0</xdr:colOff>
      <xdr:row>35</xdr:row>
      <xdr:rowOff>0</xdr:rowOff>
    </xdr:to>
    <xdr:sp macro="" textlink="">
      <xdr:nvSpPr>
        <xdr:cNvPr id="33" name="大かっこ 32">
          <a:extLst>
            <a:ext uri="{FF2B5EF4-FFF2-40B4-BE49-F238E27FC236}">
              <a16:creationId xmlns:a16="http://schemas.microsoft.com/office/drawing/2014/main" id="{463B12C1-035D-44C5-9459-D623DF0A7883}"/>
            </a:ext>
          </a:extLst>
        </xdr:cNvPr>
        <xdr:cNvSpPr/>
      </xdr:nvSpPr>
      <xdr:spPr>
        <a:xfrm>
          <a:off x="6896100" y="5791200"/>
          <a:ext cx="666750"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61</xdr:col>
      <xdr:colOff>0</xdr:colOff>
      <xdr:row>37</xdr:row>
      <xdr:rowOff>0</xdr:rowOff>
    </xdr:from>
    <xdr:to>
      <xdr:col>67</xdr:col>
      <xdr:colOff>0</xdr:colOff>
      <xdr:row>39</xdr:row>
      <xdr:rowOff>0</xdr:rowOff>
    </xdr:to>
    <xdr:sp macro="" textlink="">
      <xdr:nvSpPr>
        <xdr:cNvPr id="34" name="大かっこ 33">
          <a:extLst>
            <a:ext uri="{FF2B5EF4-FFF2-40B4-BE49-F238E27FC236}">
              <a16:creationId xmlns:a16="http://schemas.microsoft.com/office/drawing/2014/main" id="{AE643D5A-020E-4620-87F6-4CC1684FD79C}"/>
            </a:ext>
          </a:extLst>
        </xdr:cNvPr>
        <xdr:cNvSpPr/>
      </xdr:nvSpPr>
      <xdr:spPr>
        <a:xfrm>
          <a:off x="6896100" y="6381750"/>
          <a:ext cx="666750"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xdr:col>
      <xdr:colOff>0</xdr:colOff>
      <xdr:row>29</xdr:row>
      <xdr:rowOff>0</xdr:rowOff>
    </xdr:from>
    <xdr:to>
      <xdr:col>16</xdr:col>
      <xdr:colOff>0</xdr:colOff>
      <xdr:row>31</xdr:row>
      <xdr:rowOff>0</xdr:rowOff>
    </xdr:to>
    <xdr:sp macro="" textlink="">
      <xdr:nvSpPr>
        <xdr:cNvPr id="35" name="大かっこ 34">
          <a:extLst>
            <a:ext uri="{FF2B5EF4-FFF2-40B4-BE49-F238E27FC236}">
              <a16:creationId xmlns:a16="http://schemas.microsoft.com/office/drawing/2014/main" id="{D0F7BB03-EE9A-41ED-920E-E79A6E5693EE}"/>
            </a:ext>
          </a:extLst>
        </xdr:cNvPr>
        <xdr:cNvSpPr/>
      </xdr:nvSpPr>
      <xdr:spPr>
        <a:xfrm>
          <a:off x="1114425" y="5200650"/>
          <a:ext cx="666750"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0</xdr:colOff>
      <xdr:row>29</xdr:row>
      <xdr:rowOff>0</xdr:rowOff>
    </xdr:from>
    <xdr:to>
      <xdr:col>23</xdr:col>
      <xdr:colOff>0</xdr:colOff>
      <xdr:row>31</xdr:row>
      <xdr:rowOff>0</xdr:rowOff>
    </xdr:to>
    <xdr:sp macro="" textlink="">
      <xdr:nvSpPr>
        <xdr:cNvPr id="36" name="大かっこ 35">
          <a:extLst>
            <a:ext uri="{FF2B5EF4-FFF2-40B4-BE49-F238E27FC236}">
              <a16:creationId xmlns:a16="http://schemas.microsoft.com/office/drawing/2014/main" id="{E7D376D0-6A19-435B-AEB9-7808E3580E0A}"/>
            </a:ext>
          </a:extLst>
        </xdr:cNvPr>
        <xdr:cNvSpPr/>
      </xdr:nvSpPr>
      <xdr:spPr>
        <a:xfrm>
          <a:off x="1876425" y="5200650"/>
          <a:ext cx="666750"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0</xdr:colOff>
      <xdr:row>33</xdr:row>
      <xdr:rowOff>0</xdr:rowOff>
    </xdr:from>
    <xdr:to>
      <xdr:col>23</xdr:col>
      <xdr:colOff>0</xdr:colOff>
      <xdr:row>35</xdr:row>
      <xdr:rowOff>0</xdr:rowOff>
    </xdr:to>
    <xdr:sp macro="" textlink="">
      <xdr:nvSpPr>
        <xdr:cNvPr id="37" name="大かっこ 36">
          <a:extLst>
            <a:ext uri="{FF2B5EF4-FFF2-40B4-BE49-F238E27FC236}">
              <a16:creationId xmlns:a16="http://schemas.microsoft.com/office/drawing/2014/main" id="{8D97096E-17FA-477D-BADB-CF7EA4C5BB9E}"/>
            </a:ext>
          </a:extLst>
        </xdr:cNvPr>
        <xdr:cNvSpPr/>
      </xdr:nvSpPr>
      <xdr:spPr>
        <a:xfrm>
          <a:off x="1876425" y="5791200"/>
          <a:ext cx="666750"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40</xdr:col>
      <xdr:colOff>0</xdr:colOff>
      <xdr:row>41</xdr:row>
      <xdr:rowOff>0</xdr:rowOff>
    </xdr:from>
    <xdr:to>
      <xdr:col>45</xdr:col>
      <xdr:colOff>0</xdr:colOff>
      <xdr:row>43</xdr:row>
      <xdr:rowOff>0</xdr:rowOff>
    </xdr:to>
    <xdr:sp macro="" textlink="">
      <xdr:nvSpPr>
        <xdr:cNvPr id="38" name="大かっこ 37">
          <a:extLst>
            <a:ext uri="{FF2B5EF4-FFF2-40B4-BE49-F238E27FC236}">
              <a16:creationId xmlns:a16="http://schemas.microsoft.com/office/drawing/2014/main" id="{0B00DA98-0439-4FDD-A21F-3FA9E3FF733F}"/>
            </a:ext>
          </a:extLst>
        </xdr:cNvPr>
        <xdr:cNvSpPr/>
      </xdr:nvSpPr>
      <xdr:spPr>
        <a:xfrm>
          <a:off x="4610100" y="6972300"/>
          <a:ext cx="666750"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82</xdr:col>
      <xdr:colOff>87406</xdr:colOff>
      <xdr:row>52</xdr:row>
      <xdr:rowOff>16809</xdr:rowOff>
    </xdr:from>
    <xdr:to>
      <xdr:col>87</xdr:col>
      <xdr:colOff>98292</xdr:colOff>
      <xdr:row>53</xdr:row>
      <xdr:rowOff>175292</xdr:rowOff>
    </xdr:to>
    <xdr:sp macro="" textlink="">
      <xdr:nvSpPr>
        <xdr:cNvPr id="39" name="大かっこ 82">
          <a:extLst>
            <a:ext uri="{FF2B5EF4-FFF2-40B4-BE49-F238E27FC236}">
              <a16:creationId xmlns:a16="http://schemas.microsoft.com/office/drawing/2014/main" id="{BCE02F1A-19C0-4595-8676-C90F6F8FB7EC}"/>
            </a:ext>
          </a:extLst>
        </xdr:cNvPr>
        <xdr:cNvSpPr/>
      </xdr:nvSpPr>
      <xdr:spPr>
        <a:xfrm>
          <a:off x="11355481" y="8913159"/>
          <a:ext cx="915761" cy="3394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106</xdr:col>
      <xdr:colOff>87406</xdr:colOff>
      <xdr:row>52</xdr:row>
      <xdr:rowOff>16809</xdr:rowOff>
    </xdr:from>
    <xdr:to>
      <xdr:col>111</xdr:col>
      <xdr:colOff>98291</xdr:colOff>
      <xdr:row>53</xdr:row>
      <xdr:rowOff>175292</xdr:rowOff>
    </xdr:to>
    <xdr:sp macro="" textlink="">
      <xdr:nvSpPr>
        <xdr:cNvPr id="40" name="大かっこ 82">
          <a:extLst>
            <a:ext uri="{FF2B5EF4-FFF2-40B4-BE49-F238E27FC236}">
              <a16:creationId xmlns:a16="http://schemas.microsoft.com/office/drawing/2014/main" id="{4A470E3E-0C0E-478B-9048-C6721AD6412B}"/>
            </a:ext>
          </a:extLst>
        </xdr:cNvPr>
        <xdr:cNvSpPr/>
      </xdr:nvSpPr>
      <xdr:spPr>
        <a:xfrm>
          <a:off x="15698881" y="8913159"/>
          <a:ext cx="915760" cy="3394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76</xdr:col>
      <xdr:colOff>87406</xdr:colOff>
      <xdr:row>60</xdr:row>
      <xdr:rowOff>20170</xdr:rowOff>
    </xdr:from>
    <xdr:to>
      <xdr:col>81</xdr:col>
      <xdr:colOff>98292</xdr:colOff>
      <xdr:row>61</xdr:row>
      <xdr:rowOff>169048</xdr:rowOff>
    </xdr:to>
    <xdr:sp macro="" textlink="">
      <xdr:nvSpPr>
        <xdr:cNvPr id="41" name="大かっこ 82">
          <a:extLst>
            <a:ext uri="{FF2B5EF4-FFF2-40B4-BE49-F238E27FC236}">
              <a16:creationId xmlns:a16="http://schemas.microsoft.com/office/drawing/2014/main" id="{207B83AB-6576-4729-A4A8-1724C1DD6569}"/>
            </a:ext>
          </a:extLst>
        </xdr:cNvPr>
        <xdr:cNvSpPr/>
      </xdr:nvSpPr>
      <xdr:spPr>
        <a:xfrm>
          <a:off x="10269631" y="10097620"/>
          <a:ext cx="915761" cy="3393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88</xdr:col>
      <xdr:colOff>87405</xdr:colOff>
      <xdr:row>60</xdr:row>
      <xdr:rowOff>20170</xdr:rowOff>
    </xdr:from>
    <xdr:to>
      <xdr:col>93</xdr:col>
      <xdr:colOff>98292</xdr:colOff>
      <xdr:row>61</xdr:row>
      <xdr:rowOff>169048</xdr:rowOff>
    </xdr:to>
    <xdr:sp macro="" textlink="">
      <xdr:nvSpPr>
        <xdr:cNvPr id="42" name="大かっこ 82">
          <a:extLst>
            <a:ext uri="{FF2B5EF4-FFF2-40B4-BE49-F238E27FC236}">
              <a16:creationId xmlns:a16="http://schemas.microsoft.com/office/drawing/2014/main" id="{DF6B0298-4945-4F6B-BC40-1B2D4FD0FE19}"/>
            </a:ext>
          </a:extLst>
        </xdr:cNvPr>
        <xdr:cNvSpPr/>
      </xdr:nvSpPr>
      <xdr:spPr>
        <a:xfrm>
          <a:off x="12441330" y="10097620"/>
          <a:ext cx="915762" cy="3393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100</xdr:col>
      <xdr:colOff>87405</xdr:colOff>
      <xdr:row>60</xdr:row>
      <xdr:rowOff>20170</xdr:rowOff>
    </xdr:from>
    <xdr:to>
      <xdr:col>105</xdr:col>
      <xdr:colOff>98291</xdr:colOff>
      <xdr:row>61</xdr:row>
      <xdr:rowOff>169048</xdr:rowOff>
    </xdr:to>
    <xdr:sp macro="" textlink="">
      <xdr:nvSpPr>
        <xdr:cNvPr id="43" name="大かっこ 82">
          <a:extLst>
            <a:ext uri="{FF2B5EF4-FFF2-40B4-BE49-F238E27FC236}">
              <a16:creationId xmlns:a16="http://schemas.microsoft.com/office/drawing/2014/main" id="{648A9956-73CD-4D92-8B6F-19278AA664E9}"/>
            </a:ext>
          </a:extLst>
        </xdr:cNvPr>
        <xdr:cNvSpPr/>
      </xdr:nvSpPr>
      <xdr:spPr>
        <a:xfrm>
          <a:off x="14613030" y="10097620"/>
          <a:ext cx="915761" cy="3393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112</xdr:col>
      <xdr:colOff>87406</xdr:colOff>
      <xdr:row>60</xdr:row>
      <xdr:rowOff>20170</xdr:rowOff>
    </xdr:from>
    <xdr:to>
      <xdr:col>117</xdr:col>
      <xdr:colOff>98291</xdr:colOff>
      <xdr:row>61</xdr:row>
      <xdr:rowOff>169048</xdr:rowOff>
    </xdr:to>
    <xdr:sp macro="" textlink="">
      <xdr:nvSpPr>
        <xdr:cNvPr id="44" name="大かっこ 82">
          <a:extLst>
            <a:ext uri="{FF2B5EF4-FFF2-40B4-BE49-F238E27FC236}">
              <a16:creationId xmlns:a16="http://schemas.microsoft.com/office/drawing/2014/main" id="{204D387A-DBD6-46CA-929D-3DFF4519C853}"/>
            </a:ext>
          </a:extLst>
        </xdr:cNvPr>
        <xdr:cNvSpPr/>
      </xdr:nvSpPr>
      <xdr:spPr>
        <a:xfrm>
          <a:off x="16784731" y="10097620"/>
          <a:ext cx="915760" cy="3393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47</xdr:col>
      <xdr:colOff>0</xdr:colOff>
      <xdr:row>22</xdr:row>
      <xdr:rowOff>0</xdr:rowOff>
    </xdr:from>
    <xdr:to>
      <xdr:col>52</xdr:col>
      <xdr:colOff>0</xdr:colOff>
      <xdr:row>24</xdr:row>
      <xdr:rowOff>0</xdr:rowOff>
    </xdr:to>
    <xdr:sp macro="" textlink="">
      <xdr:nvSpPr>
        <xdr:cNvPr id="45" name="大かっこ 44">
          <a:extLst>
            <a:ext uri="{FF2B5EF4-FFF2-40B4-BE49-F238E27FC236}">
              <a16:creationId xmlns:a16="http://schemas.microsoft.com/office/drawing/2014/main" id="{21B84D65-DD2D-4EF5-A8BB-44E3F7CBF8AF}"/>
            </a:ext>
          </a:extLst>
        </xdr:cNvPr>
        <xdr:cNvSpPr/>
      </xdr:nvSpPr>
      <xdr:spPr>
        <a:xfrm>
          <a:off x="5372100" y="4333875"/>
          <a:ext cx="666750" cy="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xdr:col>
          <xdr:colOff>34925</xdr:colOff>
          <xdr:row>45</xdr:row>
          <xdr:rowOff>82550</xdr:rowOff>
        </xdr:from>
        <xdr:to>
          <xdr:col>69</xdr:col>
          <xdr:colOff>239032</xdr:colOff>
          <xdr:row>67</xdr:row>
          <xdr:rowOff>82550</xdr:rowOff>
        </xdr:to>
        <xdr:pic>
          <xdr:nvPicPr>
            <xdr:cNvPr id="46" name="Picture 13307">
              <a:extLst>
                <a:ext uri="{FF2B5EF4-FFF2-40B4-BE49-F238E27FC236}">
                  <a16:creationId xmlns:a16="http://schemas.microsoft.com/office/drawing/2014/main" id="{A3E7C311-CADA-403D-B8D6-FAE1AD9B7CE2}"/>
                </a:ext>
              </a:extLst>
            </xdr:cNvPr>
            <xdr:cNvPicPr>
              <a:picLocks noChangeAspect="1" noChangeArrowheads="1"/>
              <a:extLst>
                <a:ext uri="{84589F7E-364E-4C9E-8A38-B11213B215E9}">
                  <a14:cameraTool cellRange="$BX$46:$DO$67" spid="_x0000_s7823"/>
                </a:ext>
              </a:extLst>
            </xdr:cNvPicPr>
          </xdr:nvPicPr>
          <xdr:blipFill>
            <a:blip xmlns:r="http://schemas.openxmlformats.org/officeDocument/2006/relationships" r:embed="rId1"/>
            <a:srcRect/>
            <a:stretch>
              <a:fillRect/>
            </a:stretch>
          </xdr:blipFill>
          <xdr:spPr bwMode="auto">
            <a:xfrm>
              <a:off x="633639" y="7620907"/>
              <a:ext cx="7783286" cy="5905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25</xdr:col>
      <xdr:colOff>0</xdr:colOff>
      <xdr:row>10</xdr:row>
      <xdr:rowOff>0</xdr:rowOff>
    </xdr:from>
    <xdr:to>
      <xdr:col>30</xdr:col>
      <xdr:colOff>0</xdr:colOff>
      <xdr:row>12</xdr:row>
      <xdr:rowOff>0</xdr:rowOff>
    </xdr:to>
    <xdr:sp macro="" textlink="">
      <xdr:nvSpPr>
        <xdr:cNvPr id="2" name="大かっこ 1">
          <a:extLst>
            <a:ext uri="{FF2B5EF4-FFF2-40B4-BE49-F238E27FC236}">
              <a16:creationId xmlns:a16="http://schemas.microsoft.com/office/drawing/2014/main" id="{655F148D-4E30-4AA3-B833-32EAB53A2F23}"/>
            </a:ext>
          </a:extLst>
        </xdr:cNvPr>
        <xdr:cNvSpPr/>
      </xdr:nvSpPr>
      <xdr:spPr>
        <a:xfrm>
          <a:off x="2590800" y="2743200"/>
          <a:ext cx="0"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25</xdr:col>
      <xdr:colOff>0</xdr:colOff>
      <xdr:row>14</xdr:row>
      <xdr:rowOff>0</xdr:rowOff>
    </xdr:from>
    <xdr:to>
      <xdr:col>30</xdr:col>
      <xdr:colOff>0</xdr:colOff>
      <xdr:row>16</xdr:row>
      <xdr:rowOff>0</xdr:rowOff>
    </xdr:to>
    <xdr:sp macro="" textlink="">
      <xdr:nvSpPr>
        <xdr:cNvPr id="3" name="大かっこ 2">
          <a:extLst>
            <a:ext uri="{FF2B5EF4-FFF2-40B4-BE49-F238E27FC236}">
              <a16:creationId xmlns:a16="http://schemas.microsoft.com/office/drawing/2014/main" id="{F4B64ADC-55CE-4F0A-8BCD-A211118E6D0B}"/>
            </a:ext>
          </a:extLst>
        </xdr:cNvPr>
        <xdr:cNvSpPr/>
      </xdr:nvSpPr>
      <xdr:spPr>
        <a:xfrm>
          <a:off x="2590800" y="3333750"/>
          <a:ext cx="0"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25</xdr:col>
      <xdr:colOff>0</xdr:colOff>
      <xdr:row>29</xdr:row>
      <xdr:rowOff>0</xdr:rowOff>
    </xdr:from>
    <xdr:to>
      <xdr:col>30</xdr:col>
      <xdr:colOff>0</xdr:colOff>
      <xdr:row>31</xdr:row>
      <xdr:rowOff>0</xdr:rowOff>
    </xdr:to>
    <xdr:sp macro="" textlink="">
      <xdr:nvSpPr>
        <xdr:cNvPr id="4" name="大かっこ 3">
          <a:extLst>
            <a:ext uri="{FF2B5EF4-FFF2-40B4-BE49-F238E27FC236}">
              <a16:creationId xmlns:a16="http://schemas.microsoft.com/office/drawing/2014/main" id="{853A5925-246B-40B7-BEC2-C94DB4DED1B0}"/>
            </a:ext>
          </a:extLst>
        </xdr:cNvPr>
        <xdr:cNvSpPr/>
      </xdr:nvSpPr>
      <xdr:spPr>
        <a:xfrm>
          <a:off x="2590800" y="5200650"/>
          <a:ext cx="0"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25</xdr:col>
      <xdr:colOff>0</xdr:colOff>
      <xdr:row>33</xdr:row>
      <xdr:rowOff>0</xdr:rowOff>
    </xdr:from>
    <xdr:to>
      <xdr:col>30</xdr:col>
      <xdr:colOff>0</xdr:colOff>
      <xdr:row>35</xdr:row>
      <xdr:rowOff>0</xdr:rowOff>
    </xdr:to>
    <xdr:sp macro="" textlink="">
      <xdr:nvSpPr>
        <xdr:cNvPr id="5" name="大かっこ 4">
          <a:extLst>
            <a:ext uri="{FF2B5EF4-FFF2-40B4-BE49-F238E27FC236}">
              <a16:creationId xmlns:a16="http://schemas.microsoft.com/office/drawing/2014/main" id="{BBB37342-5C8A-4F8F-8135-B4ACA81E780D}"/>
            </a:ext>
          </a:extLst>
        </xdr:cNvPr>
        <xdr:cNvSpPr/>
      </xdr:nvSpPr>
      <xdr:spPr>
        <a:xfrm>
          <a:off x="2590800" y="5791200"/>
          <a:ext cx="0"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54</xdr:col>
      <xdr:colOff>0</xdr:colOff>
      <xdr:row>22</xdr:row>
      <xdr:rowOff>0</xdr:rowOff>
    </xdr:from>
    <xdr:to>
      <xdr:col>59</xdr:col>
      <xdr:colOff>0</xdr:colOff>
      <xdr:row>24</xdr:row>
      <xdr:rowOff>0</xdr:rowOff>
    </xdr:to>
    <xdr:sp macro="" textlink="">
      <xdr:nvSpPr>
        <xdr:cNvPr id="6" name="大かっこ 5">
          <a:extLst>
            <a:ext uri="{FF2B5EF4-FFF2-40B4-BE49-F238E27FC236}">
              <a16:creationId xmlns:a16="http://schemas.microsoft.com/office/drawing/2014/main" id="{18B4759B-6AE0-4511-BF07-043F1F07FCFB}"/>
            </a:ext>
          </a:extLst>
        </xdr:cNvPr>
        <xdr:cNvSpPr/>
      </xdr:nvSpPr>
      <xdr:spPr>
        <a:xfrm>
          <a:off x="6134100" y="4333875"/>
          <a:ext cx="666750" cy="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47</xdr:col>
      <xdr:colOff>0</xdr:colOff>
      <xdr:row>22</xdr:row>
      <xdr:rowOff>0</xdr:rowOff>
    </xdr:from>
    <xdr:to>
      <xdr:col>52</xdr:col>
      <xdr:colOff>0</xdr:colOff>
      <xdr:row>24</xdr:row>
      <xdr:rowOff>0</xdr:rowOff>
    </xdr:to>
    <xdr:sp macro="" textlink="">
      <xdr:nvSpPr>
        <xdr:cNvPr id="7" name="大かっこ 6">
          <a:extLst>
            <a:ext uri="{FF2B5EF4-FFF2-40B4-BE49-F238E27FC236}">
              <a16:creationId xmlns:a16="http://schemas.microsoft.com/office/drawing/2014/main" id="{D77315BB-0B2D-4049-949B-F10844FD98DF}"/>
            </a:ext>
          </a:extLst>
        </xdr:cNvPr>
        <xdr:cNvSpPr/>
      </xdr:nvSpPr>
      <xdr:spPr>
        <a:xfrm>
          <a:off x="5372100" y="4333875"/>
          <a:ext cx="666750" cy="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40</xdr:col>
      <xdr:colOff>0</xdr:colOff>
      <xdr:row>22</xdr:row>
      <xdr:rowOff>0</xdr:rowOff>
    </xdr:from>
    <xdr:to>
      <xdr:col>45</xdr:col>
      <xdr:colOff>0</xdr:colOff>
      <xdr:row>24</xdr:row>
      <xdr:rowOff>0</xdr:rowOff>
    </xdr:to>
    <xdr:sp macro="" textlink="">
      <xdr:nvSpPr>
        <xdr:cNvPr id="8" name="大かっこ 7">
          <a:extLst>
            <a:ext uri="{FF2B5EF4-FFF2-40B4-BE49-F238E27FC236}">
              <a16:creationId xmlns:a16="http://schemas.microsoft.com/office/drawing/2014/main" id="{43C42DDB-DA5D-4231-B123-ED0B567D26BA}"/>
            </a:ext>
          </a:extLst>
        </xdr:cNvPr>
        <xdr:cNvSpPr/>
      </xdr:nvSpPr>
      <xdr:spPr>
        <a:xfrm>
          <a:off x="4610100" y="4333875"/>
          <a:ext cx="666750" cy="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82</xdr:col>
      <xdr:colOff>87406</xdr:colOff>
      <xdr:row>52</xdr:row>
      <xdr:rowOff>16809</xdr:rowOff>
    </xdr:from>
    <xdr:to>
      <xdr:col>87</xdr:col>
      <xdr:colOff>98292</xdr:colOff>
      <xdr:row>53</xdr:row>
      <xdr:rowOff>175292</xdr:rowOff>
    </xdr:to>
    <xdr:sp macro="" textlink="">
      <xdr:nvSpPr>
        <xdr:cNvPr id="9" name="大かっこ 82">
          <a:extLst>
            <a:ext uri="{FF2B5EF4-FFF2-40B4-BE49-F238E27FC236}">
              <a16:creationId xmlns:a16="http://schemas.microsoft.com/office/drawing/2014/main" id="{7E99E62A-8EDA-4E33-8EC6-49DCDC5AC1A7}"/>
            </a:ext>
          </a:extLst>
        </xdr:cNvPr>
        <xdr:cNvSpPr/>
      </xdr:nvSpPr>
      <xdr:spPr>
        <a:xfrm>
          <a:off x="11355481" y="8913159"/>
          <a:ext cx="915761" cy="3394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106</xdr:col>
      <xdr:colOff>87406</xdr:colOff>
      <xdr:row>52</xdr:row>
      <xdr:rowOff>16809</xdr:rowOff>
    </xdr:from>
    <xdr:to>
      <xdr:col>111</xdr:col>
      <xdr:colOff>98291</xdr:colOff>
      <xdr:row>53</xdr:row>
      <xdr:rowOff>175292</xdr:rowOff>
    </xdr:to>
    <xdr:sp macro="" textlink="">
      <xdr:nvSpPr>
        <xdr:cNvPr id="10" name="大かっこ 82">
          <a:extLst>
            <a:ext uri="{FF2B5EF4-FFF2-40B4-BE49-F238E27FC236}">
              <a16:creationId xmlns:a16="http://schemas.microsoft.com/office/drawing/2014/main" id="{5E0A5407-74C9-4AD4-84D1-991ED6F891DA}"/>
            </a:ext>
          </a:extLst>
        </xdr:cNvPr>
        <xdr:cNvSpPr/>
      </xdr:nvSpPr>
      <xdr:spPr>
        <a:xfrm>
          <a:off x="15698881" y="8913159"/>
          <a:ext cx="915760" cy="3394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76</xdr:col>
      <xdr:colOff>87406</xdr:colOff>
      <xdr:row>60</xdr:row>
      <xdr:rowOff>20170</xdr:rowOff>
    </xdr:from>
    <xdr:to>
      <xdr:col>81</xdr:col>
      <xdr:colOff>98292</xdr:colOff>
      <xdr:row>61</xdr:row>
      <xdr:rowOff>169048</xdr:rowOff>
    </xdr:to>
    <xdr:sp macro="" textlink="">
      <xdr:nvSpPr>
        <xdr:cNvPr id="11" name="大かっこ 82">
          <a:extLst>
            <a:ext uri="{FF2B5EF4-FFF2-40B4-BE49-F238E27FC236}">
              <a16:creationId xmlns:a16="http://schemas.microsoft.com/office/drawing/2014/main" id="{5FB51E63-C722-41F6-9BE9-1E4EF67D5F4F}"/>
            </a:ext>
          </a:extLst>
        </xdr:cNvPr>
        <xdr:cNvSpPr/>
      </xdr:nvSpPr>
      <xdr:spPr>
        <a:xfrm>
          <a:off x="10269631" y="10097620"/>
          <a:ext cx="915761" cy="3393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88</xdr:col>
      <xdr:colOff>87405</xdr:colOff>
      <xdr:row>60</xdr:row>
      <xdr:rowOff>20170</xdr:rowOff>
    </xdr:from>
    <xdr:to>
      <xdr:col>93</xdr:col>
      <xdr:colOff>98292</xdr:colOff>
      <xdr:row>61</xdr:row>
      <xdr:rowOff>169048</xdr:rowOff>
    </xdr:to>
    <xdr:sp macro="" textlink="">
      <xdr:nvSpPr>
        <xdr:cNvPr id="12" name="大かっこ 82">
          <a:extLst>
            <a:ext uri="{FF2B5EF4-FFF2-40B4-BE49-F238E27FC236}">
              <a16:creationId xmlns:a16="http://schemas.microsoft.com/office/drawing/2014/main" id="{F8D86A21-6971-4EBA-AEED-5F2666F65062}"/>
            </a:ext>
          </a:extLst>
        </xdr:cNvPr>
        <xdr:cNvSpPr/>
      </xdr:nvSpPr>
      <xdr:spPr>
        <a:xfrm>
          <a:off x="12441330" y="10097620"/>
          <a:ext cx="915762" cy="3393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100</xdr:col>
      <xdr:colOff>87405</xdr:colOff>
      <xdr:row>60</xdr:row>
      <xdr:rowOff>20170</xdr:rowOff>
    </xdr:from>
    <xdr:to>
      <xdr:col>105</xdr:col>
      <xdr:colOff>98291</xdr:colOff>
      <xdr:row>61</xdr:row>
      <xdr:rowOff>169048</xdr:rowOff>
    </xdr:to>
    <xdr:sp macro="" textlink="">
      <xdr:nvSpPr>
        <xdr:cNvPr id="13" name="大かっこ 82">
          <a:extLst>
            <a:ext uri="{FF2B5EF4-FFF2-40B4-BE49-F238E27FC236}">
              <a16:creationId xmlns:a16="http://schemas.microsoft.com/office/drawing/2014/main" id="{3BD48ABB-ACAD-475F-9BE6-3054EEB69289}"/>
            </a:ext>
          </a:extLst>
        </xdr:cNvPr>
        <xdr:cNvSpPr/>
      </xdr:nvSpPr>
      <xdr:spPr>
        <a:xfrm>
          <a:off x="14613030" y="10097620"/>
          <a:ext cx="915761" cy="3393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112</xdr:col>
      <xdr:colOff>87406</xdr:colOff>
      <xdr:row>60</xdr:row>
      <xdr:rowOff>20170</xdr:rowOff>
    </xdr:from>
    <xdr:to>
      <xdr:col>117</xdr:col>
      <xdr:colOff>98291</xdr:colOff>
      <xdr:row>61</xdr:row>
      <xdr:rowOff>169048</xdr:rowOff>
    </xdr:to>
    <xdr:sp macro="" textlink="">
      <xdr:nvSpPr>
        <xdr:cNvPr id="14" name="大かっこ 82">
          <a:extLst>
            <a:ext uri="{FF2B5EF4-FFF2-40B4-BE49-F238E27FC236}">
              <a16:creationId xmlns:a16="http://schemas.microsoft.com/office/drawing/2014/main" id="{7FB8B995-A9F2-4744-B0AB-FDF9472D9D37}"/>
            </a:ext>
          </a:extLst>
        </xdr:cNvPr>
        <xdr:cNvSpPr/>
      </xdr:nvSpPr>
      <xdr:spPr>
        <a:xfrm>
          <a:off x="16784731" y="10097620"/>
          <a:ext cx="915760" cy="3393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47</xdr:col>
      <xdr:colOff>0</xdr:colOff>
      <xdr:row>22</xdr:row>
      <xdr:rowOff>0</xdr:rowOff>
    </xdr:from>
    <xdr:to>
      <xdr:col>52</xdr:col>
      <xdr:colOff>0</xdr:colOff>
      <xdr:row>24</xdr:row>
      <xdr:rowOff>0</xdr:rowOff>
    </xdr:to>
    <xdr:sp macro="" textlink="">
      <xdr:nvSpPr>
        <xdr:cNvPr id="15" name="大かっこ 14">
          <a:extLst>
            <a:ext uri="{FF2B5EF4-FFF2-40B4-BE49-F238E27FC236}">
              <a16:creationId xmlns:a16="http://schemas.microsoft.com/office/drawing/2014/main" id="{0287B893-A32F-4F6C-AC26-1809ACC4A083}"/>
            </a:ext>
          </a:extLst>
        </xdr:cNvPr>
        <xdr:cNvSpPr/>
      </xdr:nvSpPr>
      <xdr:spPr>
        <a:xfrm>
          <a:off x="5372100" y="4333875"/>
          <a:ext cx="666750" cy="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xdr:col>
          <xdr:colOff>34925</xdr:colOff>
          <xdr:row>45</xdr:row>
          <xdr:rowOff>82550</xdr:rowOff>
        </xdr:from>
        <xdr:to>
          <xdr:col>69</xdr:col>
          <xdr:colOff>239032</xdr:colOff>
          <xdr:row>67</xdr:row>
          <xdr:rowOff>82550</xdr:rowOff>
        </xdr:to>
        <xdr:pic>
          <xdr:nvPicPr>
            <xdr:cNvPr id="16" name="Picture 13307">
              <a:extLst>
                <a:ext uri="{FF2B5EF4-FFF2-40B4-BE49-F238E27FC236}">
                  <a16:creationId xmlns:a16="http://schemas.microsoft.com/office/drawing/2014/main" id="{7CB20F2E-6022-4D95-AE65-5FFE669DC5F1}"/>
                </a:ext>
              </a:extLst>
            </xdr:cNvPr>
            <xdr:cNvPicPr>
              <a:picLocks noChangeAspect="1" noChangeArrowheads="1"/>
              <a:extLst>
                <a:ext uri="{84589F7E-364E-4C9E-8A38-B11213B215E9}">
                  <a14:cameraTool cellRange="$BX$46:$DO$67" spid="_x0000_s8832"/>
                </a:ext>
              </a:extLst>
            </xdr:cNvPicPr>
          </xdr:nvPicPr>
          <xdr:blipFill>
            <a:blip xmlns:r="http://schemas.openxmlformats.org/officeDocument/2006/relationships" r:embed="rId1"/>
            <a:srcRect/>
            <a:stretch>
              <a:fillRect/>
            </a:stretch>
          </xdr:blipFill>
          <xdr:spPr bwMode="auto">
            <a:xfrm>
              <a:off x="633639" y="7620907"/>
              <a:ext cx="7783286" cy="5905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11</xdr:col>
      <xdr:colOff>0</xdr:colOff>
      <xdr:row>10</xdr:row>
      <xdr:rowOff>0</xdr:rowOff>
    </xdr:from>
    <xdr:to>
      <xdr:col>16</xdr:col>
      <xdr:colOff>0</xdr:colOff>
      <xdr:row>12</xdr:row>
      <xdr:rowOff>0</xdr:rowOff>
    </xdr:to>
    <xdr:sp macro="" textlink="">
      <xdr:nvSpPr>
        <xdr:cNvPr id="2" name="大かっこ 1">
          <a:extLst>
            <a:ext uri="{FF2B5EF4-FFF2-40B4-BE49-F238E27FC236}">
              <a16:creationId xmlns:a16="http://schemas.microsoft.com/office/drawing/2014/main" id="{24A8BFDF-D0EC-4860-A424-1F8B0B59B042}"/>
            </a:ext>
          </a:extLst>
        </xdr:cNvPr>
        <xdr:cNvSpPr/>
      </xdr:nvSpPr>
      <xdr:spPr>
        <a:xfrm>
          <a:off x="1162050" y="2743200"/>
          <a:ext cx="638175"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25</xdr:col>
      <xdr:colOff>0</xdr:colOff>
      <xdr:row>10</xdr:row>
      <xdr:rowOff>0</xdr:rowOff>
    </xdr:from>
    <xdr:to>
      <xdr:col>30</xdr:col>
      <xdr:colOff>0</xdr:colOff>
      <xdr:row>12</xdr:row>
      <xdr:rowOff>0</xdr:rowOff>
    </xdr:to>
    <xdr:sp macro="" textlink="">
      <xdr:nvSpPr>
        <xdr:cNvPr id="3" name="大かっこ 2">
          <a:extLst>
            <a:ext uri="{FF2B5EF4-FFF2-40B4-BE49-F238E27FC236}">
              <a16:creationId xmlns:a16="http://schemas.microsoft.com/office/drawing/2014/main" id="{97C73A1A-1174-4E85-9316-078455833E38}"/>
            </a:ext>
          </a:extLst>
        </xdr:cNvPr>
        <xdr:cNvSpPr/>
      </xdr:nvSpPr>
      <xdr:spPr>
        <a:xfrm>
          <a:off x="2581275" y="2743200"/>
          <a:ext cx="0"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25</xdr:col>
      <xdr:colOff>0</xdr:colOff>
      <xdr:row>14</xdr:row>
      <xdr:rowOff>0</xdr:rowOff>
    </xdr:from>
    <xdr:to>
      <xdr:col>30</xdr:col>
      <xdr:colOff>0</xdr:colOff>
      <xdr:row>16</xdr:row>
      <xdr:rowOff>0</xdr:rowOff>
    </xdr:to>
    <xdr:sp macro="" textlink="">
      <xdr:nvSpPr>
        <xdr:cNvPr id="4" name="大かっこ 3">
          <a:extLst>
            <a:ext uri="{FF2B5EF4-FFF2-40B4-BE49-F238E27FC236}">
              <a16:creationId xmlns:a16="http://schemas.microsoft.com/office/drawing/2014/main" id="{19931632-B357-445E-B295-E7861A15221A}"/>
            </a:ext>
          </a:extLst>
        </xdr:cNvPr>
        <xdr:cNvSpPr/>
      </xdr:nvSpPr>
      <xdr:spPr>
        <a:xfrm>
          <a:off x="2581275" y="3333750"/>
          <a:ext cx="0"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25</xdr:col>
      <xdr:colOff>0</xdr:colOff>
      <xdr:row>29</xdr:row>
      <xdr:rowOff>0</xdr:rowOff>
    </xdr:from>
    <xdr:to>
      <xdr:col>30</xdr:col>
      <xdr:colOff>0</xdr:colOff>
      <xdr:row>31</xdr:row>
      <xdr:rowOff>0</xdr:rowOff>
    </xdr:to>
    <xdr:sp macro="" textlink="">
      <xdr:nvSpPr>
        <xdr:cNvPr id="5" name="大かっこ 4">
          <a:extLst>
            <a:ext uri="{FF2B5EF4-FFF2-40B4-BE49-F238E27FC236}">
              <a16:creationId xmlns:a16="http://schemas.microsoft.com/office/drawing/2014/main" id="{D748C974-C9C6-4CF8-A0D2-E44424E47725}"/>
            </a:ext>
          </a:extLst>
        </xdr:cNvPr>
        <xdr:cNvSpPr/>
      </xdr:nvSpPr>
      <xdr:spPr>
        <a:xfrm>
          <a:off x="2581275" y="5791200"/>
          <a:ext cx="0"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25</xdr:col>
      <xdr:colOff>0</xdr:colOff>
      <xdr:row>33</xdr:row>
      <xdr:rowOff>0</xdr:rowOff>
    </xdr:from>
    <xdr:to>
      <xdr:col>30</xdr:col>
      <xdr:colOff>0</xdr:colOff>
      <xdr:row>35</xdr:row>
      <xdr:rowOff>0</xdr:rowOff>
    </xdr:to>
    <xdr:sp macro="" textlink="">
      <xdr:nvSpPr>
        <xdr:cNvPr id="6" name="大かっこ 5">
          <a:extLst>
            <a:ext uri="{FF2B5EF4-FFF2-40B4-BE49-F238E27FC236}">
              <a16:creationId xmlns:a16="http://schemas.microsoft.com/office/drawing/2014/main" id="{2143EC6C-616A-40A4-A546-E8A645F48D14}"/>
            </a:ext>
          </a:extLst>
        </xdr:cNvPr>
        <xdr:cNvSpPr/>
      </xdr:nvSpPr>
      <xdr:spPr>
        <a:xfrm>
          <a:off x="2581275" y="6381750"/>
          <a:ext cx="0"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0</xdr:colOff>
      <xdr:row>10</xdr:row>
      <xdr:rowOff>0</xdr:rowOff>
    </xdr:from>
    <xdr:to>
      <xdr:col>23</xdr:col>
      <xdr:colOff>0</xdr:colOff>
      <xdr:row>12</xdr:row>
      <xdr:rowOff>0</xdr:rowOff>
    </xdr:to>
    <xdr:sp macro="" textlink="">
      <xdr:nvSpPr>
        <xdr:cNvPr id="7" name="大かっこ 6">
          <a:extLst>
            <a:ext uri="{FF2B5EF4-FFF2-40B4-BE49-F238E27FC236}">
              <a16:creationId xmlns:a16="http://schemas.microsoft.com/office/drawing/2014/main" id="{F2914421-A338-4A31-8B35-52C4F8AAB42A}"/>
            </a:ext>
          </a:extLst>
        </xdr:cNvPr>
        <xdr:cNvSpPr/>
      </xdr:nvSpPr>
      <xdr:spPr>
        <a:xfrm>
          <a:off x="1895475" y="2743200"/>
          <a:ext cx="638175"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0</xdr:colOff>
      <xdr:row>14</xdr:row>
      <xdr:rowOff>0</xdr:rowOff>
    </xdr:from>
    <xdr:to>
      <xdr:col>23</xdr:col>
      <xdr:colOff>0</xdr:colOff>
      <xdr:row>16</xdr:row>
      <xdr:rowOff>0</xdr:rowOff>
    </xdr:to>
    <xdr:sp macro="" textlink="">
      <xdr:nvSpPr>
        <xdr:cNvPr id="8" name="大かっこ 7">
          <a:extLst>
            <a:ext uri="{FF2B5EF4-FFF2-40B4-BE49-F238E27FC236}">
              <a16:creationId xmlns:a16="http://schemas.microsoft.com/office/drawing/2014/main" id="{EEA7F4AD-7224-48BE-A651-A9CB28A4B314}"/>
            </a:ext>
          </a:extLst>
        </xdr:cNvPr>
        <xdr:cNvSpPr/>
      </xdr:nvSpPr>
      <xdr:spPr>
        <a:xfrm>
          <a:off x="1895475" y="3333750"/>
          <a:ext cx="638175"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xdr:col>
      <xdr:colOff>0</xdr:colOff>
      <xdr:row>14</xdr:row>
      <xdr:rowOff>0</xdr:rowOff>
    </xdr:from>
    <xdr:to>
      <xdr:col>9</xdr:col>
      <xdr:colOff>0</xdr:colOff>
      <xdr:row>16</xdr:row>
      <xdr:rowOff>0</xdr:rowOff>
    </xdr:to>
    <xdr:sp macro="" textlink="">
      <xdr:nvSpPr>
        <xdr:cNvPr id="9" name="大かっこ 8">
          <a:extLst>
            <a:ext uri="{FF2B5EF4-FFF2-40B4-BE49-F238E27FC236}">
              <a16:creationId xmlns:a16="http://schemas.microsoft.com/office/drawing/2014/main" id="{5E7CC872-3FE2-43AE-881E-FBFD59FE8E07}"/>
            </a:ext>
          </a:extLst>
        </xdr:cNvPr>
        <xdr:cNvSpPr/>
      </xdr:nvSpPr>
      <xdr:spPr>
        <a:xfrm>
          <a:off x="428625" y="3333750"/>
          <a:ext cx="638175"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xdr:col>
      <xdr:colOff>0</xdr:colOff>
      <xdr:row>18</xdr:row>
      <xdr:rowOff>0</xdr:rowOff>
    </xdr:from>
    <xdr:to>
      <xdr:col>16</xdr:col>
      <xdr:colOff>0</xdr:colOff>
      <xdr:row>20</xdr:row>
      <xdr:rowOff>0</xdr:rowOff>
    </xdr:to>
    <xdr:sp macro="" textlink="">
      <xdr:nvSpPr>
        <xdr:cNvPr id="10" name="大かっこ 9">
          <a:extLst>
            <a:ext uri="{FF2B5EF4-FFF2-40B4-BE49-F238E27FC236}">
              <a16:creationId xmlns:a16="http://schemas.microsoft.com/office/drawing/2014/main" id="{CEEC7502-44A4-4B28-A1F0-06A573DCAE83}"/>
            </a:ext>
          </a:extLst>
        </xdr:cNvPr>
        <xdr:cNvSpPr/>
      </xdr:nvSpPr>
      <xdr:spPr>
        <a:xfrm>
          <a:off x="1162050" y="3924300"/>
          <a:ext cx="638175"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xdr:col>
      <xdr:colOff>0</xdr:colOff>
      <xdr:row>33</xdr:row>
      <xdr:rowOff>0</xdr:rowOff>
    </xdr:from>
    <xdr:to>
      <xdr:col>9</xdr:col>
      <xdr:colOff>0</xdr:colOff>
      <xdr:row>35</xdr:row>
      <xdr:rowOff>0</xdr:rowOff>
    </xdr:to>
    <xdr:sp macro="" textlink="">
      <xdr:nvSpPr>
        <xdr:cNvPr id="11" name="大かっこ 10">
          <a:extLst>
            <a:ext uri="{FF2B5EF4-FFF2-40B4-BE49-F238E27FC236}">
              <a16:creationId xmlns:a16="http://schemas.microsoft.com/office/drawing/2014/main" id="{04E29B88-7A6A-4340-95E8-F84D7A942E56}"/>
            </a:ext>
          </a:extLst>
        </xdr:cNvPr>
        <xdr:cNvSpPr/>
      </xdr:nvSpPr>
      <xdr:spPr>
        <a:xfrm>
          <a:off x="428625" y="6381750"/>
          <a:ext cx="638175"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xdr:col>
      <xdr:colOff>0</xdr:colOff>
      <xdr:row>37</xdr:row>
      <xdr:rowOff>0</xdr:rowOff>
    </xdr:from>
    <xdr:to>
      <xdr:col>16</xdr:col>
      <xdr:colOff>0</xdr:colOff>
      <xdr:row>39</xdr:row>
      <xdr:rowOff>0</xdr:rowOff>
    </xdr:to>
    <xdr:sp macro="" textlink="">
      <xdr:nvSpPr>
        <xdr:cNvPr id="12" name="大かっこ 11">
          <a:extLst>
            <a:ext uri="{FF2B5EF4-FFF2-40B4-BE49-F238E27FC236}">
              <a16:creationId xmlns:a16="http://schemas.microsoft.com/office/drawing/2014/main" id="{BD5AA459-E0AE-4D11-9FD5-84405644829A}"/>
            </a:ext>
          </a:extLst>
        </xdr:cNvPr>
        <xdr:cNvSpPr/>
      </xdr:nvSpPr>
      <xdr:spPr>
        <a:xfrm>
          <a:off x="1162050" y="6972300"/>
          <a:ext cx="638175"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40</xdr:col>
      <xdr:colOff>0</xdr:colOff>
      <xdr:row>14</xdr:row>
      <xdr:rowOff>0</xdr:rowOff>
    </xdr:from>
    <xdr:to>
      <xdr:col>45</xdr:col>
      <xdr:colOff>0</xdr:colOff>
      <xdr:row>16</xdr:row>
      <xdr:rowOff>0</xdr:rowOff>
    </xdr:to>
    <xdr:sp macro="" textlink="">
      <xdr:nvSpPr>
        <xdr:cNvPr id="13" name="大かっこ 12">
          <a:extLst>
            <a:ext uri="{FF2B5EF4-FFF2-40B4-BE49-F238E27FC236}">
              <a16:creationId xmlns:a16="http://schemas.microsoft.com/office/drawing/2014/main" id="{BE51B949-73B4-419C-A4B4-144597574331}"/>
            </a:ext>
          </a:extLst>
        </xdr:cNvPr>
        <xdr:cNvSpPr/>
      </xdr:nvSpPr>
      <xdr:spPr>
        <a:xfrm>
          <a:off x="4714875" y="3333750"/>
          <a:ext cx="638175"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54</xdr:col>
      <xdr:colOff>0</xdr:colOff>
      <xdr:row>22</xdr:row>
      <xdr:rowOff>0</xdr:rowOff>
    </xdr:from>
    <xdr:to>
      <xdr:col>59</xdr:col>
      <xdr:colOff>0</xdr:colOff>
      <xdr:row>24</xdr:row>
      <xdr:rowOff>0</xdr:rowOff>
    </xdr:to>
    <xdr:sp macro="" textlink="">
      <xdr:nvSpPr>
        <xdr:cNvPr id="14" name="大かっこ 13">
          <a:extLst>
            <a:ext uri="{FF2B5EF4-FFF2-40B4-BE49-F238E27FC236}">
              <a16:creationId xmlns:a16="http://schemas.microsoft.com/office/drawing/2014/main" id="{43538494-C797-4A25-B018-60440269BBF1}"/>
            </a:ext>
          </a:extLst>
        </xdr:cNvPr>
        <xdr:cNvSpPr/>
      </xdr:nvSpPr>
      <xdr:spPr>
        <a:xfrm>
          <a:off x="6181725" y="4514850"/>
          <a:ext cx="638175"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47</xdr:col>
      <xdr:colOff>0</xdr:colOff>
      <xdr:row>18</xdr:row>
      <xdr:rowOff>0</xdr:rowOff>
    </xdr:from>
    <xdr:to>
      <xdr:col>52</xdr:col>
      <xdr:colOff>0</xdr:colOff>
      <xdr:row>20</xdr:row>
      <xdr:rowOff>0</xdr:rowOff>
    </xdr:to>
    <xdr:sp macro="" textlink="">
      <xdr:nvSpPr>
        <xdr:cNvPr id="15" name="大かっこ 14">
          <a:extLst>
            <a:ext uri="{FF2B5EF4-FFF2-40B4-BE49-F238E27FC236}">
              <a16:creationId xmlns:a16="http://schemas.microsoft.com/office/drawing/2014/main" id="{2AA3EE46-0875-4013-8357-580C68B0D1BE}"/>
            </a:ext>
          </a:extLst>
        </xdr:cNvPr>
        <xdr:cNvSpPr/>
      </xdr:nvSpPr>
      <xdr:spPr>
        <a:xfrm>
          <a:off x="5448300" y="3924300"/>
          <a:ext cx="638175"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40</xdr:col>
      <xdr:colOff>0</xdr:colOff>
      <xdr:row>33</xdr:row>
      <xdr:rowOff>0</xdr:rowOff>
    </xdr:from>
    <xdr:to>
      <xdr:col>45</xdr:col>
      <xdr:colOff>0</xdr:colOff>
      <xdr:row>35</xdr:row>
      <xdr:rowOff>0</xdr:rowOff>
    </xdr:to>
    <xdr:sp macro="" textlink="">
      <xdr:nvSpPr>
        <xdr:cNvPr id="16" name="大かっこ 15">
          <a:extLst>
            <a:ext uri="{FF2B5EF4-FFF2-40B4-BE49-F238E27FC236}">
              <a16:creationId xmlns:a16="http://schemas.microsoft.com/office/drawing/2014/main" id="{8811993D-331A-4ECD-B8E8-9C97DBB41751}"/>
            </a:ext>
          </a:extLst>
        </xdr:cNvPr>
        <xdr:cNvSpPr/>
      </xdr:nvSpPr>
      <xdr:spPr>
        <a:xfrm>
          <a:off x="4714875" y="6381750"/>
          <a:ext cx="638175"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54</xdr:col>
      <xdr:colOff>0</xdr:colOff>
      <xdr:row>41</xdr:row>
      <xdr:rowOff>0</xdr:rowOff>
    </xdr:from>
    <xdr:to>
      <xdr:col>59</xdr:col>
      <xdr:colOff>0</xdr:colOff>
      <xdr:row>43</xdr:row>
      <xdr:rowOff>0</xdr:rowOff>
    </xdr:to>
    <xdr:sp macro="" textlink="">
      <xdr:nvSpPr>
        <xdr:cNvPr id="17" name="大かっこ 16">
          <a:extLst>
            <a:ext uri="{FF2B5EF4-FFF2-40B4-BE49-F238E27FC236}">
              <a16:creationId xmlns:a16="http://schemas.microsoft.com/office/drawing/2014/main" id="{45C609A5-69CD-4AA7-8777-A27D271E188A}"/>
            </a:ext>
          </a:extLst>
        </xdr:cNvPr>
        <xdr:cNvSpPr/>
      </xdr:nvSpPr>
      <xdr:spPr>
        <a:xfrm>
          <a:off x="6181725" y="7562850"/>
          <a:ext cx="638175"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47</xdr:col>
      <xdr:colOff>0</xdr:colOff>
      <xdr:row>37</xdr:row>
      <xdr:rowOff>0</xdr:rowOff>
    </xdr:from>
    <xdr:to>
      <xdr:col>52</xdr:col>
      <xdr:colOff>0</xdr:colOff>
      <xdr:row>39</xdr:row>
      <xdr:rowOff>0</xdr:rowOff>
    </xdr:to>
    <xdr:sp macro="" textlink="">
      <xdr:nvSpPr>
        <xdr:cNvPr id="18" name="大かっこ 17">
          <a:extLst>
            <a:ext uri="{FF2B5EF4-FFF2-40B4-BE49-F238E27FC236}">
              <a16:creationId xmlns:a16="http://schemas.microsoft.com/office/drawing/2014/main" id="{80C506C7-37B7-412D-B908-542B0653E3D8}"/>
            </a:ext>
          </a:extLst>
        </xdr:cNvPr>
        <xdr:cNvSpPr/>
      </xdr:nvSpPr>
      <xdr:spPr>
        <a:xfrm>
          <a:off x="5448300" y="6972300"/>
          <a:ext cx="638175"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xdr:col>
      <xdr:colOff>0</xdr:colOff>
      <xdr:row>18</xdr:row>
      <xdr:rowOff>0</xdr:rowOff>
    </xdr:from>
    <xdr:to>
      <xdr:col>9</xdr:col>
      <xdr:colOff>0</xdr:colOff>
      <xdr:row>20</xdr:row>
      <xdr:rowOff>0</xdr:rowOff>
    </xdr:to>
    <xdr:sp macro="" textlink="">
      <xdr:nvSpPr>
        <xdr:cNvPr id="19" name="大かっこ 18">
          <a:extLst>
            <a:ext uri="{FF2B5EF4-FFF2-40B4-BE49-F238E27FC236}">
              <a16:creationId xmlns:a16="http://schemas.microsoft.com/office/drawing/2014/main" id="{FF65BD29-617E-4359-B141-5E14C7B4A635}"/>
            </a:ext>
          </a:extLst>
        </xdr:cNvPr>
        <xdr:cNvSpPr/>
      </xdr:nvSpPr>
      <xdr:spPr>
        <a:xfrm>
          <a:off x="428625" y="3924300"/>
          <a:ext cx="638175"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xdr:col>
      <xdr:colOff>0</xdr:colOff>
      <xdr:row>37</xdr:row>
      <xdr:rowOff>0</xdr:rowOff>
    </xdr:from>
    <xdr:to>
      <xdr:col>9</xdr:col>
      <xdr:colOff>0</xdr:colOff>
      <xdr:row>39</xdr:row>
      <xdr:rowOff>0</xdr:rowOff>
    </xdr:to>
    <xdr:sp macro="" textlink="">
      <xdr:nvSpPr>
        <xdr:cNvPr id="20" name="大かっこ 19">
          <a:extLst>
            <a:ext uri="{FF2B5EF4-FFF2-40B4-BE49-F238E27FC236}">
              <a16:creationId xmlns:a16="http://schemas.microsoft.com/office/drawing/2014/main" id="{19820D12-9D84-4683-A5AC-708B7812101F}"/>
            </a:ext>
          </a:extLst>
        </xdr:cNvPr>
        <xdr:cNvSpPr/>
      </xdr:nvSpPr>
      <xdr:spPr>
        <a:xfrm>
          <a:off x="428625" y="6972300"/>
          <a:ext cx="638175"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40</xdr:col>
      <xdr:colOff>0</xdr:colOff>
      <xdr:row>18</xdr:row>
      <xdr:rowOff>0</xdr:rowOff>
    </xdr:from>
    <xdr:to>
      <xdr:col>45</xdr:col>
      <xdr:colOff>0</xdr:colOff>
      <xdr:row>20</xdr:row>
      <xdr:rowOff>0</xdr:rowOff>
    </xdr:to>
    <xdr:sp macro="" textlink="">
      <xdr:nvSpPr>
        <xdr:cNvPr id="21" name="大かっこ 20">
          <a:extLst>
            <a:ext uri="{FF2B5EF4-FFF2-40B4-BE49-F238E27FC236}">
              <a16:creationId xmlns:a16="http://schemas.microsoft.com/office/drawing/2014/main" id="{891087D8-2EB2-491E-9128-364682CF9A2E}"/>
            </a:ext>
          </a:extLst>
        </xdr:cNvPr>
        <xdr:cNvSpPr/>
      </xdr:nvSpPr>
      <xdr:spPr>
        <a:xfrm>
          <a:off x="4714875" y="3924300"/>
          <a:ext cx="638175"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40</xdr:col>
      <xdr:colOff>0</xdr:colOff>
      <xdr:row>37</xdr:row>
      <xdr:rowOff>0</xdr:rowOff>
    </xdr:from>
    <xdr:to>
      <xdr:col>45</xdr:col>
      <xdr:colOff>0</xdr:colOff>
      <xdr:row>39</xdr:row>
      <xdr:rowOff>0</xdr:rowOff>
    </xdr:to>
    <xdr:sp macro="" textlink="">
      <xdr:nvSpPr>
        <xdr:cNvPr id="22" name="大かっこ 21">
          <a:extLst>
            <a:ext uri="{FF2B5EF4-FFF2-40B4-BE49-F238E27FC236}">
              <a16:creationId xmlns:a16="http://schemas.microsoft.com/office/drawing/2014/main" id="{298D8572-8011-4223-86EB-E10FD675C767}"/>
            </a:ext>
          </a:extLst>
        </xdr:cNvPr>
        <xdr:cNvSpPr/>
      </xdr:nvSpPr>
      <xdr:spPr>
        <a:xfrm>
          <a:off x="4714875" y="6972300"/>
          <a:ext cx="638175"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47</xdr:col>
      <xdr:colOff>0</xdr:colOff>
      <xdr:row>22</xdr:row>
      <xdr:rowOff>0</xdr:rowOff>
    </xdr:from>
    <xdr:to>
      <xdr:col>52</xdr:col>
      <xdr:colOff>0</xdr:colOff>
      <xdr:row>24</xdr:row>
      <xdr:rowOff>0</xdr:rowOff>
    </xdr:to>
    <xdr:sp macro="" textlink="">
      <xdr:nvSpPr>
        <xdr:cNvPr id="23" name="大かっこ 22">
          <a:extLst>
            <a:ext uri="{FF2B5EF4-FFF2-40B4-BE49-F238E27FC236}">
              <a16:creationId xmlns:a16="http://schemas.microsoft.com/office/drawing/2014/main" id="{7FE35519-89F9-4695-AE46-B0EED1730BA2}"/>
            </a:ext>
          </a:extLst>
        </xdr:cNvPr>
        <xdr:cNvSpPr/>
      </xdr:nvSpPr>
      <xdr:spPr>
        <a:xfrm>
          <a:off x="5448300" y="4514850"/>
          <a:ext cx="638175"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47</xdr:col>
      <xdr:colOff>0</xdr:colOff>
      <xdr:row>41</xdr:row>
      <xdr:rowOff>0</xdr:rowOff>
    </xdr:from>
    <xdr:to>
      <xdr:col>52</xdr:col>
      <xdr:colOff>0</xdr:colOff>
      <xdr:row>43</xdr:row>
      <xdr:rowOff>0</xdr:rowOff>
    </xdr:to>
    <xdr:sp macro="" textlink="">
      <xdr:nvSpPr>
        <xdr:cNvPr id="24" name="大かっこ 23">
          <a:extLst>
            <a:ext uri="{FF2B5EF4-FFF2-40B4-BE49-F238E27FC236}">
              <a16:creationId xmlns:a16="http://schemas.microsoft.com/office/drawing/2014/main" id="{D18A449C-D115-4F0D-A154-098CA59B561E}"/>
            </a:ext>
          </a:extLst>
        </xdr:cNvPr>
        <xdr:cNvSpPr/>
      </xdr:nvSpPr>
      <xdr:spPr>
        <a:xfrm>
          <a:off x="5448300" y="7562850"/>
          <a:ext cx="638175"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40</xdr:col>
      <xdr:colOff>0</xdr:colOff>
      <xdr:row>22</xdr:row>
      <xdr:rowOff>0</xdr:rowOff>
    </xdr:from>
    <xdr:to>
      <xdr:col>45</xdr:col>
      <xdr:colOff>0</xdr:colOff>
      <xdr:row>24</xdr:row>
      <xdr:rowOff>0</xdr:rowOff>
    </xdr:to>
    <xdr:sp macro="" textlink="">
      <xdr:nvSpPr>
        <xdr:cNvPr id="25" name="大かっこ 24">
          <a:extLst>
            <a:ext uri="{FF2B5EF4-FFF2-40B4-BE49-F238E27FC236}">
              <a16:creationId xmlns:a16="http://schemas.microsoft.com/office/drawing/2014/main" id="{66DEFEB0-A4CF-4DCA-AC5E-44FE1752094C}"/>
            </a:ext>
          </a:extLst>
        </xdr:cNvPr>
        <xdr:cNvSpPr/>
      </xdr:nvSpPr>
      <xdr:spPr>
        <a:xfrm>
          <a:off x="4714875" y="4514850"/>
          <a:ext cx="638175"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47</xdr:col>
      <xdr:colOff>1</xdr:colOff>
      <xdr:row>10</xdr:row>
      <xdr:rowOff>0</xdr:rowOff>
    </xdr:from>
    <xdr:to>
      <xdr:col>52</xdr:col>
      <xdr:colOff>1</xdr:colOff>
      <xdr:row>12</xdr:row>
      <xdr:rowOff>0</xdr:rowOff>
    </xdr:to>
    <xdr:sp macro="" textlink="">
      <xdr:nvSpPr>
        <xdr:cNvPr id="26" name="大かっこ 25">
          <a:extLst>
            <a:ext uri="{FF2B5EF4-FFF2-40B4-BE49-F238E27FC236}">
              <a16:creationId xmlns:a16="http://schemas.microsoft.com/office/drawing/2014/main" id="{9011F7E8-72DD-4FAA-952D-4562A946034C}"/>
            </a:ext>
          </a:extLst>
        </xdr:cNvPr>
        <xdr:cNvSpPr/>
      </xdr:nvSpPr>
      <xdr:spPr>
        <a:xfrm>
          <a:off x="5448301" y="2743200"/>
          <a:ext cx="638175"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54</xdr:col>
      <xdr:colOff>0</xdr:colOff>
      <xdr:row>10</xdr:row>
      <xdr:rowOff>0</xdr:rowOff>
    </xdr:from>
    <xdr:to>
      <xdr:col>59</xdr:col>
      <xdr:colOff>0</xdr:colOff>
      <xdr:row>12</xdr:row>
      <xdr:rowOff>0</xdr:rowOff>
    </xdr:to>
    <xdr:sp macro="" textlink="">
      <xdr:nvSpPr>
        <xdr:cNvPr id="27" name="大かっこ 26">
          <a:extLst>
            <a:ext uri="{FF2B5EF4-FFF2-40B4-BE49-F238E27FC236}">
              <a16:creationId xmlns:a16="http://schemas.microsoft.com/office/drawing/2014/main" id="{25CB4C8B-6937-45E6-ADFD-1262C0036C97}"/>
            </a:ext>
          </a:extLst>
        </xdr:cNvPr>
        <xdr:cNvSpPr/>
      </xdr:nvSpPr>
      <xdr:spPr>
        <a:xfrm>
          <a:off x="6181725" y="2743200"/>
          <a:ext cx="638175"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61</xdr:col>
      <xdr:colOff>0</xdr:colOff>
      <xdr:row>10</xdr:row>
      <xdr:rowOff>0</xdr:rowOff>
    </xdr:from>
    <xdr:to>
      <xdr:col>66</xdr:col>
      <xdr:colOff>0</xdr:colOff>
      <xdr:row>12</xdr:row>
      <xdr:rowOff>0</xdr:rowOff>
    </xdr:to>
    <xdr:sp macro="" textlink="">
      <xdr:nvSpPr>
        <xdr:cNvPr id="28" name="大かっこ 27">
          <a:extLst>
            <a:ext uri="{FF2B5EF4-FFF2-40B4-BE49-F238E27FC236}">
              <a16:creationId xmlns:a16="http://schemas.microsoft.com/office/drawing/2014/main" id="{CE86F7C8-64AA-4B48-A01E-1C8A1A451E98}"/>
            </a:ext>
          </a:extLst>
        </xdr:cNvPr>
        <xdr:cNvSpPr/>
      </xdr:nvSpPr>
      <xdr:spPr>
        <a:xfrm>
          <a:off x="6915150" y="2743200"/>
          <a:ext cx="638175"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54</xdr:col>
      <xdr:colOff>0</xdr:colOff>
      <xdr:row>14</xdr:row>
      <xdr:rowOff>0</xdr:rowOff>
    </xdr:from>
    <xdr:to>
      <xdr:col>59</xdr:col>
      <xdr:colOff>0</xdr:colOff>
      <xdr:row>16</xdr:row>
      <xdr:rowOff>0</xdr:rowOff>
    </xdr:to>
    <xdr:sp macro="" textlink="">
      <xdr:nvSpPr>
        <xdr:cNvPr id="29" name="大かっこ 28">
          <a:extLst>
            <a:ext uri="{FF2B5EF4-FFF2-40B4-BE49-F238E27FC236}">
              <a16:creationId xmlns:a16="http://schemas.microsoft.com/office/drawing/2014/main" id="{C723E8DA-D8D1-4CE5-A95D-D5C29D8F620E}"/>
            </a:ext>
          </a:extLst>
        </xdr:cNvPr>
        <xdr:cNvSpPr/>
      </xdr:nvSpPr>
      <xdr:spPr>
        <a:xfrm>
          <a:off x="6181725" y="3333750"/>
          <a:ext cx="638175"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61</xdr:col>
      <xdr:colOff>0</xdr:colOff>
      <xdr:row>14</xdr:row>
      <xdr:rowOff>22411</xdr:rowOff>
    </xdr:from>
    <xdr:to>
      <xdr:col>66</xdr:col>
      <xdr:colOff>0</xdr:colOff>
      <xdr:row>16</xdr:row>
      <xdr:rowOff>22411</xdr:rowOff>
    </xdr:to>
    <xdr:sp macro="" textlink="">
      <xdr:nvSpPr>
        <xdr:cNvPr id="30" name="大かっこ 29">
          <a:extLst>
            <a:ext uri="{FF2B5EF4-FFF2-40B4-BE49-F238E27FC236}">
              <a16:creationId xmlns:a16="http://schemas.microsoft.com/office/drawing/2014/main" id="{1FFB9469-CB23-493A-92FF-7A90BEAF8451}"/>
            </a:ext>
          </a:extLst>
        </xdr:cNvPr>
        <xdr:cNvSpPr/>
      </xdr:nvSpPr>
      <xdr:spPr>
        <a:xfrm>
          <a:off x="6915150" y="3356161"/>
          <a:ext cx="638175"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61</xdr:col>
      <xdr:colOff>0</xdr:colOff>
      <xdr:row>18</xdr:row>
      <xdr:rowOff>0</xdr:rowOff>
    </xdr:from>
    <xdr:to>
      <xdr:col>66</xdr:col>
      <xdr:colOff>0</xdr:colOff>
      <xdr:row>20</xdr:row>
      <xdr:rowOff>0</xdr:rowOff>
    </xdr:to>
    <xdr:sp macro="" textlink="">
      <xdr:nvSpPr>
        <xdr:cNvPr id="31" name="大かっこ 30">
          <a:extLst>
            <a:ext uri="{FF2B5EF4-FFF2-40B4-BE49-F238E27FC236}">
              <a16:creationId xmlns:a16="http://schemas.microsoft.com/office/drawing/2014/main" id="{79E8EB27-2002-464D-8E8A-F17030EC81DE}"/>
            </a:ext>
          </a:extLst>
        </xdr:cNvPr>
        <xdr:cNvSpPr/>
      </xdr:nvSpPr>
      <xdr:spPr>
        <a:xfrm>
          <a:off x="6915150" y="3924300"/>
          <a:ext cx="638175"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47</xdr:col>
      <xdr:colOff>0</xdr:colOff>
      <xdr:row>29</xdr:row>
      <xdr:rowOff>0</xdr:rowOff>
    </xdr:from>
    <xdr:to>
      <xdr:col>52</xdr:col>
      <xdr:colOff>0</xdr:colOff>
      <xdr:row>31</xdr:row>
      <xdr:rowOff>0</xdr:rowOff>
    </xdr:to>
    <xdr:sp macro="" textlink="">
      <xdr:nvSpPr>
        <xdr:cNvPr id="32" name="大かっこ 31">
          <a:extLst>
            <a:ext uri="{FF2B5EF4-FFF2-40B4-BE49-F238E27FC236}">
              <a16:creationId xmlns:a16="http://schemas.microsoft.com/office/drawing/2014/main" id="{E353D1F2-5EAB-4B47-8274-7DA82841A80A}"/>
            </a:ext>
          </a:extLst>
        </xdr:cNvPr>
        <xdr:cNvSpPr/>
      </xdr:nvSpPr>
      <xdr:spPr>
        <a:xfrm>
          <a:off x="5448300" y="5791200"/>
          <a:ext cx="638175"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54</xdr:col>
      <xdr:colOff>0</xdr:colOff>
      <xdr:row>29</xdr:row>
      <xdr:rowOff>0</xdr:rowOff>
    </xdr:from>
    <xdr:to>
      <xdr:col>59</xdr:col>
      <xdr:colOff>0</xdr:colOff>
      <xdr:row>31</xdr:row>
      <xdr:rowOff>0</xdr:rowOff>
    </xdr:to>
    <xdr:sp macro="" textlink="">
      <xdr:nvSpPr>
        <xdr:cNvPr id="33" name="大かっこ 32">
          <a:extLst>
            <a:ext uri="{FF2B5EF4-FFF2-40B4-BE49-F238E27FC236}">
              <a16:creationId xmlns:a16="http://schemas.microsoft.com/office/drawing/2014/main" id="{D3AE1D96-5C50-4B9C-8768-4B23E03E8253}"/>
            </a:ext>
          </a:extLst>
        </xdr:cNvPr>
        <xdr:cNvSpPr/>
      </xdr:nvSpPr>
      <xdr:spPr>
        <a:xfrm>
          <a:off x="6181725" y="5791200"/>
          <a:ext cx="638175"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61</xdr:col>
      <xdr:colOff>0</xdr:colOff>
      <xdr:row>29</xdr:row>
      <xdr:rowOff>0</xdr:rowOff>
    </xdr:from>
    <xdr:to>
      <xdr:col>66</xdr:col>
      <xdr:colOff>0</xdr:colOff>
      <xdr:row>31</xdr:row>
      <xdr:rowOff>0</xdr:rowOff>
    </xdr:to>
    <xdr:sp macro="" textlink="">
      <xdr:nvSpPr>
        <xdr:cNvPr id="34" name="大かっこ 33">
          <a:extLst>
            <a:ext uri="{FF2B5EF4-FFF2-40B4-BE49-F238E27FC236}">
              <a16:creationId xmlns:a16="http://schemas.microsoft.com/office/drawing/2014/main" id="{64F68D86-D005-4E87-A8CC-5E232A2AFFF1}"/>
            </a:ext>
          </a:extLst>
        </xdr:cNvPr>
        <xdr:cNvSpPr/>
      </xdr:nvSpPr>
      <xdr:spPr>
        <a:xfrm>
          <a:off x="6915150" y="5791200"/>
          <a:ext cx="638175"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54</xdr:col>
      <xdr:colOff>0</xdr:colOff>
      <xdr:row>33</xdr:row>
      <xdr:rowOff>0</xdr:rowOff>
    </xdr:from>
    <xdr:to>
      <xdr:col>59</xdr:col>
      <xdr:colOff>0</xdr:colOff>
      <xdr:row>35</xdr:row>
      <xdr:rowOff>0</xdr:rowOff>
    </xdr:to>
    <xdr:sp macro="" textlink="">
      <xdr:nvSpPr>
        <xdr:cNvPr id="35" name="大かっこ 34">
          <a:extLst>
            <a:ext uri="{FF2B5EF4-FFF2-40B4-BE49-F238E27FC236}">
              <a16:creationId xmlns:a16="http://schemas.microsoft.com/office/drawing/2014/main" id="{EBF84273-7EF6-47A4-A7DD-DDB36E5A6BD7}"/>
            </a:ext>
          </a:extLst>
        </xdr:cNvPr>
        <xdr:cNvSpPr/>
      </xdr:nvSpPr>
      <xdr:spPr>
        <a:xfrm>
          <a:off x="6181725" y="6381750"/>
          <a:ext cx="638175"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61</xdr:col>
      <xdr:colOff>0</xdr:colOff>
      <xdr:row>33</xdr:row>
      <xdr:rowOff>0</xdr:rowOff>
    </xdr:from>
    <xdr:to>
      <xdr:col>66</xdr:col>
      <xdr:colOff>0</xdr:colOff>
      <xdr:row>35</xdr:row>
      <xdr:rowOff>0</xdr:rowOff>
    </xdr:to>
    <xdr:sp macro="" textlink="">
      <xdr:nvSpPr>
        <xdr:cNvPr id="36" name="大かっこ 35">
          <a:extLst>
            <a:ext uri="{FF2B5EF4-FFF2-40B4-BE49-F238E27FC236}">
              <a16:creationId xmlns:a16="http://schemas.microsoft.com/office/drawing/2014/main" id="{011B86B5-67D3-4DA4-8B15-D38A8E8BE180}"/>
            </a:ext>
          </a:extLst>
        </xdr:cNvPr>
        <xdr:cNvSpPr/>
      </xdr:nvSpPr>
      <xdr:spPr>
        <a:xfrm>
          <a:off x="6915150" y="6381750"/>
          <a:ext cx="638175"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61</xdr:col>
      <xdr:colOff>0</xdr:colOff>
      <xdr:row>37</xdr:row>
      <xdr:rowOff>0</xdr:rowOff>
    </xdr:from>
    <xdr:to>
      <xdr:col>66</xdr:col>
      <xdr:colOff>0</xdr:colOff>
      <xdr:row>39</xdr:row>
      <xdr:rowOff>0</xdr:rowOff>
    </xdr:to>
    <xdr:sp macro="" textlink="">
      <xdr:nvSpPr>
        <xdr:cNvPr id="37" name="大かっこ 36">
          <a:extLst>
            <a:ext uri="{FF2B5EF4-FFF2-40B4-BE49-F238E27FC236}">
              <a16:creationId xmlns:a16="http://schemas.microsoft.com/office/drawing/2014/main" id="{4440FD6B-BD74-4405-BFF1-747FEB96496D}"/>
            </a:ext>
          </a:extLst>
        </xdr:cNvPr>
        <xdr:cNvSpPr/>
      </xdr:nvSpPr>
      <xdr:spPr>
        <a:xfrm>
          <a:off x="6915150" y="6972300"/>
          <a:ext cx="638175"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xdr:col>
      <xdr:colOff>0</xdr:colOff>
      <xdr:row>29</xdr:row>
      <xdr:rowOff>0</xdr:rowOff>
    </xdr:from>
    <xdr:to>
      <xdr:col>16</xdr:col>
      <xdr:colOff>0</xdr:colOff>
      <xdr:row>31</xdr:row>
      <xdr:rowOff>0</xdr:rowOff>
    </xdr:to>
    <xdr:sp macro="" textlink="">
      <xdr:nvSpPr>
        <xdr:cNvPr id="38" name="大かっこ 37">
          <a:extLst>
            <a:ext uri="{FF2B5EF4-FFF2-40B4-BE49-F238E27FC236}">
              <a16:creationId xmlns:a16="http://schemas.microsoft.com/office/drawing/2014/main" id="{9F236E6E-AEEA-419F-B9CD-4BDD1E458AC3}"/>
            </a:ext>
          </a:extLst>
        </xdr:cNvPr>
        <xdr:cNvSpPr/>
      </xdr:nvSpPr>
      <xdr:spPr>
        <a:xfrm>
          <a:off x="1162050" y="5791200"/>
          <a:ext cx="638175"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0</xdr:colOff>
      <xdr:row>29</xdr:row>
      <xdr:rowOff>0</xdr:rowOff>
    </xdr:from>
    <xdr:to>
      <xdr:col>23</xdr:col>
      <xdr:colOff>0</xdr:colOff>
      <xdr:row>31</xdr:row>
      <xdr:rowOff>0</xdr:rowOff>
    </xdr:to>
    <xdr:sp macro="" textlink="">
      <xdr:nvSpPr>
        <xdr:cNvPr id="39" name="大かっこ 38">
          <a:extLst>
            <a:ext uri="{FF2B5EF4-FFF2-40B4-BE49-F238E27FC236}">
              <a16:creationId xmlns:a16="http://schemas.microsoft.com/office/drawing/2014/main" id="{2BE648F8-9EEB-4B04-9F98-5E696A13EFDD}"/>
            </a:ext>
          </a:extLst>
        </xdr:cNvPr>
        <xdr:cNvSpPr/>
      </xdr:nvSpPr>
      <xdr:spPr>
        <a:xfrm>
          <a:off x="1895475" y="5791200"/>
          <a:ext cx="638175"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0</xdr:colOff>
      <xdr:row>33</xdr:row>
      <xdr:rowOff>0</xdr:rowOff>
    </xdr:from>
    <xdr:to>
      <xdr:col>23</xdr:col>
      <xdr:colOff>0</xdr:colOff>
      <xdr:row>35</xdr:row>
      <xdr:rowOff>0</xdr:rowOff>
    </xdr:to>
    <xdr:sp macro="" textlink="">
      <xdr:nvSpPr>
        <xdr:cNvPr id="40" name="大かっこ 39">
          <a:extLst>
            <a:ext uri="{FF2B5EF4-FFF2-40B4-BE49-F238E27FC236}">
              <a16:creationId xmlns:a16="http://schemas.microsoft.com/office/drawing/2014/main" id="{0684D963-AFF7-4656-B627-1F3E0FF018A4}"/>
            </a:ext>
          </a:extLst>
        </xdr:cNvPr>
        <xdr:cNvSpPr/>
      </xdr:nvSpPr>
      <xdr:spPr>
        <a:xfrm>
          <a:off x="1895475" y="6381750"/>
          <a:ext cx="638175"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40</xdr:col>
      <xdr:colOff>0</xdr:colOff>
      <xdr:row>41</xdr:row>
      <xdr:rowOff>0</xdr:rowOff>
    </xdr:from>
    <xdr:to>
      <xdr:col>45</xdr:col>
      <xdr:colOff>0</xdr:colOff>
      <xdr:row>43</xdr:row>
      <xdr:rowOff>0</xdr:rowOff>
    </xdr:to>
    <xdr:sp macro="" textlink="">
      <xdr:nvSpPr>
        <xdr:cNvPr id="41" name="大かっこ 40">
          <a:extLst>
            <a:ext uri="{FF2B5EF4-FFF2-40B4-BE49-F238E27FC236}">
              <a16:creationId xmlns:a16="http://schemas.microsoft.com/office/drawing/2014/main" id="{AA38FD78-E7E1-4876-A7C5-D22F7289BFC8}"/>
            </a:ext>
          </a:extLst>
        </xdr:cNvPr>
        <xdr:cNvSpPr/>
      </xdr:nvSpPr>
      <xdr:spPr>
        <a:xfrm>
          <a:off x="4714875" y="7562850"/>
          <a:ext cx="638175"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81</xdr:col>
      <xdr:colOff>87406</xdr:colOff>
      <xdr:row>52</xdr:row>
      <xdr:rowOff>28015</xdr:rowOff>
    </xdr:from>
    <xdr:to>
      <xdr:col>86</xdr:col>
      <xdr:colOff>98292</xdr:colOff>
      <xdr:row>54</xdr:row>
      <xdr:rowOff>7203</xdr:rowOff>
    </xdr:to>
    <xdr:sp macro="" textlink="">
      <xdr:nvSpPr>
        <xdr:cNvPr id="42" name="大かっこ 82">
          <a:extLst>
            <a:ext uri="{FF2B5EF4-FFF2-40B4-BE49-F238E27FC236}">
              <a16:creationId xmlns:a16="http://schemas.microsoft.com/office/drawing/2014/main" id="{992FADC9-F7E6-4455-B4D3-249945F49897}"/>
            </a:ext>
          </a:extLst>
        </xdr:cNvPr>
        <xdr:cNvSpPr/>
      </xdr:nvSpPr>
      <xdr:spPr>
        <a:xfrm>
          <a:off x="11345956" y="9514915"/>
          <a:ext cx="915761" cy="3411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105</xdr:col>
      <xdr:colOff>87406</xdr:colOff>
      <xdr:row>52</xdr:row>
      <xdr:rowOff>28015</xdr:rowOff>
    </xdr:from>
    <xdr:to>
      <xdr:col>110</xdr:col>
      <xdr:colOff>98292</xdr:colOff>
      <xdr:row>54</xdr:row>
      <xdr:rowOff>7203</xdr:rowOff>
    </xdr:to>
    <xdr:sp macro="" textlink="">
      <xdr:nvSpPr>
        <xdr:cNvPr id="43" name="大かっこ 82">
          <a:extLst>
            <a:ext uri="{FF2B5EF4-FFF2-40B4-BE49-F238E27FC236}">
              <a16:creationId xmlns:a16="http://schemas.microsoft.com/office/drawing/2014/main" id="{933B27D5-A9BB-4952-A7FF-8D9F8AA3741C}"/>
            </a:ext>
          </a:extLst>
        </xdr:cNvPr>
        <xdr:cNvSpPr/>
      </xdr:nvSpPr>
      <xdr:spPr>
        <a:xfrm>
          <a:off x="15689356" y="9514915"/>
          <a:ext cx="915761" cy="3411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75</xdr:col>
      <xdr:colOff>87406</xdr:colOff>
      <xdr:row>60</xdr:row>
      <xdr:rowOff>31376</xdr:rowOff>
    </xdr:from>
    <xdr:to>
      <xdr:col>80</xdr:col>
      <xdr:colOff>98292</xdr:colOff>
      <xdr:row>62</xdr:row>
      <xdr:rowOff>960</xdr:rowOff>
    </xdr:to>
    <xdr:sp macro="" textlink="">
      <xdr:nvSpPr>
        <xdr:cNvPr id="44" name="大かっこ 82">
          <a:extLst>
            <a:ext uri="{FF2B5EF4-FFF2-40B4-BE49-F238E27FC236}">
              <a16:creationId xmlns:a16="http://schemas.microsoft.com/office/drawing/2014/main" id="{3A043226-FE55-4BDE-8C20-4750681758B8}"/>
            </a:ext>
          </a:extLst>
        </xdr:cNvPr>
        <xdr:cNvSpPr/>
      </xdr:nvSpPr>
      <xdr:spPr>
        <a:xfrm>
          <a:off x="10260106" y="10699376"/>
          <a:ext cx="915761" cy="3410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87</xdr:col>
      <xdr:colOff>87406</xdr:colOff>
      <xdr:row>60</xdr:row>
      <xdr:rowOff>31376</xdr:rowOff>
    </xdr:from>
    <xdr:to>
      <xdr:col>92</xdr:col>
      <xdr:colOff>98292</xdr:colOff>
      <xdr:row>62</xdr:row>
      <xdr:rowOff>960</xdr:rowOff>
    </xdr:to>
    <xdr:sp macro="" textlink="">
      <xdr:nvSpPr>
        <xdr:cNvPr id="45" name="大かっこ 82">
          <a:extLst>
            <a:ext uri="{FF2B5EF4-FFF2-40B4-BE49-F238E27FC236}">
              <a16:creationId xmlns:a16="http://schemas.microsoft.com/office/drawing/2014/main" id="{3AA944EE-0675-4A47-9F5E-5DED2B21A776}"/>
            </a:ext>
          </a:extLst>
        </xdr:cNvPr>
        <xdr:cNvSpPr/>
      </xdr:nvSpPr>
      <xdr:spPr>
        <a:xfrm>
          <a:off x="12431806" y="10699376"/>
          <a:ext cx="915761" cy="3410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99</xdr:col>
      <xdr:colOff>87406</xdr:colOff>
      <xdr:row>60</xdr:row>
      <xdr:rowOff>31376</xdr:rowOff>
    </xdr:from>
    <xdr:to>
      <xdr:col>104</xdr:col>
      <xdr:colOff>98292</xdr:colOff>
      <xdr:row>62</xdr:row>
      <xdr:rowOff>960</xdr:rowOff>
    </xdr:to>
    <xdr:sp macro="" textlink="">
      <xdr:nvSpPr>
        <xdr:cNvPr id="46" name="大かっこ 82">
          <a:extLst>
            <a:ext uri="{FF2B5EF4-FFF2-40B4-BE49-F238E27FC236}">
              <a16:creationId xmlns:a16="http://schemas.microsoft.com/office/drawing/2014/main" id="{31977517-6CAB-45F2-9FBD-289D099288EC}"/>
            </a:ext>
          </a:extLst>
        </xdr:cNvPr>
        <xdr:cNvSpPr/>
      </xdr:nvSpPr>
      <xdr:spPr>
        <a:xfrm>
          <a:off x="14603506" y="10699376"/>
          <a:ext cx="915761" cy="3410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111</xdr:col>
      <xdr:colOff>87406</xdr:colOff>
      <xdr:row>60</xdr:row>
      <xdr:rowOff>31376</xdr:rowOff>
    </xdr:from>
    <xdr:to>
      <xdr:col>116</xdr:col>
      <xdr:colOff>98292</xdr:colOff>
      <xdr:row>62</xdr:row>
      <xdr:rowOff>960</xdr:rowOff>
    </xdr:to>
    <xdr:sp macro="" textlink="">
      <xdr:nvSpPr>
        <xdr:cNvPr id="47" name="大かっこ 82">
          <a:extLst>
            <a:ext uri="{FF2B5EF4-FFF2-40B4-BE49-F238E27FC236}">
              <a16:creationId xmlns:a16="http://schemas.microsoft.com/office/drawing/2014/main" id="{B0A1859A-EAC7-4404-AD12-838D3DD47F8A}"/>
            </a:ext>
          </a:extLst>
        </xdr:cNvPr>
        <xdr:cNvSpPr/>
      </xdr:nvSpPr>
      <xdr:spPr>
        <a:xfrm>
          <a:off x="16775206" y="10699376"/>
          <a:ext cx="915761" cy="3410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47</xdr:col>
      <xdr:colOff>0</xdr:colOff>
      <xdr:row>22</xdr:row>
      <xdr:rowOff>0</xdr:rowOff>
    </xdr:from>
    <xdr:to>
      <xdr:col>52</xdr:col>
      <xdr:colOff>0</xdr:colOff>
      <xdr:row>24</xdr:row>
      <xdr:rowOff>0</xdr:rowOff>
    </xdr:to>
    <xdr:sp macro="" textlink="">
      <xdr:nvSpPr>
        <xdr:cNvPr id="48" name="大かっこ 47">
          <a:extLst>
            <a:ext uri="{FF2B5EF4-FFF2-40B4-BE49-F238E27FC236}">
              <a16:creationId xmlns:a16="http://schemas.microsoft.com/office/drawing/2014/main" id="{5F1AAD19-69DD-4BF1-972D-439607AE59EF}"/>
            </a:ext>
          </a:extLst>
        </xdr:cNvPr>
        <xdr:cNvSpPr/>
      </xdr:nvSpPr>
      <xdr:spPr>
        <a:xfrm>
          <a:off x="5448300" y="4514850"/>
          <a:ext cx="638175"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47</xdr:row>
          <xdr:rowOff>0</xdr:rowOff>
        </xdr:from>
        <xdr:to>
          <xdr:col>69</xdr:col>
          <xdr:colOff>67236</xdr:colOff>
          <xdr:row>71</xdr:row>
          <xdr:rowOff>123265</xdr:rowOff>
        </xdr:to>
        <xdr:pic>
          <xdr:nvPicPr>
            <xdr:cNvPr id="49" name="Picture 13307">
              <a:extLst>
                <a:ext uri="{FF2B5EF4-FFF2-40B4-BE49-F238E27FC236}">
                  <a16:creationId xmlns:a16="http://schemas.microsoft.com/office/drawing/2014/main" id="{644E8F38-3774-402D-9E8D-4BCCA5727A62}"/>
                </a:ext>
              </a:extLst>
            </xdr:cNvPr>
            <xdr:cNvPicPr>
              <a:picLocks noChangeAspect="1" noChangeArrowheads="1"/>
              <a:extLst>
                <a:ext uri="{84589F7E-364E-4C9E-8A38-B11213B215E9}">
                  <a14:cameraTool cellRange="$BW$46:$DN$67" spid="_x0000_s9847"/>
                </a:ext>
              </a:extLst>
            </xdr:cNvPicPr>
          </xdr:nvPicPr>
          <xdr:blipFill>
            <a:blip xmlns:r="http://schemas.openxmlformats.org/officeDocument/2006/relationships" r:embed="rId1"/>
            <a:srcRect/>
            <a:stretch>
              <a:fillRect/>
            </a:stretch>
          </xdr:blipFill>
          <xdr:spPr bwMode="auto">
            <a:xfrm>
              <a:off x="425824" y="8919882"/>
              <a:ext cx="7888941" cy="592791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25</xdr:col>
      <xdr:colOff>0</xdr:colOff>
      <xdr:row>10</xdr:row>
      <xdr:rowOff>0</xdr:rowOff>
    </xdr:from>
    <xdr:to>
      <xdr:col>30</xdr:col>
      <xdr:colOff>0</xdr:colOff>
      <xdr:row>12</xdr:row>
      <xdr:rowOff>0</xdr:rowOff>
    </xdr:to>
    <xdr:sp macro="" textlink="">
      <xdr:nvSpPr>
        <xdr:cNvPr id="2" name="大かっこ 1">
          <a:extLst>
            <a:ext uri="{FF2B5EF4-FFF2-40B4-BE49-F238E27FC236}">
              <a16:creationId xmlns:a16="http://schemas.microsoft.com/office/drawing/2014/main" id="{D4910EF9-6499-4BF6-B2A7-3201DFDEA930}"/>
            </a:ext>
          </a:extLst>
        </xdr:cNvPr>
        <xdr:cNvSpPr/>
      </xdr:nvSpPr>
      <xdr:spPr>
        <a:xfrm>
          <a:off x="3267075" y="2733675"/>
          <a:ext cx="0"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25</xdr:col>
      <xdr:colOff>0</xdr:colOff>
      <xdr:row>14</xdr:row>
      <xdr:rowOff>0</xdr:rowOff>
    </xdr:from>
    <xdr:to>
      <xdr:col>30</xdr:col>
      <xdr:colOff>0</xdr:colOff>
      <xdr:row>16</xdr:row>
      <xdr:rowOff>0</xdr:rowOff>
    </xdr:to>
    <xdr:sp macro="" textlink="">
      <xdr:nvSpPr>
        <xdr:cNvPr id="3" name="大かっこ 2">
          <a:extLst>
            <a:ext uri="{FF2B5EF4-FFF2-40B4-BE49-F238E27FC236}">
              <a16:creationId xmlns:a16="http://schemas.microsoft.com/office/drawing/2014/main" id="{F72AD988-A69A-494A-AB77-ABE210ACF5F2}"/>
            </a:ext>
          </a:extLst>
        </xdr:cNvPr>
        <xdr:cNvSpPr/>
      </xdr:nvSpPr>
      <xdr:spPr>
        <a:xfrm>
          <a:off x="3267075" y="3314700"/>
          <a:ext cx="0"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25</xdr:col>
      <xdr:colOff>0</xdr:colOff>
      <xdr:row>29</xdr:row>
      <xdr:rowOff>0</xdr:rowOff>
    </xdr:from>
    <xdr:to>
      <xdr:col>30</xdr:col>
      <xdr:colOff>0</xdr:colOff>
      <xdr:row>31</xdr:row>
      <xdr:rowOff>0</xdr:rowOff>
    </xdr:to>
    <xdr:sp macro="" textlink="">
      <xdr:nvSpPr>
        <xdr:cNvPr id="4" name="大かっこ 3">
          <a:extLst>
            <a:ext uri="{FF2B5EF4-FFF2-40B4-BE49-F238E27FC236}">
              <a16:creationId xmlns:a16="http://schemas.microsoft.com/office/drawing/2014/main" id="{FC234FB5-9D29-4F60-B040-04AD7EBF467D}"/>
            </a:ext>
          </a:extLst>
        </xdr:cNvPr>
        <xdr:cNvSpPr/>
      </xdr:nvSpPr>
      <xdr:spPr>
        <a:xfrm>
          <a:off x="3267075" y="5753100"/>
          <a:ext cx="0"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25</xdr:col>
      <xdr:colOff>0</xdr:colOff>
      <xdr:row>33</xdr:row>
      <xdr:rowOff>0</xdr:rowOff>
    </xdr:from>
    <xdr:to>
      <xdr:col>30</xdr:col>
      <xdr:colOff>0</xdr:colOff>
      <xdr:row>35</xdr:row>
      <xdr:rowOff>0</xdr:rowOff>
    </xdr:to>
    <xdr:sp macro="" textlink="">
      <xdr:nvSpPr>
        <xdr:cNvPr id="5" name="大かっこ 4">
          <a:extLst>
            <a:ext uri="{FF2B5EF4-FFF2-40B4-BE49-F238E27FC236}">
              <a16:creationId xmlns:a16="http://schemas.microsoft.com/office/drawing/2014/main" id="{F7334406-3BD6-42BD-B757-FCBCBE21B49C}"/>
            </a:ext>
          </a:extLst>
        </xdr:cNvPr>
        <xdr:cNvSpPr/>
      </xdr:nvSpPr>
      <xdr:spPr>
        <a:xfrm>
          <a:off x="3267075" y="6334125"/>
          <a:ext cx="0"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81</xdr:col>
      <xdr:colOff>87406</xdr:colOff>
      <xdr:row>51</xdr:row>
      <xdr:rowOff>28015</xdr:rowOff>
    </xdr:from>
    <xdr:to>
      <xdr:col>86</xdr:col>
      <xdr:colOff>98292</xdr:colOff>
      <xdr:row>53</xdr:row>
      <xdr:rowOff>7203</xdr:rowOff>
    </xdr:to>
    <xdr:sp macro="" textlink="">
      <xdr:nvSpPr>
        <xdr:cNvPr id="6" name="大かっこ 82">
          <a:extLst>
            <a:ext uri="{FF2B5EF4-FFF2-40B4-BE49-F238E27FC236}">
              <a16:creationId xmlns:a16="http://schemas.microsoft.com/office/drawing/2014/main" id="{AC8701E1-0CB8-4CC6-84B2-521080A228B4}"/>
            </a:ext>
          </a:extLst>
        </xdr:cNvPr>
        <xdr:cNvSpPr/>
      </xdr:nvSpPr>
      <xdr:spPr>
        <a:xfrm>
          <a:off x="12031756" y="9419665"/>
          <a:ext cx="915761" cy="3411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105</xdr:col>
      <xdr:colOff>87406</xdr:colOff>
      <xdr:row>51</xdr:row>
      <xdr:rowOff>28015</xdr:rowOff>
    </xdr:from>
    <xdr:to>
      <xdr:col>110</xdr:col>
      <xdr:colOff>98292</xdr:colOff>
      <xdr:row>53</xdr:row>
      <xdr:rowOff>7203</xdr:rowOff>
    </xdr:to>
    <xdr:sp macro="" textlink="">
      <xdr:nvSpPr>
        <xdr:cNvPr id="7" name="大かっこ 82">
          <a:extLst>
            <a:ext uri="{FF2B5EF4-FFF2-40B4-BE49-F238E27FC236}">
              <a16:creationId xmlns:a16="http://schemas.microsoft.com/office/drawing/2014/main" id="{5CEB9BA2-CB2A-43FA-8940-6064B3EA160F}"/>
            </a:ext>
          </a:extLst>
        </xdr:cNvPr>
        <xdr:cNvSpPr/>
      </xdr:nvSpPr>
      <xdr:spPr>
        <a:xfrm>
          <a:off x="16375156" y="9419665"/>
          <a:ext cx="915761" cy="3411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75</xdr:col>
      <xdr:colOff>87406</xdr:colOff>
      <xdr:row>59</xdr:row>
      <xdr:rowOff>31376</xdr:rowOff>
    </xdr:from>
    <xdr:to>
      <xdr:col>80</xdr:col>
      <xdr:colOff>98292</xdr:colOff>
      <xdr:row>61</xdr:row>
      <xdr:rowOff>960</xdr:rowOff>
    </xdr:to>
    <xdr:sp macro="" textlink="">
      <xdr:nvSpPr>
        <xdr:cNvPr id="8" name="大かっこ 82">
          <a:extLst>
            <a:ext uri="{FF2B5EF4-FFF2-40B4-BE49-F238E27FC236}">
              <a16:creationId xmlns:a16="http://schemas.microsoft.com/office/drawing/2014/main" id="{9B90CEB7-E45D-4FBA-96F7-D3A8A7FEF4F9}"/>
            </a:ext>
          </a:extLst>
        </xdr:cNvPr>
        <xdr:cNvSpPr/>
      </xdr:nvSpPr>
      <xdr:spPr>
        <a:xfrm>
          <a:off x="10945906" y="10604126"/>
          <a:ext cx="915761" cy="3315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87</xdr:col>
      <xdr:colOff>87406</xdr:colOff>
      <xdr:row>59</xdr:row>
      <xdr:rowOff>31376</xdr:rowOff>
    </xdr:from>
    <xdr:to>
      <xdr:col>92</xdr:col>
      <xdr:colOff>98292</xdr:colOff>
      <xdr:row>61</xdr:row>
      <xdr:rowOff>960</xdr:rowOff>
    </xdr:to>
    <xdr:sp macro="" textlink="">
      <xdr:nvSpPr>
        <xdr:cNvPr id="9" name="大かっこ 82">
          <a:extLst>
            <a:ext uri="{FF2B5EF4-FFF2-40B4-BE49-F238E27FC236}">
              <a16:creationId xmlns:a16="http://schemas.microsoft.com/office/drawing/2014/main" id="{7FC92598-1C15-4905-8009-29213CD7D6D1}"/>
            </a:ext>
          </a:extLst>
        </xdr:cNvPr>
        <xdr:cNvSpPr/>
      </xdr:nvSpPr>
      <xdr:spPr>
        <a:xfrm>
          <a:off x="13117606" y="10604126"/>
          <a:ext cx="915761" cy="3315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99</xdr:col>
      <xdr:colOff>87406</xdr:colOff>
      <xdr:row>59</xdr:row>
      <xdr:rowOff>31376</xdr:rowOff>
    </xdr:from>
    <xdr:to>
      <xdr:col>104</xdr:col>
      <xdr:colOff>98292</xdr:colOff>
      <xdr:row>61</xdr:row>
      <xdr:rowOff>960</xdr:rowOff>
    </xdr:to>
    <xdr:sp macro="" textlink="">
      <xdr:nvSpPr>
        <xdr:cNvPr id="10" name="大かっこ 82">
          <a:extLst>
            <a:ext uri="{FF2B5EF4-FFF2-40B4-BE49-F238E27FC236}">
              <a16:creationId xmlns:a16="http://schemas.microsoft.com/office/drawing/2014/main" id="{1FCD1D45-A89C-495A-9B67-15BBC6B983C9}"/>
            </a:ext>
          </a:extLst>
        </xdr:cNvPr>
        <xdr:cNvSpPr/>
      </xdr:nvSpPr>
      <xdr:spPr>
        <a:xfrm>
          <a:off x="15289306" y="10604126"/>
          <a:ext cx="915761" cy="3315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111</xdr:col>
      <xdr:colOff>87406</xdr:colOff>
      <xdr:row>59</xdr:row>
      <xdr:rowOff>31376</xdr:rowOff>
    </xdr:from>
    <xdr:to>
      <xdr:col>116</xdr:col>
      <xdr:colOff>98292</xdr:colOff>
      <xdr:row>61</xdr:row>
      <xdr:rowOff>960</xdr:rowOff>
    </xdr:to>
    <xdr:sp macro="" textlink="">
      <xdr:nvSpPr>
        <xdr:cNvPr id="11" name="大かっこ 82">
          <a:extLst>
            <a:ext uri="{FF2B5EF4-FFF2-40B4-BE49-F238E27FC236}">
              <a16:creationId xmlns:a16="http://schemas.microsoft.com/office/drawing/2014/main" id="{4B2A2DFF-5231-4FAD-AB14-B17302A10EC3}"/>
            </a:ext>
          </a:extLst>
        </xdr:cNvPr>
        <xdr:cNvSpPr/>
      </xdr:nvSpPr>
      <xdr:spPr>
        <a:xfrm>
          <a:off x="17461006" y="10604126"/>
          <a:ext cx="915761" cy="3315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45</xdr:row>
          <xdr:rowOff>504825</xdr:rowOff>
        </xdr:from>
        <xdr:to>
          <xdr:col>68</xdr:col>
          <xdr:colOff>136072</xdr:colOff>
          <xdr:row>68</xdr:row>
          <xdr:rowOff>151039</xdr:rowOff>
        </xdr:to>
        <xdr:pic>
          <xdr:nvPicPr>
            <xdr:cNvPr id="12" name="Picture 1784">
              <a:extLst>
                <a:ext uri="{FF2B5EF4-FFF2-40B4-BE49-F238E27FC236}">
                  <a16:creationId xmlns:a16="http://schemas.microsoft.com/office/drawing/2014/main" id="{18115C13-87AA-47FB-AF45-84F9F00172CB}"/>
                </a:ext>
              </a:extLst>
            </xdr:cNvPr>
            <xdr:cNvPicPr>
              <a:picLocks noChangeAspect="1" noChangeArrowheads="1"/>
              <a:extLst>
                <a:ext uri="{84589F7E-364E-4C9E-8A38-B11213B215E9}">
                  <a14:cameraTool cellRange="$BW$46:$DN$66" spid="_x0000_s11063"/>
                </a:ext>
              </a:extLst>
            </xdr:cNvPicPr>
          </xdr:nvPicPr>
          <xdr:blipFill>
            <a:blip xmlns:r="http://schemas.openxmlformats.org/officeDocument/2006/relationships" r:embed="rId1"/>
            <a:srcRect/>
            <a:stretch>
              <a:fillRect/>
            </a:stretch>
          </xdr:blipFill>
          <xdr:spPr bwMode="auto">
            <a:xfrm>
              <a:off x="1115786" y="8628289"/>
              <a:ext cx="7783286" cy="527957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504825</xdr:rowOff>
        </xdr:from>
        <xdr:to>
          <xdr:col>68</xdr:col>
          <xdr:colOff>133350</xdr:colOff>
          <xdr:row>68</xdr:row>
          <xdr:rowOff>152400</xdr:rowOff>
        </xdr:to>
        <xdr:pic>
          <xdr:nvPicPr>
            <xdr:cNvPr id="10669" name="Picture 1784">
              <a:extLst>
                <a:ext uri="{FF2B5EF4-FFF2-40B4-BE49-F238E27FC236}">
                  <a16:creationId xmlns:a16="http://schemas.microsoft.com/office/drawing/2014/main" id="{99C30F83-6749-4765-9483-0AEA385DA1D7}"/>
                </a:ext>
              </a:extLst>
            </xdr:cNvPr>
            <xdr:cNvPicPr>
              <a:picLocks noChangeAspect="1" noChangeArrowheads="1"/>
              <a:extLst>
                <a:ext uri="{84589F7E-364E-4C9E-8A38-B11213B215E9}">
                  <a14:cameraTool cellRange="$BW$46:$DN$66" spid="_x0000_s11064"/>
                </a:ext>
              </a:extLst>
            </xdr:cNvPicPr>
          </xdr:nvPicPr>
          <xdr:blipFill>
            <a:blip xmlns:r="http://schemas.openxmlformats.org/officeDocument/2006/relationships" r:embed="rId2"/>
            <a:srcRect/>
            <a:stretch>
              <a:fillRect/>
            </a:stretch>
          </xdr:blipFill>
          <xdr:spPr bwMode="auto">
            <a:xfrm>
              <a:off x="1114425" y="8601075"/>
              <a:ext cx="7686675" cy="53435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11</xdr:col>
      <xdr:colOff>0</xdr:colOff>
      <xdr:row>10</xdr:row>
      <xdr:rowOff>0</xdr:rowOff>
    </xdr:from>
    <xdr:to>
      <xdr:col>16</xdr:col>
      <xdr:colOff>0</xdr:colOff>
      <xdr:row>12</xdr:row>
      <xdr:rowOff>0</xdr:rowOff>
    </xdr:to>
    <xdr:sp macro="" textlink="">
      <xdr:nvSpPr>
        <xdr:cNvPr id="2" name="大かっこ 1">
          <a:extLst>
            <a:ext uri="{FF2B5EF4-FFF2-40B4-BE49-F238E27FC236}">
              <a16:creationId xmlns:a16="http://schemas.microsoft.com/office/drawing/2014/main" id="{2A4AAD9D-FCA2-4B22-B41B-649FA128BAA9}"/>
            </a:ext>
          </a:extLst>
        </xdr:cNvPr>
        <xdr:cNvSpPr/>
      </xdr:nvSpPr>
      <xdr:spPr>
        <a:xfrm>
          <a:off x="1114425" y="2667000"/>
          <a:ext cx="66675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0</xdr:colOff>
      <xdr:row>10</xdr:row>
      <xdr:rowOff>0</xdr:rowOff>
    </xdr:from>
    <xdr:to>
      <xdr:col>23</xdr:col>
      <xdr:colOff>0</xdr:colOff>
      <xdr:row>12</xdr:row>
      <xdr:rowOff>0</xdr:rowOff>
    </xdr:to>
    <xdr:sp macro="" textlink="">
      <xdr:nvSpPr>
        <xdr:cNvPr id="7" name="大かっこ 6">
          <a:extLst>
            <a:ext uri="{FF2B5EF4-FFF2-40B4-BE49-F238E27FC236}">
              <a16:creationId xmlns:a16="http://schemas.microsoft.com/office/drawing/2014/main" id="{AF765A5A-AE35-4806-8CE1-EDE5DDB6FEB7}"/>
            </a:ext>
          </a:extLst>
        </xdr:cNvPr>
        <xdr:cNvSpPr/>
      </xdr:nvSpPr>
      <xdr:spPr>
        <a:xfrm>
          <a:off x="1876425" y="2667000"/>
          <a:ext cx="66675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0</xdr:colOff>
      <xdr:row>14</xdr:row>
      <xdr:rowOff>0</xdr:rowOff>
    </xdr:from>
    <xdr:to>
      <xdr:col>23</xdr:col>
      <xdr:colOff>0</xdr:colOff>
      <xdr:row>16</xdr:row>
      <xdr:rowOff>0</xdr:rowOff>
    </xdr:to>
    <xdr:sp macro="" textlink="">
      <xdr:nvSpPr>
        <xdr:cNvPr id="8" name="大かっこ 7">
          <a:extLst>
            <a:ext uri="{FF2B5EF4-FFF2-40B4-BE49-F238E27FC236}">
              <a16:creationId xmlns:a16="http://schemas.microsoft.com/office/drawing/2014/main" id="{708DC8D2-440C-44FB-AC74-5E4CBBF18807}"/>
            </a:ext>
          </a:extLst>
        </xdr:cNvPr>
        <xdr:cNvSpPr/>
      </xdr:nvSpPr>
      <xdr:spPr>
        <a:xfrm>
          <a:off x="1876425" y="3228975"/>
          <a:ext cx="66675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xdr:col>
      <xdr:colOff>0</xdr:colOff>
      <xdr:row>14</xdr:row>
      <xdr:rowOff>0</xdr:rowOff>
    </xdr:from>
    <xdr:to>
      <xdr:col>9</xdr:col>
      <xdr:colOff>0</xdr:colOff>
      <xdr:row>16</xdr:row>
      <xdr:rowOff>0</xdr:rowOff>
    </xdr:to>
    <xdr:sp macro="" textlink="">
      <xdr:nvSpPr>
        <xdr:cNvPr id="9" name="大かっこ 8">
          <a:extLst>
            <a:ext uri="{FF2B5EF4-FFF2-40B4-BE49-F238E27FC236}">
              <a16:creationId xmlns:a16="http://schemas.microsoft.com/office/drawing/2014/main" id="{01070D98-F854-4AE5-8121-607D658CA9C9}"/>
            </a:ext>
          </a:extLst>
        </xdr:cNvPr>
        <xdr:cNvSpPr/>
      </xdr:nvSpPr>
      <xdr:spPr>
        <a:xfrm>
          <a:off x="352425" y="3228975"/>
          <a:ext cx="66675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xdr:col>
      <xdr:colOff>0</xdr:colOff>
      <xdr:row>18</xdr:row>
      <xdr:rowOff>0</xdr:rowOff>
    </xdr:from>
    <xdr:to>
      <xdr:col>16</xdr:col>
      <xdr:colOff>0</xdr:colOff>
      <xdr:row>20</xdr:row>
      <xdr:rowOff>0</xdr:rowOff>
    </xdr:to>
    <xdr:sp macro="" textlink="">
      <xdr:nvSpPr>
        <xdr:cNvPr id="10" name="大かっこ 9">
          <a:extLst>
            <a:ext uri="{FF2B5EF4-FFF2-40B4-BE49-F238E27FC236}">
              <a16:creationId xmlns:a16="http://schemas.microsoft.com/office/drawing/2014/main" id="{69B4E966-C4A6-4113-9288-776835064E26}"/>
            </a:ext>
          </a:extLst>
        </xdr:cNvPr>
        <xdr:cNvSpPr/>
      </xdr:nvSpPr>
      <xdr:spPr>
        <a:xfrm>
          <a:off x="1114425" y="3790950"/>
          <a:ext cx="66675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xdr:col>
      <xdr:colOff>0</xdr:colOff>
      <xdr:row>29</xdr:row>
      <xdr:rowOff>0</xdr:rowOff>
    </xdr:from>
    <xdr:to>
      <xdr:col>9</xdr:col>
      <xdr:colOff>0</xdr:colOff>
      <xdr:row>31</xdr:row>
      <xdr:rowOff>0</xdr:rowOff>
    </xdr:to>
    <xdr:sp macro="" textlink="">
      <xdr:nvSpPr>
        <xdr:cNvPr id="11" name="大かっこ 10">
          <a:extLst>
            <a:ext uri="{FF2B5EF4-FFF2-40B4-BE49-F238E27FC236}">
              <a16:creationId xmlns:a16="http://schemas.microsoft.com/office/drawing/2014/main" id="{6843E60E-50E7-4FA3-8B06-237AB76008C7}"/>
            </a:ext>
          </a:extLst>
        </xdr:cNvPr>
        <xdr:cNvSpPr/>
      </xdr:nvSpPr>
      <xdr:spPr>
        <a:xfrm>
          <a:off x="352425" y="5553075"/>
          <a:ext cx="66675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xdr:col>
      <xdr:colOff>0</xdr:colOff>
      <xdr:row>33</xdr:row>
      <xdr:rowOff>0</xdr:rowOff>
    </xdr:from>
    <xdr:to>
      <xdr:col>16</xdr:col>
      <xdr:colOff>0</xdr:colOff>
      <xdr:row>35</xdr:row>
      <xdr:rowOff>0</xdr:rowOff>
    </xdr:to>
    <xdr:sp macro="" textlink="">
      <xdr:nvSpPr>
        <xdr:cNvPr id="12" name="大かっこ 11">
          <a:extLst>
            <a:ext uri="{FF2B5EF4-FFF2-40B4-BE49-F238E27FC236}">
              <a16:creationId xmlns:a16="http://schemas.microsoft.com/office/drawing/2014/main" id="{75A50F54-2057-4373-9858-3AC76B178307}"/>
            </a:ext>
          </a:extLst>
        </xdr:cNvPr>
        <xdr:cNvSpPr/>
      </xdr:nvSpPr>
      <xdr:spPr>
        <a:xfrm>
          <a:off x="1114425" y="6105525"/>
          <a:ext cx="66675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38</xdr:col>
      <xdr:colOff>0</xdr:colOff>
      <xdr:row>14</xdr:row>
      <xdr:rowOff>0</xdr:rowOff>
    </xdr:from>
    <xdr:to>
      <xdr:col>43</xdr:col>
      <xdr:colOff>0</xdr:colOff>
      <xdr:row>16</xdr:row>
      <xdr:rowOff>0</xdr:rowOff>
    </xdr:to>
    <xdr:sp macro="" textlink="">
      <xdr:nvSpPr>
        <xdr:cNvPr id="13" name="大かっこ 12">
          <a:extLst>
            <a:ext uri="{FF2B5EF4-FFF2-40B4-BE49-F238E27FC236}">
              <a16:creationId xmlns:a16="http://schemas.microsoft.com/office/drawing/2014/main" id="{0F3C5382-BF41-4F1C-A8DD-9C6C34DE1FF3}"/>
            </a:ext>
          </a:extLst>
        </xdr:cNvPr>
        <xdr:cNvSpPr/>
      </xdr:nvSpPr>
      <xdr:spPr>
        <a:xfrm>
          <a:off x="4610100" y="3228975"/>
          <a:ext cx="66675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45</xdr:col>
      <xdr:colOff>0</xdr:colOff>
      <xdr:row>18</xdr:row>
      <xdr:rowOff>0</xdr:rowOff>
    </xdr:from>
    <xdr:to>
      <xdr:col>50</xdr:col>
      <xdr:colOff>0</xdr:colOff>
      <xdr:row>20</xdr:row>
      <xdr:rowOff>0</xdr:rowOff>
    </xdr:to>
    <xdr:sp macro="" textlink="">
      <xdr:nvSpPr>
        <xdr:cNvPr id="15" name="大かっこ 14">
          <a:extLst>
            <a:ext uri="{FF2B5EF4-FFF2-40B4-BE49-F238E27FC236}">
              <a16:creationId xmlns:a16="http://schemas.microsoft.com/office/drawing/2014/main" id="{C51BE561-B6AA-447A-94D9-2782CE336CAB}"/>
            </a:ext>
          </a:extLst>
        </xdr:cNvPr>
        <xdr:cNvSpPr/>
      </xdr:nvSpPr>
      <xdr:spPr>
        <a:xfrm>
          <a:off x="5372100" y="3790950"/>
          <a:ext cx="66675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xdr:col>
      <xdr:colOff>0</xdr:colOff>
      <xdr:row>18</xdr:row>
      <xdr:rowOff>0</xdr:rowOff>
    </xdr:from>
    <xdr:to>
      <xdr:col>9</xdr:col>
      <xdr:colOff>0</xdr:colOff>
      <xdr:row>20</xdr:row>
      <xdr:rowOff>0</xdr:rowOff>
    </xdr:to>
    <xdr:sp macro="" textlink="">
      <xdr:nvSpPr>
        <xdr:cNvPr id="19" name="大かっこ 18">
          <a:extLst>
            <a:ext uri="{FF2B5EF4-FFF2-40B4-BE49-F238E27FC236}">
              <a16:creationId xmlns:a16="http://schemas.microsoft.com/office/drawing/2014/main" id="{78107295-EC80-4AB4-9C03-B708ED6F5877}"/>
            </a:ext>
          </a:extLst>
        </xdr:cNvPr>
        <xdr:cNvSpPr/>
      </xdr:nvSpPr>
      <xdr:spPr>
        <a:xfrm>
          <a:off x="352425" y="3790950"/>
          <a:ext cx="66675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xdr:col>
      <xdr:colOff>0</xdr:colOff>
      <xdr:row>33</xdr:row>
      <xdr:rowOff>0</xdr:rowOff>
    </xdr:from>
    <xdr:to>
      <xdr:col>9</xdr:col>
      <xdr:colOff>0</xdr:colOff>
      <xdr:row>35</xdr:row>
      <xdr:rowOff>0</xdr:rowOff>
    </xdr:to>
    <xdr:sp macro="" textlink="">
      <xdr:nvSpPr>
        <xdr:cNvPr id="20" name="大かっこ 19">
          <a:extLst>
            <a:ext uri="{FF2B5EF4-FFF2-40B4-BE49-F238E27FC236}">
              <a16:creationId xmlns:a16="http://schemas.microsoft.com/office/drawing/2014/main" id="{BA7409EA-12E8-4122-8CB8-BEA230FC6829}"/>
            </a:ext>
          </a:extLst>
        </xdr:cNvPr>
        <xdr:cNvSpPr/>
      </xdr:nvSpPr>
      <xdr:spPr>
        <a:xfrm>
          <a:off x="352425" y="6105525"/>
          <a:ext cx="66675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38</xdr:col>
      <xdr:colOff>0</xdr:colOff>
      <xdr:row>18</xdr:row>
      <xdr:rowOff>0</xdr:rowOff>
    </xdr:from>
    <xdr:to>
      <xdr:col>43</xdr:col>
      <xdr:colOff>0</xdr:colOff>
      <xdr:row>20</xdr:row>
      <xdr:rowOff>0</xdr:rowOff>
    </xdr:to>
    <xdr:sp macro="" textlink="">
      <xdr:nvSpPr>
        <xdr:cNvPr id="21" name="大かっこ 20">
          <a:extLst>
            <a:ext uri="{FF2B5EF4-FFF2-40B4-BE49-F238E27FC236}">
              <a16:creationId xmlns:a16="http://schemas.microsoft.com/office/drawing/2014/main" id="{3A2230CD-FF79-4214-AD90-90FF4B9867C4}"/>
            </a:ext>
          </a:extLst>
        </xdr:cNvPr>
        <xdr:cNvSpPr/>
      </xdr:nvSpPr>
      <xdr:spPr>
        <a:xfrm>
          <a:off x="4610100" y="3790950"/>
          <a:ext cx="66675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45</xdr:col>
      <xdr:colOff>1</xdr:colOff>
      <xdr:row>10</xdr:row>
      <xdr:rowOff>0</xdr:rowOff>
    </xdr:from>
    <xdr:to>
      <xdr:col>50</xdr:col>
      <xdr:colOff>1</xdr:colOff>
      <xdr:row>12</xdr:row>
      <xdr:rowOff>0</xdr:rowOff>
    </xdr:to>
    <xdr:sp macro="" textlink="">
      <xdr:nvSpPr>
        <xdr:cNvPr id="26" name="大かっこ 25">
          <a:extLst>
            <a:ext uri="{FF2B5EF4-FFF2-40B4-BE49-F238E27FC236}">
              <a16:creationId xmlns:a16="http://schemas.microsoft.com/office/drawing/2014/main" id="{8BECE928-DF35-45A2-B55B-6475DB5CFD82}"/>
            </a:ext>
          </a:extLst>
        </xdr:cNvPr>
        <xdr:cNvSpPr/>
      </xdr:nvSpPr>
      <xdr:spPr>
        <a:xfrm>
          <a:off x="5372101" y="2667000"/>
          <a:ext cx="66675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52</xdr:col>
      <xdr:colOff>0</xdr:colOff>
      <xdr:row>10</xdr:row>
      <xdr:rowOff>0</xdr:rowOff>
    </xdr:from>
    <xdr:to>
      <xdr:col>57</xdr:col>
      <xdr:colOff>0</xdr:colOff>
      <xdr:row>12</xdr:row>
      <xdr:rowOff>0</xdr:rowOff>
    </xdr:to>
    <xdr:sp macro="" textlink="">
      <xdr:nvSpPr>
        <xdr:cNvPr id="27" name="大かっこ 26">
          <a:extLst>
            <a:ext uri="{FF2B5EF4-FFF2-40B4-BE49-F238E27FC236}">
              <a16:creationId xmlns:a16="http://schemas.microsoft.com/office/drawing/2014/main" id="{DCBB7E13-D3C8-463A-997D-A5DAB136D070}"/>
            </a:ext>
          </a:extLst>
        </xdr:cNvPr>
        <xdr:cNvSpPr/>
      </xdr:nvSpPr>
      <xdr:spPr>
        <a:xfrm>
          <a:off x="6134100" y="2667000"/>
          <a:ext cx="66675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52</xdr:col>
      <xdr:colOff>0</xdr:colOff>
      <xdr:row>14</xdr:row>
      <xdr:rowOff>0</xdr:rowOff>
    </xdr:from>
    <xdr:to>
      <xdr:col>57</xdr:col>
      <xdr:colOff>0</xdr:colOff>
      <xdr:row>16</xdr:row>
      <xdr:rowOff>0</xdr:rowOff>
    </xdr:to>
    <xdr:sp macro="" textlink="">
      <xdr:nvSpPr>
        <xdr:cNvPr id="28" name="大かっこ 27">
          <a:extLst>
            <a:ext uri="{FF2B5EF4-FFF2-40B4-BE49-F238E27FC236}">
              <a16:creationId xmlns:a16="http://schemas.microsoft.com/office/drawing/2014/main" id="{DAA2B32C-08E4-4C05-95F4-7B099FDA3BC9}"/>
            </a:ext>
          </a:extLst>
        </xdr:cNvPr>
        <xdr:cNvSpPr/>
      </xdr:nvSpPr>
      <xdr:spPr>
        <a:xfrm>
          <a:off x="6134100" y="3228975"/>
          <a:ext cx="66675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xdr:col>
      <xdr:colOff>0</xdr:colOff>
      <xdr:row>25</xdr:row>
      <xdr:rowOff>0</xdr:rowOff>
    </xdr:from>
    <xdr:to>
      <xdr:col>16</xdr:col>
      <xdr:colOff>0</xdr:colOff>
      <xdr:row>27</xdr:row>
      <xdr:rowOff>0</xdr:rowOff>
    </xdr:to>
    <xdr:sp macro="" textlink="">
      <xdr:nvSpPr>
        <xdr:cNvPr id="35" name="大かっこ 34">
          <a:extLst>
            <a:ext uri="{FF2B5EF4-FFF2-40B4-BE49-F238E27FC236}">
              <a16:creationId xmlns:a16="http://schemas.microsoft.com/office/drawing/2014/main" id="{1DECDEC8-C7F8-43E5-8B32-5660AB949034}"/>
            </a:ext>
          </a:extLst>
        </xdr:cNvPr>
        <xdr:cNvSpPr/>
      </xdr:nvSpPr>
      <xdr:spPr>
        <a:xfrm>
          <a:off x="1114425" y="5000625"/>
          <a:ext cx="66675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0</xdr:colOff>
      <xdr:row>25</xdr:row>
      <xdr:rowOff>0</xdr:rowOff>
    </xdr:from>
    <xdr:to>
      <xdr:col>23</xdr:col>
      <xdr:colOff>0</xdr:colOff>
      <xdr:row>27</xdr:row>
      <xdr:rowOff>0</xdr:rowOff>
    </xdr:to>
    <xdr:sp macro="" textlink="">
      <xdr:nvSpPr>
        <xdr:cNvPr id="36" name="大かっこ 35">
          <a:extLst>
            <a:ext uri="{FF2B5EF4-FFF2-40B4-BE49-F238E27FC236}">
              <a16:creationId xmlns:a16="http://schemas.microsoft.com/office/drawing/2014/main" id="{E9911430-D4FB-45A5-B8C6-3293D8D4F464}"/>
            </a:ext>
          </a:extLst>
        </xdr:cNvPr>
        <xdr:cNvSpPr/>
      </xdr:nvSpPr>
      <xdr:spPr>
        <a:xfrm>
          <a:off x="1876425" y="5000625"/>
          <a:ext cx="66675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0</xdr:colOff>
      <xdr:row>29</xdr:row>
      <xdr:rowOff>0</xdr:rowOff>
    </xdr:from>
    <xdr:to>
      <xdr:col>23</xdr:col>
      <xdr:colOff>0</xdr:colOff>
      <xdr:row>31</xdr:row>
      <xdr:rowOff>0</xdr:rowOff>
    </xdr:to>
    <xdr:sp macro="" textlink="">
      <xdr:nvSpPr>
        <xdr:cNvPr id="37" name="大かっこ 36">
          <a:extLst>
            <a:ext uri="{FF2B5EF4-FFF2-40B4-BE49-F238E27FC236}">
              <a16:creationId xmlns:a16="http://schemas.microsoft.com/office/drawing/2014/main" id="{198FFD3D-ADDC-41B2-B6E9-5FC553BA1971}"/>
            </a:ext>
          </a:extLst>
        </xdr:cNvPr>
        <xdr:cNvSpPr/>
      </xdr:nvSpPr>
      <xdr:spPr>
        <a:xfrm>
          <a:off x="1876425" y="5553075"/>
          <a:ext cx="66675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86</xdr:col>
      <xdr:colOff>87406</xdr:colOff>
      <xdr:row>48</xdr:row>
      <xdr:rowOff>16809</xdr:rowOff>
    </xdr:from>
    <xdr:to>
      <xdr:col>91</xdr:col>
      <xdr:colOff>98292</xdr:colOff>
      <xdr:row>49</xdr:row>
      <xdr:rowOff>175292</xdr:rowOff>
    </xdr:to>
    <xdr:sp macro="" textlink="">
      <xdr:nvSpPr>
        <xdr:cNvPr id="39" name="大かっこ 82">
          <a:extLst>
            <a:ext uri="{FF2B5EF4-FFF2-40B4-BE49-F238E27FC236}">
              <a16:creationId xmlns:a16="http://schemas.microsoft.com/office/drawing/2014/main" id="{6EA4388D-C4D8-4FB9-84B4-221044D0845A}"/>
            </a:ext>
          </a:extLst>
        </xdr:cNvPr>
        <xdr:cNvSpPr/>
      </xdr:nvSpPr>
      <xdr:spPr>
        <a:xfrm>
          <a:off x="11355481" y="8560734"/>
          <a:ext cx="915761" cy="3394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110</xdr:col>
      <xdr:colOff>87406</xdr:colOff>
      <xdr:row>48</xdr:row>
      <xdr:rowOff>16809</xdr:rowOff>
    </xdr:from>
    <xdr:to>
      <xdr:col>115</xdr:col>
      <xdr:colOff>98291</xdr:colOff>
      <xdr:row>49</xdr:row>
      <xdr:rowOff>175292</xdr:rowOff>
    </xdr:to>
    <xdr:sp macro="" textlink="">
      <xdr:nvSpPr>
        <xdr:cNvPr id="40" name="大かっこ 82">
          <a:extLst>
            <a:ext uri="{FF2B5EF4-FFF2-40B4-BE49-F238E27FC236}">
              <a16:creationId xmlns:a16="http://schemas.microsoft.com/office/drawing/2014/main" id="{A7804310-5164-417F-BB3A-5522097E9C02}"/>
            </a:ext>
          </a:extLst>
        </xdr:cNvPr>
        <xdr:cNvSpPr/>
      </xdr:nvSpPr>
      <xdr:spPr>
        <a:xfrm>
          <a:off x="15698881" y="8560734"/>
          <a:ext cx="915760" cy="3394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80</xdr:col>
      <xdr:colOff>87406</xdr:colOff>
      <xdr:row>56</xdr:row>
      <xdr:rowOff>20170</xdr:rowOff>
    </xdr:from>
    <xdr:to>
      <xdr:col>85</xdr:col>
      <xdr:colOff>98292</xdr:colOff>
      <xdr:row>57</xdr:row>
      <xdr:rowOff>169048</xdr:rowOff>
    </xdr:to>
    <xdr:sp macro="" textlink="">
      <xdr:nvSpPr>
        <xdr:cNvPr id="41" name="大かっこ 82">
          <a:extLst>
            <a:ext uri="{FF2B5EF4-FFF2-40B4-BE49-F238E27FC236}">
              <a16:creationId xmlns:a16="http://schemas.microsoft.com/office/drawing/2014/main" id="{078621FD-E7E9-4690-9B8C-ECF794881A20}"/>
            </a:ext>
          </a:extLst>
        </xdr:cNvPr>
        <xdr:cNvSpPr/>
      </xdr:nvSpPr>
      <xdr:spPr>
        <a:xfrm>
          <a:off x="10269631" y="9697570"/>
          <a:ext cx="915761" cy="329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92</xdr:col>
      <xdr:colOff>87405</xdr:colOff>
      <xdr:row>56</xdr:row>
      <xdr:rowOff>20170</xdr:rowOff>
    </xdr:from>
    <xdr:to>
      <xdr:col>97</xdr:col>
      <xdr:colOff>98292</xdr:colOff>
      <xdr:row>57</xdr:row>
      <xdr:rowOff>169048</xdr:rowOff>
    </xdr:to>
    <xdr:sp macro="" textlink="">
      <xdr:nvSpPr>
        <xdr:cNvPr id="4" name="大かっこ 82">
          <a:extLst>
            <a:ext uri="{FF2B5EF4-FFF2-40B4-BE49-F238E27FC236}">
              <a16:creationId xmlns:a16="http://schemas.microsoft.com/office/drawing/2014/main" id="{76775643-1A1D-4154-B045-D0A146F79C11}"/>
            </a:ext>
          </a:extLst>
        </xdr:cNvPr>
        <xdr:cNvSpPr/>
      </xdr:nvSpPr>
      <xdr:spPr>
        <a:xfrm>
          <a:off x="12441330" y="9697570"/>
          <a:ext cx="915762" cy="329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104</xdr:col>
      <xdr:colOff>87405</xdr:colOff>
      <xdr:row>56</xdr:row>
      <xdr:rowOff>20170</xdr:rowOff>
    </xdr:from>
    <xdr:to>
      <xdr:col>109</xdr:col>
      <xdr:colOff>98291</xdr:colOff>
      <xdr:row>57</xdr:row>
      <xdr:rowOff>169048</xdr:rowOff>
    </xdr:to>
    <xdr:sp macro="" textlink="">
      <xdr:nvSpPr>
        <xdr:cNvPr id="43" name="大かっこ 82">
          <a:extLst>
            <a:ext uri="{FF2B5EF4-FFF2-40B4-BE49-F238E27FC236}">
              <a16:creationId xmlns:a16="http://schemas.microsoft.com/office/drawing/2014/main" id="{FBBB1EA5-725C-4F02-93F8-31D8EF72E63E}"/>
            </a:ext>
          </a:extLst>
        </xdr:cNvPr>
        <xdr:cNvSpPr/>
      </xdr:nvSpPr>
      <xdr:spPr>
        <a:xfrm>
          <a:off x="14613030" y="9697570"/>
          <a:ext cx="915761" cy="329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116</xdr:col>
      <xdr:colOff>87406</xdr:colOff>
      <xdr:row>56</xdr:row>
      <xdr:rowOff>20170</xdr:rowOff>
    </xdr:from>
    <xdr:to>
      <xdr:col>121</xdr:col>
      <xdr:colOff>98291</xdr:colOff>
      <xdr:row>57</xdr:row>
      <xdr:rowOff>169048</xdr:rowOff>
    </xdr:to>
    <xdr:sp macro="" textlink="">
      <xdr:nvSpPr>
        <xdr:cNvPr id="6" name="大かっこ 82">
          <a:extLst>
            <a:ext uri="{FF2B5EF4-FFF2-40B4-BE49-F238E27FC236}">
              <a16:creationId xmlns:a16="http://schemas.microsoft.com/office/drawing/2014/main" id="{FFF63328-DE8C-430B-AB05-8B0B2EE4D1C2}"/>
            </a:ext>
          </a:extLst>
        </xdr:cNvPr>
        <xdr:cNvSpPr/>
      </xdr:nvSpPr>
      <xdr:spPr>
        <a:xfrm>
          <a:off x="16784731" y="9697570"/>
          <a:ext cx="915760" cy="329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xdr:col>
          <xdr:colOff>34925</xdr:colOff>
          <xdr:row>41</xdr:row>
          <xdr:rowOff>82550</xdr:rowOff>
        </xdr:from>
        <xdr:to>
          <xdr:col>61</xdr:col>
          <xdr:colOff>284163</xdr:colOff>
          <xdr:row>63</xdr:row>
          <xdr:rowOff>0</xdr:rowOff>
        </xdr:to>
        <xdr:pic>
          <xdr:nvPicPr>
            <xdr:cNvPr id="46" name="Picture 13307">
              <a:extLst>
                <a:ext uri="{FF2B5EF4-FFF2-40B4-BE49-F238E27FC236}">
                  <a16:creationId xmlns:a16="http://schemas.microsoft.com/office/drawing/2014/main" id="{A77EA920-B98F-40E3-909C-40BC5E18E2B0}"/>
                </a:ext>
              </a:extLst>
            </xdr:cNvPr>
            <xdr:cNvPicPr>
              <a:picLocks noChangeAspect="1" noChangeArrowheads="1"/>
              <a:extLst>
                <a:ext uri="{84589F7E-364E-4C9E-8A38-B11213B215E9}">
                  <a14:cameraTool cellRange="$CB$42:$DS$63" spid="_x0000_s19715"/>
                </a:ext>
              </a:extLst>
            </xdr:cNvPicPr>
          </xdr:nvPicPr>
          <xdr:blipFill>
            <a:blip xmlns:r="http://schemas.openxmlformats.org/officeDocument/2006/relationships" r:embed="rId1"/>
            <a:srcRect/>
            <a:stretch>
              <a:fillRect/>
            </a:stretch>
          </xdr:blipFill>
          <xdr:spPr bwMode="auto">
            <a:xfrm>
              <a:off x="630238" y="7226300"/>
              <a:ext cx="7858125" cy="5750719"/>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38</xdr:col>
      <xdr:colOff>0</xdr:colOff>
      <xdr:row>29</xdr:row>
      <xdr:rowOff>0</xdr:rowOff>
    </xdr:from>
    <xdr:to>
      <xdr:col>43</xdr:col>
      <xdr:colOff>0</xdr:colOff>
      <xdr:row>31</xdr:row>
      <xdr:rowOff>0</xdr:rowOff>
    </xdr:to>
    <xdr:sp macro="" textlink="">
      <xdr:nvSpPr>
        <xdr:cNvPr id="57" name="大かっこ 56">
          <a:extLst>
            <a:ext uri="{FF2B5EF4-FFF2-40B4-BE49-F238E27FC236}">
              <a16:creationId xmlns:a16="http://schemas.microsoft.com/office/drawing/2014/main" id="{A3CD33BC-B087-4CAA-A4F3-CC689F99A523}"/>
            </a:ext>
          </a:extLst>
        </xdr:cNvPr>
        <xdr:cNvSpPr/>
      </xdr:nvSpPr>
      <xdr:spPr>
        <a:xfrm>
          <a:off x="4619625" y="3202781"/>
          <a:ext cx="666750" cy="333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45</xdr:col>
      <xdr:colOff>0</xdr:colOff>
      <xdr:row>33</xdr:row>
      <xdr:rowOff>0</xdr:rowOff>
    </xdr:from>
    <xdr:to>
      <xdr:col>50</xdr:col>
      <xdr:colOff>0</xdr:colOff>
      <xdr:row>35</xdr:row>
      <xdr:rowOff>0</xdr:rowOff>
    </xdr:to>
    <xdr:sp macro="" textlink="">
      <xdr:nvSpPr>
        <xdr:cNvPr id="58" name="大かっこ 57">
          <a:extLst>
            <a:ext uri="{FF2B5EF4-FFF2-40B4-BE49-F238E27FC236}">
              <a16:creationId xmlns:a16="http://schemas.microsoft.com/office/drawing/2014/main" id="{FC8BE034-3FAD-4C96-B0DA-20FA544B97D1}"/>
            </a:ext>
          </a:extLst>
        </xdr:cNvPr>
        <xdr:cNvSpPr/>
      </xdr:nvSpPr>
      <xdr:spPr>
        <a:xfrm>
          <a:off x="5381625" y="3750469"/>
          <a:ext cx="666750" cy="333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38</xdr:col>
      <xdr:colOff>0</xdr:colOff>
      <xdr:row>33</xdr:row>
      <xdr:rowOff>0</xdr:rowOff>
    </xdr:from>
    <xdr:to>
      <xdr:col>43</xdr:col>
      <xdr:colOff>0</xdr:colOff>
      <xdr:row>35</xdr:row>
      <xdr:rowOff>0</xdr:rowOff>
    </xdr:to>
    <xdr:sp macro="" textlink="">
      <xdr:nvSpPr>
        <xdr:cNvPr id="59" name="大かっこ 58">
          <a:extLst>
            <a:ext uri="{FF2B5EF4-FFF2-40B4-BE49-F238E27FC236}">
              <a16:creationId xmlns:a16="http://schemas.microsoft.com/office/drawing/2014/main" id="{6DA527CF-D305-46C1-9315-0BE9ED4C0EB0}"/>
            </a:ext>
          </a:extLst>
        </xdr:cNvPr>
        <xdr:cNvSpPr/>
      </xdr:nvSpPr>
      <xdr:spPr>
        <a:xfrm>
          <a:off x="4619625" y="3750469"/>
          <a:ext cx="666750" cy="333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45</xdr:col>
      <xdr:colOff>1</xdr:colOff>
      <xdr:row>25</xdr:row>
      <xdr:rowOff>0</xdr:rowOff>
    </xdr:from>
    <xdr:to>
      <xdr:col>50</xdr:col>
      <xdr:colOff>1</xdr:colOff>
      <xdr:row>27</xdr:row>
      <xdr:rowOff>0</xdr:rowOff>
    </xdr:to>
    <xdr:sp macro="" textlink="">
      <xdr:nvSpPr>
        <xdr:cNvPr id="60" name="大かっこ 59">
          <a:extLst>
            <a:ext uri="{FF2B5EF4-FFF2-40B4-BE49-F238E27FC236}">
              <a16:creationId xmlns:a16="http://schemas.microsoft.com/office/drawing/2014/main" id="{63E74208-7014-4A39-A150-42FDA46C0364}"/>
            </a:ext>
          </a:extLst>
        </xdr:cNvPr>
        <xdr:cNvSpPr/>
      </xdr:nvSpPr>
      <xdr:spPr>
        <a:xfrm>
          <a:off x="5381626" y="2655094"/>
          <a:ext cx="666750" cy="333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52</xdr:col>
      <xdr:colOff>0</xdr:colOff>
      <xdr:row>25</xdr:row>
      <xdr:rowOff>0</xdr:rowOff>
    </xdr:from>
    <xdr:to>
      <xdr:col>57</xdr:col>
      <xdr:colOff>0</xdr:colOff>
      <xdr:row>27</xdr:row>
      <xdr:rowOff>0</xdr:rowOff>
    </xdr:to>
    <xdr:sp macro="" textlink="">
      <xdr:nvSpPr>
        <xdr:cNvPr id="61" name="大かっこ 60">
          <a:extLst>
            <a:ext uri="{FF2B5EF4-FFF2-40B4-BE49-F238E27FC236}">
              <a16:creationId xmlns:a16="http://schemas.microsoft.com/office/drawing/2014/main" id="{6B46C51A-8FC3-47C0-AD6E-E94179546A8F}"/>
            </a:ext>
          </a:extLst>
        </xdr:cNvPr>
        <xdr:cNvSpPr/>
      </xdr:nvSpPr>
      <xdr:spPr>
        <a:xfrm>
          <a:off x="6143625" y="2655094"/>
          <a:ext cx="666750" cy="333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52</xdr:col>
      <xdr:colOff>0</xdr:colOff>
      <xdr:row>29</xdr:row>
      <xdr:rowOff>0</xdr:rowOff>
    </xdr:from>
    <xdr:to>
      <xdr:col>57</xdr:col>
      <xdr:colOff>0</xdr:colOff>
      <xdr:row>31</xdr:row>
      <xdr:rowOff>0</xdr:rowOff>
    </xdr:to>
    <xdr:sp macro="" textlink="">
      <xdr:nvSpPr>
        <xdr:cNvPr id="62" name="大かっこ 61">
          <a:extLst>
            <a:ext uri="{FF2B5EF4-FFF2-40B4-BE49-F238E27FC236}">
              <a16:creationId xmlns:a16="http://schemas.microsoft.com/office/drawing/2014/main" id="{9ED0182A-ED71-4BF6-9BEB-5920B74B8B05}"/>
            </a:ext>
          </a:extLst>
        </xdr:cNvPr>
        <xdr:cNvSpPr/>
      </xdr:nvSpPr>
      <xdr:spPr>
        <a:xfrm>
          <a:off x="6143625" y="3202781"/>
          <a:ext cx="666750" cy="333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92</xdr:col>
      <xdr:colOff>81055</xdr:colOff>
      <xdr:row>58</xdr:row>
      <xdr:rowOff>7470</xdr:rowOff>
    </xdr:from>
    <xdr:to>
      <xdr:col>97</xdr:col>
      <xdr:colOff>91942</xdr:colOff>
      <xdr:row>59</xdr:row>
      <xdr:rowOff>162698</xdr:rowOff>
    </xdr:to>
    <xdr:sp macro="" textlink="">
      <xdr:nvSpPr>
        <xdr:cNvPr id="3" name="大かっこ 82">
          <a:extLst>
            <a:ext uri="{FF2B5EF4-FFF2-40B4-BE49-F238E27FC236}">
              <a16:creationId xmlns:a16="http://schemas.microsoft.com/office/drawing/2014/main" id="{3B04AFE2-95D1-275F-2FBF-119CE7737D4E}"/>
            </a:ext>
          </a:extLst>
        </xdr:cNvPr>
        <xdr:cNvSpPr/>
      </xdr:nvSpPr>
      <xdr:spPr>
        <a:xfrm>
          <a:off x="13587505" y="11335870"/>
          <a:ext cx="836387" cy="3266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116</xdr:col>
      <xdr:colOff>87406</xdr:colOff>
      <xdr:row>58</xdr:row>
      <xdr:rowOff>7470</xdr:rowOff>
    </xdr:from>
    <xdr:to>
      <xdr:col>121</xdr:col>
      <xdr:colOff>98291</xdr:colOff>
      <xdr:row>59</xdr:row>
      <xdr:rowOff>162698</xdr:rowOff>
    </xdr:to>
    <xdr:sp macro="" textlink="">
      <xdr:nvSpPr>
        <xdr:cNvPr id="14" name="大かっこ 82">
          <a:extLst>
            <a:ext uri="{FF2B5EF4-FFF2-40B4-BE49-F238E27FC236}">
              <a16:creationId xmlns:a16="http://schemas.microsoft.com/office/drawing/2014/main" id="{DDBFB338-5A90-8177-8F65-523DA40BD3B4}"/>
            </a:ext>
          </a:extLst>
        </xdr:cNvPr>
        <xdr:cNvSpPr/>
      </xdr:nvSpPr>
      <xdr:spPr>
        <a:xfrm>
          <a:off x="17556256" y="11335870"/>
          <a:ext cx="836385" cy="3266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25</xdr:col>
      <xdr:colOff>0</xdr:colOff>
      <xdr:row>10</xdr:row>
      <xdr:rowOff>0</xdr:rowOff>
    </xdr:from>
    <xdr:to>
      <xdr:col>30</xdr:col>
      <xdr:colOff>0</xdr:colOff>
      <xdr:row>12</xdr:row>
      <xdr:rowOff>0</xdr:rowOff>
    </xdr:to>
    <xdr:sp macro="" textlink="">
      <xdr:nvSpPr>
        <xdr:cNvPr id="2" name="大かっこ 1">
          <a:extLst>
            <a:ext uri="{FF2B5EF4-FFF2-40B4-BE49-F238E27FC236}">
              <a16:creationId xmlns:a16="http://schemas.microsoft.com/office/drawing/2014/main" id="{4DA067E6-9112-4203-AEE9-BC092C107242}"/>
            </a:ext>
          </a:extLst>
        </xdr:cNvPr>
        <xdr:cNvSpPr/>
      </xdr:nvSpPr>
      <xdr:spPr>
        <a:xfrm>
          <a:off x="2590800" y="2676525"/>
          <a:ext cx="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25</xdr:col>
      <xdr:colOff>0</xdr:colOff>
      <xdr:row>14</xdr:row>
      <xdr:rowOff>0</xdr:rowOff>
    </xdr:from>
    <xdr:to>
      <xdr:col>30</xdr:col>
      <xdr:colOff>0</xdr:colOff>
      <xdr:row>16</xdr:row>
      <xdr:rowOff>0</xdr:rowOff>
    </xdr:to>
    <xdr:sp macro="" textlink="">
      <xdr:nvSpPr>
        <xdr:cNvPr id="3" name="大かっこ 2">
          <a:extLst>
            <a:ext uri="{FF2B5EF4-FFF2-40B4-BE49-F238E27FC236}">
              <a16:creationId xmlns:a16="http://schemas.microsoft.com/office/drawing/2014/main" id="{DDE920E7-7375-4AFC-B77B-C4A1807BA7B4}"/>
            </a:ext>
          </a:extLst>
        </xdr:cNvPr>
        <xdr:cNvSpPr/>
      </xdr:nvSpPr>
      <xdr:spPr>
        <a:xfrm>
          <a:off x="2590800" y="3238500"/>
          <a:ext cx="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25</xdr:col>
      <xdr:colOff>0</xdr:colOff>
      <xdr:row>25</xdr:row>
      <xdr:rowOff>0</xdr:rowOff>
    </xdr:from>
    <xdr:to>
      <xdr:col>30</xdr:col>
      <xdr:colOff>0</xdr:colOff>
      <xdr:row>27</xdr:row>
      <xdr:rowOff>0</xdr:rowOff>
    </xdr:to>
    <xdr:sp macro="" textlink="">
      <xdr:nvSpPr>
        <xdr:cNvPr id="4" name="大かっこ 3">
          <a:extLst>
            <a:ext uri="{FF2B5EF4-FFF2-40B4-BE49-F238E27FC236}">
              <a16:creationId xmlns:a16="http://schemas.microsoft.com/office/drawing/2014/main" id="{02D40C44-AB32-4A37-BA93-EB5A6F38300B}"/>
            </a:ext>
          </a:extLst>
        </xdr:cNvPr>
        <xdr:cNvSpPr/>
      </xdr:nvSpPr>
      <xdr:spPr>
        <a:xfrm>
          <a:off x="2590800" y="5019675"/>
          <a:ext cx="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25</xdr:col>
      <xdr:colOff>0</xdr:colOff>
      <xdr:row>29</xdr:row>
      <xdr:rowOff>0</xdr:rowOff>
    </xdr:from>
    <xdr:to>
      <xdr:col>30</xdr:col>
      <xdr:colOff>0</xdr:colOff>
      <xdr:row>31</xdr:row>
      <xdr:rowOff>0</xdr:rowOff>
    </xdr:to>
    <xdr:sp macro="" textlink="">
      <xdr:nvSpPr>
        <xdr:cNvPr id="5" name="大かっこ 4">
          <a:extLst>
            <a:ext uri="{FF2B5EF4-FFF2-40B4-BE49-F238E27FC236}">
              <a16:creationId xmlns:a16="http://schemas.microsoft.com/office/drawing/2014/main" id="{6B0ED84D-61C9-4E7E-BD66-0CC708513395}"/>
            </a:ext>
          </a:extLst>
        </xdr:cNvPr>
        <xdr:cNvSpPr/>
      </xdr:nvSpPr>
      <xdr:spPr>
        <a:xfrm>
          <a:off x="2590800" y="5591175"/>
          <a:ext cx="0"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80</xdr:col>
      <xdr:colOff>87406</xdr:colOff>
      <xdr:row>48</xdr:row>
      <xdr:rowOff>16809</xdr:rowOff>
    </xdr:from>
    <xdr:to>
      <xdr:col>85</xdr:col>
      <xdr:colOff>98292</xdr:colOff>
      <xdr:row>49</xdr:row>
      <xdr:rowOff>175292</xdr:rowOff>
    </xdr:to>
    <xdr:sp macro="" textlink="">
      <xdr:nvSpPr>
        <xdr:cNvPr id="9" name="大かっこ 82">
          <a:extLst>
            <a:ext uri="{FF2B5EF4-FFF2-40B4-BE49-F238E27FC236}">
              <a16:creationId xmlns:a16="http://schemas.microsoft.com/office/drawing/2014/main" id="{FAC7340D-A52C-4AB8-9914-63139773678B}"/>
            </a:ext>
          </a:extLst>
        </xdr:cNvPr>
        <xdr:cNvSpPr/>
      </xdr:nvSpPr>
      <xdr:spPr>
        <a:xfrm>
          <a:off x="11355481" y="8655984"/>
          <a:ext cx="915761" cy="3394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104</xdr:col>
      <xdr:colOff>87406</xdr:colOff>
      <xdr:row>48</xdr:row>
      <xdr:rowOff>16809</xdr:rowOff>
    </xdr:from>
    <xdr:to>
      <xdr:col>109</xdr:col>
      <xdr:colOff>98291</xdr:colOff>
      <xdr:row>49</xdr:row>
      <xdr:rowOff>175292</xdr:rowOff>
    </xdr:to>
    <xdr:sp macro="" textlink="">
      <xdr:nvSpPr>
        <xdr:cNvPr id="10" name="大かっこ 82">
          <a:extLst>
            <a:ext uri="{FF2B5EF4-FFF2-40B4-BE49-F238E27FC236}">
              <a16:creationId xmlns:a16="http://schemas.microsoft.com/office/drawing/2014/main" id="{76089D68-4ED9-4D0E-BC97-A05EC64C9FAD}"/>
            </a:ext>
          </a:extLst>
        </xdr:cNvPr>
        <xdr:cNvSpPr/>
      </xdr:nvSpPr>
      <xdr:spPr>
        <a:xfrm>
          <a:off x="15698881" y="8655984"/>
          <a:ext cx="915760" cy="3394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74</xdr:col>
      <xdr:colOff>87406</xdr:colOff>
      <xdr:row>56</xdr:row>
      <xdr:rowOff>20170</xdr:rowOff>
    </xdr:from>
    <xdr:to>
      <xdr:col>79</xdr:col>
      <xdr:colOff>98292</xdr:colOff>
      <xdr:row>57</xdr:row>
      <xdr:rowOff>169048</xdr:rowOff>
    </xdr:to>
    <xdr:sp macro="" textlink="">
      <xdr:nvSpPr>
        <xdr:cNvPr id="11" name="大かっこ 82">
          <a:extLst>
            <a:ext uri="{FF2B5EF4-FFF2-40B4-BE49-F238E27FC236}">
              <a16:creationId xmlns:a16="http://schemas.microsoft.com/office/drawing/2014/main" id="{8DA59963-7406-4D76-AF65-8A014B120516}"/>
            </a:ext>
          </a:extLst>
        </xdr:cNvPr>
        <xdr:cNvSpPr/>
      </xdr:nvSpPr>
      <xdr:spPr>
        <a:xfrm>
          <a:off x="10269631" y="9792820"/>
          <a:ext cx="915761" cy="329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86</xdr:col>
      <xdr:colOff>87405</xdr:colOff>
      <xdr:row>56</xdr:row>
      <xdr:rowOff>20170</xdr:rowOff>
    </xdr:from>
    <xdr:to>
      <xdr:col>91</xdr:col>
      <xdr:colOff>98292</xdr:colOff>
      <xdr:row>57</xdr:row>
      <xdr:rowOff>169048</xdr:rowOff>
    </xdr:to>
    <xdr:sp macro="" textlink="">
      <xdr:nvSpPr>
        <xdr:cNvPr id="12" name="大かっこ 82">
          <a:extLst>
            <a:ext uri="{FF2B5EF4-FFF2-40B4-BE49-F238E27FC236}">
              <a16:creationId xmlns:a16="http://schemas.microsoft.com/office/drawing/2014/main" id="{95E8835C-FC4B-4B68-BA80-A9013C4D96E6}"/>
            </a:ext>
          </a:extLst>
        </xdr:cNvPr>
        <xdr:cNvSpPr/>
      </xdr:nvSpPr>
      <xdr:spPr>
        <a:xfrm>
          <a:off x="12441330" y="9792820"/>
          <a:ext cx="915762" cy="329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98</xdr:col>
      <xdr:colOff>87405</xdr:colOff>
      <xdr:row>56</xdr:row>
      <xdr:rowOff>20170</xdr:rowOff>
    </xdr:from>
    <xdr:to>
      <xdr:col>103</xdr:col>
      <xdr:colOff>98291</xdr:colOff>
      <xdr:row>57</xdr:row>
      <xdr:rowOff>169048</xdr:rowOff>
    </xdr:to>
    <xdr:sp macro="" textlink="">
      <xdr:nvSpPr>
        <xdr:cNvPr id="13" name="大かっこ 82">
          <a:extLst>
            <a:ext uri="{FF2B5EF4-FFF2-40B4-BE49-F238E27FC236}">
              <a16:creationId xmlns:a16="http://schemas.microsoft.com/office/drawing/2014/main" id="{C77D4E73-7B0A-43CC-8F13-56796E944AB2}"/>
            </a:ext>
          </a:extLst>
        </xdr:cNvPr>
        <xdr:cNvSpPr/>
      </xdr:nvSpPr>
      <xdr:spPr>
        <a:xfrm>
          <a:off x="14613030" y="9792820"/>
          <a:ext cx="915761" cy="329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110</xdr:col>
      <xdr:colOff>87406</xdr:colOff>
      <xdr:row>56</xdr:row>
      <xdr:rowOff>20170</xdr:rowOff>
    </xdr:from>
    <xdr:to>
      <xdr:col>115</xdr:col>
      <xdr:colOff>98291</xdr:colOff>
      <xdr:row>57</xdr:row>
      <xdr:rowOff>169048</xdr:rowOff>
    </xdr:to>
    <xdr:sp macro="" textlink="">
      <xdr:nvSpPr>
        <xdr:cNvPr id="14" name="大かっこ 82">
          <a:extLst>
            <a:ext uri="{FF2B5EF4-FFF2-40B4-BE49-F238E27FC236}">
              <a16:creationId xmlns:a16="http://schemas.microsoft.com/office/drawing/2014/main" id="{849A4B89-10A2-4292-B581-F30B80E51535}"/>
            </a:ext>
          </a:extLst>
        </xdr:cNvPr>
        <xdr:cNvSpPr/>
      </xdr:nvSpPr>
      <xdr:spPr>
        <a:xfrm>
          <a:off x="16784731" y="9792820"/>
          <a:ext cx="915760" cy="329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xdr:col>
          <xdr:colOff>34925</xdr:colOff>
          <xdr:row>41</xdr:row>
          <xdr:rowOff>82550</xdr:rowOff>
        </xdr:from>
        <xdr:to>
          <xdr:col>69</xdr:col>
          <xdr:colOff>54882</xdr:colOff>
          <xdr:row>63</xdr:row>
          <xdr:rowOff>0</xdr:rowOff>
        </xdr:to>
        <xdr:pic>
          <xdr:nvPicPr>
            <xdr:cNvPr id="16" name="Picture 13307">
              <a:extLst>
                <a:ext uri="{FF2B5EF4-FFF2-40B4-BE49-F238E27FC236}">
                  <a16:creationId xmlns:a16="http://schemas.microsoft.com/office/drawing/2014/main" id="{7EACBB09-F15C-4364-8103-E69B5B2643AD}"/>
                </a:ext>
              </a:extLst>
            </xdr:cNvPr>
            <xdr:cNvPicPr>
              <a:picLocks noChangeAspect="1" noChangeArrowheads="1"/>
              <a:extLst>
                <a:ext uri="{84589F7E-364E-4C9E-8A38-B11213B215E9}">
                  <a14:cameraTool cellRange="$BV$42:$DM$63" spid="_x0000_s20859"/>
                </a:ext>
              </a:extLst>
            </xdr:cNvPicPr>
          </xdr:nvPicPr>
          <xdr:blipFill>
            <a:blip xmlns:r="http://schemas.openxmlformats.org/officeDocument/2006/relationships" r:embed="rId1"/>
            <a:srcRect/>
            <a:stretch>
              <a:fillRect/>
            </a:stretch>
          </xdr:blipFill>
          <xdr:spPr bwMode="auto">
            <a:xfrm>
              <a:off x="625475" y="7407275"/>
              <a:ext cx="7605032" cy="58197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41</xdr:row>
          <xdr:rowOff>85725</xdr:rowOff>
        </xdr:from>
        <xdr:to>
          <xdr:col>69</xdr:col>
          <xdr:colOff>53975</xdr:colOff>
          <xdr:row>63</xdr:row>
          <xdr:rowOff>3175</xdr:rowOff>
        </xdr:to>
        <xdr:pic>
          <xdr:nvPicPr>
            <xdr:cNvPr id="20599" name="Picture 13307">
              <a:extLst>
                <a:ext uri="{FF2B5EF4-FFF2-40B4-BE49-F238E27FC236}">
                  <a16:creationId xmlns:a16="http://schemas.microsoft.com/office/drawing/2014/main" id="{06CF2A96-6FC4-4B28-C37F-F832BB9E9AF6}"/>
                </a:ext>
              </a:extLst>
            </xdr:cNvPr>
            <xdr:cNvPicPr>
              <a:picLocks noChangeAspect="1" noChangeArrowheads="1"/>
              <a:extLst>
                <a:ext uri="{84589F7E-364E-4C9E-8A38-B11213B215E9}">
                  <a14:cameraTool cellRange="$BV$42:$DM$63" spid="_x0000_s20860"/>
                </a:ext>
              </a:extLst>
            </xdr:cNvPicPr>
          </xdr:nvPicPr>
          <xdr:blipFill>
            <a:blip xmlns:r="http://schemas.openxmlformats.org/officeDocument/2006/relationships" r:embed="rId1"/>
            <a:srcRect/>
            <a:stretch>
              <a:fillRect/>
            </a:stretch>
          </xdr:blipFill>
          <xdr:spPr bwMode="auto">
            <a:xfrm>
              <a:off x="628650" y="8829675"/>
              <a:ext cx="7600950" cy="59436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74</xdr:col>
      <xdr:colOff>180000</xdr:colOff>
      <xdr:row>8</xdr:row>
      <xdr:rowOff>104297</xdr:rowOff>
    </xdr:from>
    <xdr:to>
      <xdr:col>76</xdr:col>
      <xdr:colOff>155443</xdr:colOff>
      <xdr:row>12</xdr:row>
      <xdr:rowOff>39046</xdr:rowOff>
    </xdr:to>
    <xdr:sp macro="" textlink="">
      <xdr:nvSpPr>
        <xdr:cNvPr id="17" name="大かっこ 16">
          <a:extLst>
            <a:ext uri="{FF2B5EF4-FFF2-40B4-BE49-F238E27FC236}">
              <a16:creationId xmlns:a16="http://schemas.microsoft.com/office/drawing/2014/main" id="{03217896-C354-4D19-B5C1-5A1ED8B2C67A}"/>
            </a:ext>
          </a:extLst>
        </xdr:cNvPr>
        <xdr:cNvSpPr/>
      </xdr:nvSpPr>
      <xdr:spPr>
        <a:xfrm>
          <a:off x="10032422" y="1515188"/>
          <a:ext cx="427880" cy="250264"/>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6</xdr:col>
      <xdr:colOff>0</xdr:colOff>
      <xdr:row>41</xdr:row>
      <xdr:rowOff>0</xdr:rowOff>
    </xdr:from>
    <xdr:to>
      <xdr:col>10</xdr:col>
      <xdr:colOff>0</xdr:colOff>
      <xdr:row>43</xdr:row>
      <xdr:rowOff>0</xdr:rowOff>
    </xdr:to>
    <xdr:sp macro="" textlink="">
      <xdr:nvSpPr>
        <xdr:cNvPr id="18" name="大かっこ 17">
          <a:extLst>
            <a:ext uri="{FF2B5EF4-FFF2-40B4-BE49-F238E27FC236}">
              <a16:creationId xmlns:a16="http://schemas.microsoft.com/office/drawing/2014/main" id="{6925CD8A-102E-4188-A6F9-E8917E69FB4C}"/>
            </a:ext>
          </a:extLst>
        </xdr:cNvPr>
        <xdr:cNvSpPr/>
      </xdr:nvSpPr>
      <xdr:spPr>
        <a:xfrm>
          <a:off x="1085850" y="4600575"/>
          <a:ext cx="419100" cy="2476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22</xdr:col>
      <xdr:colOff>0</xdr:colOff>
      <xdr:row>41</xdr:row>
      <xdr:rowOff>0</xdr:rowOff>
    </xdr:from>
    <xdr:to>
      <xdr:col>26</xdr:col>
      <xdr:colOff>0</xdr:colOff>
      <xdr:row>43</xdr:row>
      <xdr:rowOff>0</xdr:rowOff>
    </xdr:to>
    <xdr:sp macro="" textlink="">
      <xdr:nvSpPr>
        <xdr:cNvPr id="19" name="大かっこ 18">
          <a:extLst>
            <a:ext uri="{FF2B5EF4-FFF2-40B4-BE49-F238E27FC236}">
              <a16:creationId xmlns:a16="http://schemas.microsoft.com/office/drawing/2014/main" id="{3BA069C5-9B7F-4E29-9427-ABA66C7876F4}"/>
            </a:ext>
          </a:extLst>
        </xdr:cNvPr>
        <xdr:cNvSpPr/>
      </xdr:nvSpPr>
      <xdr:spPr>
        <a:xfrm>
          <a:off x="2762250" y="4600575"/>
          <a:ext cx="419100" cy="2476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38</xdr:col>
      <xdr:colOff>0</xdr:colOff>
      <xdr:row>41</xdr:row>
      <xdr:rowOff>0</xdr:rowOff>
    </xdr:from>
    <xdr:to>
      <xdr:col>42</xdr:col>
      <xdr:colOff>0</xdr:colOff>
      <xdr:row>43</xdr:row>
      <xdr:rowOff>0</xdr:rowOff>
    </xdr:to>
    <xdr:sp macro="" textlink="">
      <xdr:nvSpPr>
        <xdr:cNvPr id="20" name="大かっこ 19">
          <a:extLst>
            <a:ext uri="{FF2B5EF4-FFF2-40B4-BE49-F238E27FC236}">
              <a16:creationId xmlns:a16="http://schemas.microsoft.com/office/drawing/2014/main" id="{7A4CBA08-CF6B-4C6F-B0D5-1B1A52A16C2D}"/>
            </a:ext>
          </a:extLst>
        </xdr:cNvPr>
        <xdr:cNvSpPr/>
      </xdr:nvSpPr>
      <xdr:spPr>
        <a:xfrm>
          <a:off x="4438650" y="4600575"/>
          <a:ext cx="419100" cy="2476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54</xdr:col>
      <xdr:colOff>1</xdr:colOff>
      <xdr:row>41</xdr:row>
      <xdr:rowOff>0</xdr:rowOff>
    </xdr:from>
    <xdr:to>
      <xdr:col>58</xdr:col>
      <xdr:colOff>1</xdr:colOff>
      <xdr:row>43</xdr:row>
      <xdr:rowOff>0</xdr:rowOff>
    </xdr:to>
    <xdr:sp macro="" textlink="">
      <xdr:nvSpPr>
        <xdr:cNvPr id="21" name="大かっこ 20">
          <a:extLst>
            <a:ext uri="{FF2B5EF4-FFF2-40B4-BE49-F238E27FC236}">
              <a16:creationId xmlns:a16="http://schemas.microsoft.com/office/drawing/2014/main" id="{F4FC32E1-DE2F-4227-9E18-02829BC55889}"/>
            </a:ext>
          </a:extLst>
        </xdr:cNvPr>
        <xdr:cNvSpPr/>
      </xdr:nvSpPr>
      <xdr:spPr>
        <a:xfrm>
          <a:off x="6115051" y="4600575"/>
          <a:ext cx="419100" cy="2476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14</xdr:col>
      <xdr:colOff>0</xdr:colOff>
      <xdr:row>28</xdr:row>
      <xdr:rowOff>0</xdr:rowOff>
    </xdr:from>
    <xdr:to>
      <xdr:col>18</xdr:col>
      <xdr:colOff>0</xdr:colOff>
      <xdr:row>30</xdr:row>
      <xdr:rowOff>0</xdr:rowOff>
    </xdr:to>
    <xdr:sp macro="" textlink="">
      <xdr:nvSpPr>
        <xdr:cNvPr id="22" name="大かっこ 21">
          <a:extLst>
            <a:ext uri="{FF2B5EF4-FFF2-40B4-BE49-F238E27FC236}">
              <a16:creationId xmlns:a16="http://schemas.microsoft.com/office/drawing/2014/main" id="{1AF825E6-052B-48AA-8E7C-5A291DF3FF24}"/>
            </a:ext>
          </a:extLst>
        </xdr:cNvPr>
        <xdr:cNvSpPr/>
      </xdr:nvSpPr>
      <xdr:spPr>
        <a:xfrm>
          <a:off x="1924050" y="3267075"/>
          <a:ext cx="419100" cy="2476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46</xdr:col>
      <xdr:colOff>0</xdr:colOff>
      <xdr:row>28</xdr:row>
      <xdr:rowOff>0</xdr:rowOff>
    </xdr:from>
    <xdr:to>
      <xdr:col>50</xdr:col>
      <xdr:colOff>1</xdr:colOff>
      <xdr:row>30</xdr:row>
      <xdr:rowOff>0</xdr:rowOff>
    </xdr:to>
    <xdr:sp macro="" textlink="">
      <xdr:nvSpPr>
        <xdr:cNvPr id="23" name="大かっこ 22">
          <a:extLst>
            <a:ext uri="{FF2B5EF4-FFF2-40B4-BE49-F238E27FC236}">
              <a16:creationId xmlns:a16="http://schemas.microsoft.com/office/drawing/2014/main" id="{3B65AB63-7B0D-4B06-8838-ABFBF32247EF}"/>
            </a:ext>
          </a:extLst>
        </xdr:cNvPr>
        <xdr:cNvSpPr/>
      </xdr:nvSpPr>
      <xdr:spPr>
        <a:xfrm>
          <a:off x="5276850" y="3267075"/>
          <a:ext cx="419101" cy="2476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30</xdr:col>
      <xdr:colOff>0</xdr:colOff>
      <xdr:row>14</xdr:row>
      <xdr:rowOff>1</xdr:rowOff>
    </xdr:from>
    <xdr:to>
      <xdr:col>34</xdr:col>
      <xdr:colOff>1</xdr:colOff>
      <xdr:row>16</xdr:row>
      <xdr:rowOff>0</xdr:rowOff>
    </xdr:to>
    <xdr:sp macro="" textlink="">
      <xdr:nvSpPr>
        <xdr:cNvPr id="24" name="大かっこ 23">
          <a:extLst>
            <a:ext uri="{FF2B5EF4-FFF2-40B4-BE49-F238E27FC236}">
              <a16:creationId xmlns:a16="http://schemas.microsoft.com/office/drawing/2014/main" id="{F1738636-D7D6-4D7E-9643-DFC39C52C7C5}"/>
            </a:ext>
          </a:extLst>
        </xdr:cNvPr>
        <xdr:cNvSpPr/>
      </xdr:nvSpPr>
      <xdr:spPr>
        <a:xfrm>
          <a:off x="3600450" y="1809751"/>
          <a:ext cx="419101" cy="247649"/>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xdr:col>
      <xdr:colOff>15875</xdr:colOff>
      <xdr:row>54</xdr:row>
      <xdr:rowOff>1</xdr:rowOff>
    </xdr:from>
    <xdr:to>
      <xdr:col>5</xdr:col>
      <xdr:colOff>127000</xdr:colOff>
      <xdr:row>56</xdr:row>
      <xdr:rowOff>1</xdr:rowOff>
    </xdr:to>
    <xdr:sp macro="" textlink="">
      <xdr:nvSpPr>
        <xdr:cNvPr id="25" name="大かっこ 24">
          <a:extLst>
            <a:ext uri="{FF2B5EF4-FFF2-40B4-BE49-F238E27FC236}">
              <a16:creationId xmlns:a16="http://schemas.microsoft.com/office/drawing/2014/main" id="{13FFE9E0-4F10-404B-BB9F-25CE2A8579CC}"/>
            </a:ext>
          </a:extLst>
        </xdr:cNvPr>
        <xdr:cNvSpPr/>
      </xdr:nvSpPr>
      <xdr:spPr>
        <a:xfrm>
          <a:off x="694531" y="5982892"/>
          <a:ext cx="408782" cy="250031"/>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xdr:col>
      <xdr:colOff>15875</xdr:colOff>
      <xdr:row>54</xdr:row>
      <xdr:rowOff>1</xdr:rowOff>
    </xdr:from>
    <xdr:to>
      <xdr:col>13</xdr:col>
      <xdr:colOff>127000</xdr:colOff>
      <xdr:row>56</xdr:row>
      <xdr:rowOff>1</xdr:rowOff>
    </xdr:to>
    <xdr:sp macro="" textlink="">
      <xdr:nvSpPr>
        <xdr:cNvPr id="26" name="大かっこ 25">
          <a:extLst>
            <a:ext uri="{FF2B5EF4-FFF2-40B4-BE49-F238E27FC236}">
              <a16:creationId xmlns:a16="http://schemas.microsoft.com/office/drawing/2014/main" id="{CC3D2198-80F2-416B-AA19-EF543C7FA844}"/>
            </a:ext>
          </a:extLst>
        </xdr:cNvPr>
        <xdr:cNvSpPr/>
      </xdr:nvSpPr>
      <xdr:spPr>
        <a:xfrm>
          <a:off x="1520825" y="5934076"/>
          <a:ext cx="387350" cy="2476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15875</xdr:colOff>
      <xdr:row>54</xdr:row>
      <xdr:rowOff>1</xdr:rowOff>
    </xdr:from>
    <xdr:to>
      <xdr:col>21</xdr:col>
      <xdr:colOff>127000</xdr:colOff>
      <xdr:row>56</xdr:row>
      <xdr:rowOff>1</xdr:rowOff>
    </xdr:to>
    <xdr:sp macro="" textlink="">
      <xdr:nvSpPr>
        <xdr:cNvPr id="27" name="大かっこ 26">
          <a:extLst>
            <a:ext uri="{FF2B5EF4-FFF2-40B4-BE49-F238E27FC236}">
              <a16:creationId xmlns:a16="http://schemas.microsoft.com/office/drawing/2014/main" id="{E4CDB66B-1778-49A2-9C0E-4F5098A4817F}"/>
            </a:ext>
          </a:extLst>
        </xdr:cNvPr>
        <xdr:cNvSpPr/>
      </xdr:nvSpPr>
      <xdr:spPr>
        <a:xfrm>
          <a:off x="2359025" y="5934076"/>
          <a:ext cx="387350" cy="2476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26</xdr:col>
      <xdr:colOff>15875</xdr:colOff>
      <xdr:row>54</xdr:row>
      <xdr:rowOff>1</xdr:rowOff>
    </xdr:from>
    <xdr:to>
      <xdr:col>29</xdr:col>
      <xdr:colOff>127000</xdr:colOff>
      <xdr:row>56</xdr:row>
      <xdr:rowOff>1</xdr:rowOff>
    </xdr:to>
    <xdr:sp macro="" textlink="">
      <xdr:nvSpPr>
        <xdr:cNvPr id="28" name="大かっこ 27">
          <a:extLst>
            <a:ext uri="{FF2B5EF4-FFF2-40B4-BE49-F238E27FC236}">
              <a16:creationId xmlns:a16="http://schemas.microsoft.com/office/drawing/2014/main" id="{99BB9ABD-D22B-4AA7-9CCE-90438F32B40F}"/>
            </a:ext>
          </a:extLst>
        </xdr:cNvPr>
        <xdr:cNvSpPr/>
      </xdr:nvSpPr>
      <xdr:spPr>
        <a:xfrm>
          <a:off x="3197225" y="5934076"/>
          <a:ext cx="387350" cy="2476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34</xdr:col>
      <xdr:colOff>15875</xdr:colOff>
      <xdr:row>54</xdr:row>
      <xdr:rowOff>1</xdr:rowOff>
    </xdr:from>
    <xdr:to>
      <xdr:col>37</xdr:col>
      <xdr:colOff>127000</xdr:colOff>
      <xdr:row>56</xdr:row>
      <xdr:rowOff>1</xdr:rowOff>
    </xdr:to>
    <xdr:sp macro="" textlink="">
      <xdr:nvSpPr>
        <xdr:cNvPr id="29" name="大かっこ 28">
          <a:extLst>
            <a:ext uri="{FF2B5EF4-FFF2-40B4-BE49-F238E27FC236}">
              <a16:creationId xmlns:a16="http://schemas.microsoft.com/office/drawing/2014/main" id="{9BD0D97D-B36E-4FC0-B5D9-EDC97C5FCD8B}"/>
            </a:ext>
          </a:extLst>
        </xdr:cNvPr>
        <xdr:cNvSpPr/>
      </xdr:nvSpPr>
      <xdr:spPr>
        <a:xfrm>
          <a:off x="4035425" y="5934076"/>
          <a:ext cx="387350" cy="2476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42</xdr:col>
      <xdr:colOff>15875</xdr:colOff>
      <xdr:row>54</xdr:row>
      <xdr:rowOff>1</xdr:rowOff>
    </xdr:from>
    <xdr:to>
      <xdr:col>45</xdr:col>
      <xdr:colOff>127000</xdr:colOff>
      <xdr:row>56</xdr:row>
      <xdr:rowOff>1</xdr:rowOff>
    </xdr:to>
    <xdr:sp macro="" textlink="">
      <xdr:nvSpPr>
        <xdr:cNvPr id="30" name="大かっこ 29">
          <a:extLst>
            <a:ext uri="{FF2B5EF4-FFF2-40B4-BE49-F238E27FC236}">
              <a16:creationId xmlns:a16="http://schemas.microsoft.com/office/drawing/2014/main" id="{867515E7-C4EA-4019-805D-E4137FB29323}"/>
            </a:ext>
          </a:extLst>
        </xdr:cNvPr>
        <xdr:cNvSpPr/>
      </xdr:nvSpPr>
      <xdr:spPr>
        <a:xfrm>
          <a:off x="4873625" y="5934076"/>
          <a:ext cx="387350" cy="2476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50</xdr:col>
      <xdr:colOff>15875</xdr:colOff>
      <xdr:row>54</xdr:row>
      <xdr:rowOff>1</xdr:rowOff>
    </xdr:from>
    <xdr:to>
      <xdr:col>53</xdr:col>
      <xdr:colOff>127000</xdr:colOff>
      <xdr:row>56</xdr:row>
      <xdr:rowOff>1</xdr:rowOff>
    </xdr:to>
    <xdr:sp macro="" textlink="">
      <xdr:nvSpPr>
        <xdr:cNvPr id="31" name="大かっこ 30">
          <a:extLst>
            <a:ext uri="{FF2B5EF4-FFF2-40B4-BE49-F238E27FC236}">
              <a16:creationId xmlns:a16="http://schemas.microsoft.com/office/drawing/2014/main" id="{8EAB1308-0997-4E18-8339-3B8FD2A3485D}"/>
            </a:ext>
          </a:extLst>
        </xdr:cNvPr>
        <xdr:cNvSpPr/>
      </xdr:nvSpPr>
      <xdr:spPr>
        <a:xfrm>
          <a:off x="5711825" y="5934076"/>
          <a:ext cx="387350" cy="2476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58</xdr:col>
      <xdr:colOff>15875</xdr:colOff>
      <xdr:row>54</xdr:row>
      <xdr:rowOff>1</xdr:rowOff>
    </xdr:from>
    <xdr:to>
      <xdr:col>61</xdr:col>
      <xdr:colOff>127000</xdr:colOff>
      <xdr:row>56</xdr:row>
      <xdr:rowOff>1</xdr:rowOff>
    </xdr:to>
    <xdr:sp macro="" textlink="">
      <xdr:nvSpPr>
        <xdr:cNvPr id="32" name="大かっこ 31">
          <a:extLst>
            <a:ext uri="{FF2B5EF4-FFF2-40B4-BE49-F238E27FC236}">
              <a16:creationId xmlns:a16="http://schemas.microsoft.com/office/drawing/2014/main" id="{A1E65DA3-C2BB-4C6B-B7F1-24C595ABC0A4}"/>
            </a:ext>
          </a:extLst>
        </xdr:cNvPr>
        <xdr:cNvSpPr/>
      </xdr:nvSpPr>
      <xdr:spPr>
        <a:xfrm>
          <a:off x="6550025" y="5934076"/>
          <a:ext cx="387350" cy="2476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58</xdr:col>
      <xdr:colOff>0</xdr:colOff>
      <xdr:row>13</xdr:row>
      <xdr:rowOff>37501</xdr:rowOff>
    </xdr:from>
    <xdr:to>
      <xdr:col>62</xdr:col>
      <xdr:colOff>1</xdr:colOff>
      <xdr:row>15</xdr:row>
      <xdr:rowOff>120000</xdr:rowOff>
    </xdr:to>
    <xdr:sp macro="" textlink="">
      <xdr:nvSpPr>
        <xdr:cNvPr id="2" name="大かっこ 1">
          <a:extLst>
            <a:ext uri="{FF2B5EF4-FFF2-40B4-BE49-F238E27FC236}">
              <a16:creationId xmlns:a16="http://schemas.microsoft.com/office/drawing/2014/main" id="{09882131-D6D6-40C4-AA71-513264E46A2A}"/>
            </a:ext>
          </a:extLst>
        </xdr:cNvPr>
        <xdr:cNvSpPr/>
      </xdr:nvSpPr>
      <xdr:spPr>
        <a:xfrm>
          <a:off x="6765000" y="1830001"/>
          <a:ext cx="435001" cy="254999"/>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37</xdr:col>
      <xdr:colOff>179733</xdr:colOff>
      <xdr:row>14</xdr:row>
      <xdr:rowOff>156956</xdr:rowOff>
    </xdr:from>
    <xdr:to>
      <xdr:col>40</xdr:col>
      <xdr:colOff>155299</xdr:colOff>
      <xdr:row>16</xdr:row>
      <xdr:rowOff>96078</xdr:rowOff>
    </xdr:to>
    <xdr:sp macro="" textlink="">
      <xdr:nvSpPr>
        <xdr:cNvPr id="4" name="円/楕円 3">
          <a:extLst>
            <a:ext uri="{FF2B5EF4-FFF2-40B4-BE49-F238E27FC236}">
              <a16:creationId xmlns:a16="http://schemas.microsoft.com/office/drawing/2014/main" id="{00000000-0008-0000-1A00-000004000000}"/>
            </a:ext>
          </a:extLst>
        </xdr:cNvPr>
        <xdr:cNvSpPr/>
      </xdr:nvSpPr>
      <xdr:spPr>
        <a:xfrm>
          <a:off x="8213863" y="2434673"/>
          <a:ext cx="571914" cy="2952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17</xdr:col>
      <xdr:colOff>0</xdr:colOff>
      <xdr:row>0</xdr:row>
      <xdr:rowOff>0</xdr:rowOff>
    </xdr:from>
    <xdr:to>
      <xdr:col>20</xdr:col>
      <xdr:colOff>0</xdr:colOff>
      <xdr:row>3</xdr:row>
      <xdr:rowOff>24847</xdr:rowOff>
    </xdr:to>
    <xdr:pic>
      <xdr:nvPicPr>
        <xdr:cNvPr id="3" name="図 2">
          <a:extLst>
            <a:ext uri="{FF2B5EF4-FFF2-40B4-BE49-F238E27FC236}">
              <a16:creationId xmlns:a16="http://schemas.microsoft.com/office/drawing/2014/main" id="{20B5A0CB-E676-4EF0-BAFB-BA8A2056F001}"/>
            </a:ext>
          </a:extLst>
        </xdr:cNvPr>
        <xdr:cNvPicPr>
          <a:picLocks noChangeAspect="1"/>
        </xdr:cNvPicPr>
      </xdr:nvPicPr>
      <xdr:blipFill>
        <a:blip xmlns:r="http://schemas.openxmlformats.org/officeDocument/2006/relationships" r:embed="rId1" cstate="print">
          <a:biLevel thresh="25000"/>
          <a:extLst>
            <a:ext uri="{28A0092B-C50C-407E-A947-70E740481C1C}">
              <a14:useLocalDpi xmlns:a14="http://schemas.microsoft.com/office/drawing/2010/main" val="0"/>
            </a:ext>
          </a:extLst>
        </a:blip>
        <a:stretch>
          <a:fillRect/>
        </a:stretch>
      </xdr:blipFill>
      <xdr:spPr>
        <a:xfrm>
          <a:off x="3478696" y="0"/>
          <a:ext cx="695739" cy="52180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37</xdr:col>
      <xdr:colOff>179733</xdr:colOff>
      <xdr:row>14</xdr:row>
      <xdr:rowOff>156956</xdr:rowOff>
    </xdr:from>
    <xdr:to>
      <xdr:col>40</xdr:col>
      <xdr:colOff>155299</xdr:colOff>
      <xdr:row>16</xdr:row>
      <xdr:rowOff>96078</xdr:rowOff>
    </xdr:to>
    <xdr:sp macro="" textlink="">
      <xdr:nvSpPr>
        <xdr:cNvPr id="2" name="円/楕円 3">
          <a:extLst>
            <a:ext uri="{FF2B5EF4-FFF2-40B4-BE49-F238E27FC236}">
              <a16:creationId xmlns:a16="http://schemas.microsoft.com/office/drawing/2014/main" id="{2A842266-8EA6-4A43-9FE0-E84EBCAEA6DA}"/>
            </a:ext>
          </a:extLst>
        </xdr:cNvPr>
        <xdr:cNvSpPr/>
      </xdr:nvSpPr>
      <xdr:spPr>
        <a:xfrm>
          <a:off x="8114058" y="2404856"/>
          <a:ext cx="575641" cy="29154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49697</xdr:colOff>
      <xdr:row>12</xdr:row>
      <xdr:rowOff>99392</xdr:rowOff>
    </xdr:from>
    <xdr:to>
      <xdr:col>40</xdr:col>
      <xdr:colOff>33131</xdr:colOff>
      <xdr:row>13</xdr:row>
      <xdr:rowOff>149088</xdr:rowOff>
    </xdr:to>
    <xdr:sp macro="" textlink="">
      <xdr:nvSpPr>
        <xdr:cNvPr id="3" name="円/楕円 2">
          <a:extLst>
            <a:ext uri="{FF2B5EF4-FFF2-40B4-BE49-F238E27FC236}">
              <a16:creationId xmlns:a16="http://schemas.microsoft.com/office/drawing/2014/main" id="{01AF4D4E-EA07-4290-81CF-47CDCF2A0491}"/>
            </a:ext>
          </a:extLst>
        </xdr:cNvPr>
        <xdr:cNvSpPr/>
      </xdr:nvSpPr>
      <xdr:spPr>
        <a:xfrm>
          <a:off x="8083827" y="1996109"/>
          <a:ext cx="579782" cy="240196"/>
        </a:xfrm>
        <a:prstGeom prst="ellipse">
          <a:avLst/>
        </a:prstGeom>
        <a:solidFill>
          <a:schemeClr val="tx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editAs="oneCell">
    <xdr:from>
      <xdr:col>17</xdr:col>
      <xdr:colOff>0</xdr:colOff>
      <xdr:row>0</xdr:row>
      <xdr:rowOff>0</xdr:rowOff>
    </xdr:from>
    <xdr:to>
      <xdr:col>20</xdr:col>
      <xdr:colOff>0</xdr:colOff>
      <xdr:row>3</xdr:row>
      <xdr:rowOff>24847</xdr:rowOff>
    </xdr:to>
    <xdr:pic>
      <xdr:nvPicPr>
        <xdr:cNvPr id="4" name="図 3">
          <a:extLst>
            <a:ext uri="{FF2B5EF4-FFF2-40B4-BE49-F238E27FC236}">
              <a16:creationId xmlns:a16="http://schemas.microsoft.com/office/drawing/2014/main" id="{2DFA754D-3546-4E2E-A877-26F1E3215F94}"/>
            </a:ext>
          </a:extLst>
        </xdr:cNvPr>
        <xdr:cNvPicPr>
          <a:picLocks noChangeAspect="1"/>
        </xdr:cNvPicPr>
      </xdr:nvPicPr>
      <xdr:blipFill>
        <a:blip xmlns:r="http://schemas.openxmlformats.org/officeDocument/2006/relationships" r:embed="rId1" cstate="print">
          <a:biLevel thresh="25000"/>
          <a:extLst>
            <a:ext uri="{28A0092B-C50C-407E-A947-70E740481C1C}">
              <a14:useLocalDpi xmlns:a14="http://schemas.microsoft.com/office/drawing/2010/main" val="0"/>
            </a:ext>
          </a:extLst>
        </a:blip>
        <a:stretch>
          <a:fillRect/>
        </a:stretch>
      </xdr:blipFill>
      <xdr:spPr>
        <a:xfrm>
          <a:off x="3478696" y="0"/>
          <a:ext cx="695739" cy="5218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Personal%20Data\My%20Documents\soccer\&#9733;&#22996;&#21729;&#38263;\01&#20013;&#20307;&#36899;\03&#21271;&#20449;&#36234;\2013&#21271;&#20449;&#36234;&#21508;&#31278;&#20966;&#29702;&#12501;&#12449;&#12452;&#12523;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裏"/>
      <sheetName val="新潟"/>
      <sheetName val="福井"/>
      <sheetName val="富山"/>
      <sheetName val="長野"/>
      <sheetName val="石川"/>
      <sheetName val="くじ引き"/>
      <sheetName val="トーナメント"/>
      <sheetName val="歴代優勝校"/>
      <sheetName val="メンバー表"/>
      <sheetName val="あ1"/>
      <sheetName val="あ2"/>
      <sheetName val="い1"/>
      <sheetName val="い2"/>
      <sheetName val="う1"/>
      <sheetName val="う2"/>
      <sheetName val="う3"/>
      <sheetName val="準決勝A"/>
      <sheetName val="準決勝B"/>
      <sheetName val="決勝"/>
      <sheetName val="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33"/>
  <sheetViews>
    <sheetView showGridLines="0" zoomScale="80" zoomScaleNormal="80" workbookViewId="0">
      <selection activeCell="C27" sqref="C27"/>
    </sheetView>
  </sheetViews>
  <sheetFormatPr defaultColWidth="9" defaultRowHeight="14.25" x14ac:dyDescent="0.15"/>
  <cols>
    <col min="1" max="1" width="2" style="258" customWidth="1"/>
    <col min="2" max="2" width="7.375" style="258" customWidth="1"/>
    <col min="3" max="3" width="10.25" style="258" bestFit="1" customWidth="1"/>
    <col min="4" max="5" width="9" style="258"/>
    <col min="6" max="6" width="18" style="258" customWidth="1"/>
    <col min="7" max="7" width="9" style="258"/>
    <col min="8" max="8" width="7.375" style="258" customWidth="1"/>
    <col min="9" max="9" width="10.25" style="258" bestFit="1" customWidth="1"/>
    <col min="10" max="10" width="10.125" style="258" bestFit="1" customWidth="1"/>
    <col min="11" max="11" width="12.625" style="258" bestFit="1" customWidth="1"/>
    <col min="12" max="12" width="18" style="258" customWidth="1"/>
    <col min="13" max="16384" width="9" style="258"/>
  </cols>
  <sheetData>
    <row r="1" spans="2:14" ht="15" thickBot="1" x14ac:dyDescent="0.2">
      <c r="B1" s="258" t="s">
        <v>0</v>
      </c>
      <c r="H1" s="258" t="s">
        <v>1</v>
      </c>
    </row>
    <row r="2" spans="2:14" ht="15" thickBot="1" x14ac:dyDescent="0.2">
      <c r="B2" s="259" t="s">
        <v>2</v>
      </c>
      <c r="C2" s="260" t="s">
        <v>3</v>
      </c>
      <c r="D2" s="261" t="s">
        <v>4</v>
      </c>
      <c r="E2" s="606" t="s">
        <v>5</v>
      </c>
      <c r="F2" s="607"/>
      <c r="H2" s="259" t="s">
        <v>2</v>
      </c>
      <c r="I2" s="260" t="s">
        <v>3</v>
      </c>
      <c r="J2" s="261" t="s">
        <v>4</v>
      </c>
      <c r="K2" s="606" t="s">
        <v>5</v>
      </c>
      <c r="L2" s="607"/>
    </row>
    <row r="3" spans="2:14" ht="15" thickTop="1" x14ac:dyDescent="0.15">
      <c r="B3" s="262"/>
      <c r="C3" s="263" t="s">
        <v>6</v>
      </c>
      <c r="D3" s="264" t="str">
        <f t="shared" ref="D3:D20" si="0">E3</f>
        <v>金沢市</v>
      </c>
      <c r="E3" s="264" t="s">
        <v>7</v>
      </c>
      <c r="F3" s="265"/>
      <c r="G3" s="258" t="s">
        <v>8</v>
      </c>
      <c r="H3" s="266">
        <v>11</v>
      </c>
      <c r="I3" s="267" t="s">
        <v>9</v>
      </c>
      <c r="J3" s="268" t="str">
        <f>K3</f>
        <v>小松市</v>
      </c>
      <c r="K3" s="268" t="s">
        <v>10</v>
      </c>
      <c r="L3" s="269"/>
      <c r="N3" s="270"/>
    </row>
    <row r="4" spans="2:14" x14ac:dyDescent="0.15">
      <c r="B4" s="271">
        <v>5</v>
      </c>
      <c r="C4" s="272" t="s">
        <v>11</v>
      </c>
      <c r="D4" s="273" t="str">
        <f t="shared" si="0"/>
        <v>金沢市</v>
      </c>
      <c r="E4" s="273" t="s">
        <v>7</v>
      </c>
      <c r="F4" s="274"/>
      <c r="H4" s="275">
        <v>9</v>
      </c>
      <c r="I4" s="272" t="s">
        <v>12</v>
      </c>
      <c r="J4" s="273" t="str">
        <f>K4</f>
        <v>小松市</v>
      </c>
      <c r="K4" s="273" t="s">
        <v>10</v>
      </c>
      <c r="L4" s="274"/>
      <c r="N4" s="270"/>
    </row>
    <row r="5" spans="2:14" x14ac:dyDescent="0.15">
      <c r="B5" s="271">
        <v>10</v>
      </c>
      <c r="C5" s="272" t="s">
        <v>13</v>
      </c>
      <c r="D5" s="273" t="str">
        <f t="shared" si="0"/>
        <v>金沢市</v>
      </c>
      <c r="E5" s="273" t="s">
        <v>7</v>
      </c>
      <c r="F5" s="274"/>
      <c r="H5" s="275">
        <v>4</v>
      </c>
      <c r="I5" s="272" t="s">
        <v>14</v>
      </c>
      <c r="J5" s="273" t="str">
        <f>K5</f>
        <v>小松市</v>
      </c>
      <c r="K5" s="273" t="s">
        <v>10</v>
      </c>
      <c r="L5" s="274"/>
      <c r="N5" s="270"/>
    </row>
    <row r="6" spans="2:14" x14ac:dyDescent="0.15">
      <c r="B6" s="271">
        <v>20</v>
      </c>
      <c r="C6" s="272" t="s">
        <v>15</v>
      </c>
      <c r="D6" s="273" t="str">
        <f t="shared" si="0"/>
        <v>金沢市</v>
      </c>
      <c r="E6" s="273" t="s">
        <v>7</v>
      </c>
      <c r="F6" s="274"/>
      <c r="H6" s="275">
        <v>5</v>
      </c>
      <c r="I6" s="272" t="s">
        <v>16</v>
      </c>
      <c r="J6" s="273" t="s">
        <v>17</v>
      </c>
      <c r="K6" s="273" t="s">
        <v>18</v>
      </c>
      <c r="L6" s="274"/>
      <c r="N6" s="276"/>
    </row>
    <row r="7" spans="2:14" x14ac:dyDescent="0.15">
      <c r="B7" s="271">
        <v>6</v>
      </c>
      <c r="C7" s="272" t="s">
        <v>19</v>
      </c>
      <c r="D7" s="273" t="str">
        <f t="shared" si="0"/>
        <v>金沢市</v>
      </c>
      <c r="E7" s="273" t="s">
        <v>7</v>
      </c>
      <c r="F7" s="274"/>
      <c r="H7" s="277"/>
      <c r="I7" s="278" t="s">
        <v>20</v>
      </c>
      <c r="J7" s="279" t="s">
        <v>17</v>
      </c>
      <c r="K7" s="279" t="s">
        <v>18</v>
      </c>
      <c r="L7" s="280"/>
      <c r="M7" s="258" t="s">
        <v>21</v>
      </c>
      <c r="N7" s="276"/>
    </row>
    <row r="8" spans="2:14" x14ac:dyDescent="0.15">
      <c r="B8" s="271">
        <v>7</v>
      </c>
      <c r="C8" s="272" t="s">
        <v>22</v>
      </c>
      <c r="D8" s="273" t="str">
        <f t="shared" si="0"/>
        <v>金沢市</v>
      </c>
      <c r="E8" s="273" t="s">
        <v>7</v>
      </c>
      <c r="F8" s="274"/>
      <c r="H8" s="275">
        <v>3</v>
      </c>
      <c r="I8" s="272" t="s">
        <v>23</v>
      </c>
      <c r="J8" s="273" t="s">
        <v>17</v>
      </c>
      <c r="K8" s="273" t="s">
        <v>18</v>
      </c>
      <c r="L8" s="274"/>
      <c r="N8" s="276"/>
    </row>
    <row r="9" spans="2:14" x14ac:dyDescent="0.15">
      <c r="B9" s="281"/>
      <c r="C9" s="278" t="s">
        <v>24</v>
      </c>
      <c r="D9" s="279" t="str">
        <f t="shared" si="0"/>
        <v>金沢市</v>
      </c>
      <c r="E9" s="279" t="s">
        <v>7</v>
      </c>
      <c r="F9" s="280"/>
      <c r="G9" s="258" t="s">
        <v>21</v>
      </c>
      <c r="H9" s="275">
        <v>2</v>
      </c>
      <c r="I9" s="272" t="s">
        <v>25</v>
      </c>
      <c r="J9" s="273" t="s">
        <v>26</v>
      </c>
      <c r="K9" s="273" t="s">
        <v>26</v>
      </c>
      <c r="L9" s="274"/>
    </row>
    <row r="10" spans="2:14" x14ac:dyDescent="0.15">
      <c r="B10" s="271">
        <v>4</v>
      </c>
      <c r="C10" s="272" t="s">
        <v>27</v>
      </c>
      <c r="D10" s="273" t="str">
        <f t="shared" si="0"/>
        <v>金沢市</v>
      </c>
      <c r="E10" s="273" t="s">
        <v>7</v>
      </c>
      <c r="F10" s="274"/>
      <c r="H10" s="282"/>
      <c r="I10" s="283" t="s">
        <v>28</v>
      </c>
      <c r="J10" s="284" t="s">
        <v>26</v>
      </c>
      <c r="K10" s="284" t="s">
        <v>26</v>
      </c>
      <c r="L10" s="285"/>
      <c r="M10" s="258" t="s">
        <v>8</v>
      </c>
    </row>
    <row r="11" spans="2:14" x14ac:dyDescent="0.15">
      <c r="B11" s="271">
        <v>11</v>
      </c>
      <c r="C11" s="272" t="s">
        <v>29</v>
      </c>
      <c r="D11" s="273" t="str">
        <f t="shared" si="0"/>
        <v>金沢市</v>
      </c>
      <c r="E11" s="273" t="s">
        <v>7</v>
      </c>
      <c r="F11" s="274"/>
      <c r="H11" s="275">
        <v>8</v>
      </c>
      <c r="I11" s="272" t="s">
        <v>30</v>
      </c>
      <c r="J11" s="273" t="s">
        <v>26</v>
      </c>
      <c r="K11" s="273" t="s">
        <v>26</v>
      </c>
      <c r="L11" s="274"/>
    </row>
    <row r="12" spans="2:14" x14ac:dyDescent="0.15">
      <c r="B12" s="271">
        <v>19</v>
      </c>
      <c r="C12" s="272" t="s">
        <v>31</v>
      </c>
      <c r="D12" s="273" t="str">
        <f t="shared" si="0"/>
        <v>金沢市</v>
      </c>
      <c r="E12" s="273" t="s">
        <v>7</v>
      </c>
      <c r="F12" s="274"/>
      <c r="H12" s="275">
        <v>1</v>
      </c>
      <c r="I12" s="272" t="s">
        <v>32</v>
      </c>
      <c r="J12" s="273" t="s">
        <v>26</v>
      </c>
      <c r="K12" s="273" t="s">
        <v>26</v>
      </c>
      <c r="L12" s="274"/>
    </row>
    <row r="13" spans="2:14" x14ac:dyDescent="0.15">
      <c r="B13" s="271">
        <v>18</v>
      </c>
      <c r="C13" s="272" t="s">
        <v>33</v>
      </c>
      <c r="D13" s="273" t="str">
        <f t="shared" si="0"/>
        <v>金沢市</v>
      </c>
      <c r="E13" s="273" t="s">
        <v>7</v>
      </c>
      <c r="F13" s="274"/>
      <c r="H13" s="282"/>
      <c r="I13" s="283" t="s">
        <v>34</v>
      </c>
      <c r="J13" s="284" t="s">
        <v>26</v>
      </c>
      <c r="K13" s="284" t="s">
        <v>26</v>
      </c>
      <c r="L13" s="285"/>
      <c r="M13" s="258" t="s">
        <v>8</v>
      </c>
    </row>
    <row r="14" spans="2:14" x14ac:dyDescent="0.15">
      <c r="B14" s="271">
        <v>8</v>
      </c>
      <c r="C14" s="272" t="s">
        <v>35</v>
      </c>
      <c r="D14" s="273" t="str">
        <f t="shared" si="0"/>
        <v>金沢市</v>
      </c>
      <c r="E14" s="273" t="s">
        <v>7</v>
      </c>
      <c r="F14" s="274"/>
      <c r="H14" s="275">
        <v>7</v>
      </c>
      <c r="I14" s="272" t="s">
        <v>36</v>
      </c>
      <c r="J14" s="273" t="s">
        <v>26</v>
      </c>
      <c r="K14" s="273" t="s">
        <v>26</v>
      </c>
      <c r="L14" s="274"/>
    </row>
    <row r="15" spans="2:14" x14ac:dyDescent="0.15">
      <c r="B15" s="281"/>
      <c r="C15" s="278" t="s">
        <v>37</v>
      </c>
      <c r="D15" s="279" t="str">
        <f t="shared" si="0"/>
        <v>金沢市</v>
      </c>
      <c r="E15" s="279" t="s">
        <v>7</v>
      </c>
      <c r="F15" s="280"/>
      <c r="G15" s="258" t="s">
        <v>21</v>
      </c>
      <c r="H15" s="275">
        <v>6</v>
      </c>
      <c r="I15" s="272" t="s">
        <v>38</v>
      </c>
      <c r="J15" s="273" t="s">
        <v>39</v>
      </c>
      <c r="K15" s="273" t="s">
        <v>39</v>
      </c>
      <c r="L15" s="274"/>
    </row>
    <row r="16" spans="2:14" x14ac:dyDescent="0.15">
      <c r="B16" s="271"/>
      <c r="C16" s="272" t="s">
        <v>40</v>
      </c>
      <c r="D16" s="273" t="str">
        <f t="shared" si="0"/>
        <v>金沢市</v>
      </c>
      <c r="E16" s="273" t="s">
        <v>7</v>
      </c>
      <c r="F16" s="274"/>
      <c r="H16" s="275">
        <v>10</v>
      </c>
      <c r="I16" s="272" t="s">
        <v>41</v>
      </c>
      <c r="J16" s="273" t="s">
        <v>39</v>
      </c>
      <c r="K16" s="273" t="s">
        <v>39</v>
      </c>
      <c r="L16" s="274"/>
    </row>
    <row r="17" spans="2:13" ht="28.5" x14ac:dyDescent="0.15">
      <c r="B17" s="271"/>
      <c r="C17" s="283" t="s">
        <v>42</v>
      </c>
      <c r="D17" s="284" t="str">
        <f t="shared" si="0"/>
        <v>金沢市</v>
      </c>
      <c r="E17" s="284" t="s">
        <v>7</v>
      </c>
      <c r="F17" s="285"/>
      <c r="G17" s="258" t="s">
        <v>8</v>
      </c>
      <c r="H17" s="271">
        <v>12</v>
      </c>
      <c r="I17" s="272" t="s">
        <v>718</v>
      </c>
      <c r="J17" s="273" t="s">
        <v>26</v>
      </c>
      <c r="K17" s="273"/>
      <c r="L17" s="274" t="s">
        <v>716</v>
      </c>
    </row>
    <row r="18" spans="2:13" ht="15" thickBot="1" x14ac:dyDescent="0.2">
      <c r="B18" s="271">
        <v>2</v>
      </c>
      <c r="C18" s="272" t="s">
        <v>43</v>
      </c>
      <c r="D18" s="273" t="str">
        <f t="shared" si="0"/>
        <v>金沢市</v>
      </c>
      <c r="E18" s="273" t="s">
        <v>7</v>
      </c>
      <c r="F18" s="274"/>
      <c r="H18" s="286"/>
      <c r="I18" s="287"/>
      <c r="J18" s="288"/>
      <c r="K18" s="288"/>
      <c r="L18" s="289"/>
    </row>
    <row r="19" spans="2:13" x14ac:dyDescent="0.15">
      <c r="B19" s="271">
        <v>21</v>
      </c>
      <c r="C19" s="272" t="s">
        <v>44</v>
      </c>
      <c r="D19" s="273" t="str">
        <f t="shared" si="0"/>
        <v>金沢市</v>
      </c>
      <c r="E19" s="273" t="s">
        <v>7</v>
      </c>
      <c r="F19" s="274"/>
    </row>
    <row r="20" spans="2:13" ht="15" thickBot="1" x14ac:dyDescent="0.2">
      <c r="B20" s="271">
        <v>13</v>
      </c>
      <c r="C20" s="272" t="s">
        <v>45</v>
      </c>
      <c r="D20" s="273" t="str">
        <f t="shared" si="0"/>
        <v>金沢市</v>
      </c>
      <c r="E20" s="273" t="s">
        <v>7</v>
      </c>
      <c r="F20" s="274"/>
      <c r="H20" s="258" t="s">
        <v>46</v>
      </c>
    </row>
    <row r="21" spans="2:13" ht="15" thickBot="1" x14ac:dyDescent="0.2">
      <c r="B21" s="271">
        <v>17</v>
      </c>
      <c r="C21" s="272" t="s">
        <v>47</v>
      </c>
      <c r="D21" s="273" t="s">
        <v>7</v>
      </c>
      <c r="E21" s="273" t="s">
        <v>7</v>
      </c>
      <c r="F21" s="274"/>
      <c r="H21" s="259" t="s">
        <v>2</v>
      </c>
      <c r="I21" s="260" t="s">
        <v>3</v>
      </c>
      <c r="J21" s="261" t="s">
        <v>4</v>
      </c>
      <c r="K21" s="606" t="s">
        <v>5</v>
      </c>
      <c r="L21" s="607"/>
    </row>
    <row r="22" spans="2:13" ht="29.25" thickTop="1" x14ac:dyDescent="0.15">
      <c r="B22" s="271">
        <v>15</v>
      </c>
      <c r="C22" s="272" t="s">
        <v>48</v>
      </c>
      <c r="D22" s="273" t="s">
        <v>7</v>
      </c>
      <c r="E22" s="273"/>
      <c r="F22" s="274" t="s">
        <v>697</v>
      </c>
      <c r="G22" s="290" t="s">
        <v>49</v>
      </c>
      <c r="H22" s="291"/>
      <c r="I22" s="292" t="s">
        <v>50</v>
      </c>
      <c r="J22" s="293" t="s">
        <v>51</v>
      </c>
      <c r="K22" s="293" t="s">
        <v>52</v>
      </c>
      <c r="L22" s="294"/>
      <c r="M22" s="258" t="s">
        <v>21</v>
      </c>
    </row>
    <row r="23" spans="2:13" x14ac:dyDescent="0.15">
      <c r="B23" s="271">
        <v>1</v>
      </c>
      <c r="C23" s="272" t="s">
        <v>53</v>
      </c>
      <c r="D23" s="273" t="s">
        <v>7</v>
      </c>
      <c r="E23" s="273"/>
      <c r="F23" s="274" t="s">
        <v>698</v>
      </c>
      <c r="H23" s="271">
        <v>1</v>
      </c>
      <c r="I23" s="272" t="s">
        <v>54</v>
      </c>
      <c r="J23" s="273" t="s">
        <v>51</v>
      </c>
      <c r="K23" s="273" t="s">
        <v>55</v>
      </c>
      <c r="L23" s="274"/>
    </row>
    <row r="24" spans="2:13" x14ac:dyDescent="0.15">
      <c r="B24" s="271"/>
      <c r="C24" s="283" t="s">
        <v>56</v>
      </c>
      <c r="D24" s="284" t="s">
        <v>7</v>
      </c>
      <c r="E24" s="284" t="s">
        <v>57</v>
      </c>
      <c r="F24" s="285"/>
      <c r="H24" s="271">
        <v>2</v>
      </c>
      <c r="I24" s="272" t="s">
        <v>58</v>
      </c>
      <c r="J24" s="273" t="s">
        <v>59</v>
      </c>
      <c r="K24" s="273" t="s">
        <v>60</v>
      </c>
      <c r="L24" s="274"/>
    </row>
    <row r="25" spans="2:13" x14ac:dyDescent="0.15">
      <c r="B25" s="281"/>
      <c r="C25" s="278" t="s">
        <v>61</v>
      </c>
      <c r="D25" s="279" t="s">
        <v>7</v>
      </c>
      <c r="E25" s="279"/>
      <c r="F25" s="280"/>
      <c r="G25" s="258" t="s">
        <v>21</v>
      </c>
      <c r="H25" s="271">
        <v>5</v>
      </c>
      <c r="I25" s="272" t="s">
        <v>62</v>
      </c>
      <c r="J25" s="273" t="str">
        <f>K25</f>
        <v>七尾市</v>
      </c>
      <c r="K25" s="273" t="s">
        <v>63</v>
      </c>
      <c r="L25" s="274"/>
    </row>
    <row r="26" spans="2:13" ht="28.5" x14ac:dyDescent="0.15">
      <c r="B26" s="271">
        <v>12</v>
      </c>
      <c r="C26" s="272" t="s">
        <v>64</v>
      </c>
      <c r="D26" s="273" t="s">
        <v>7</v>
      </c>
      <c r="E26" s="273"/>
      <c r="F26" s="274" t="s">
        <v>699</v>
      </c>
      <c r="H26" s="271">
        <v>3</v>
      </c>
      <c r="I26" s="272" t="s">
        <v>65</v>
      </c>
      <c r="J26" s="273" t="str">
        <f>K26</f>
        <v>七尾市</v>
      </c>
      <c r="K26" s="273" t="s">
        <v>63</v>
      </c>
      <c r="L26" s="274"/>
    </row>
    <row r="27" spans="2:13" x14ac:dyDescent="0.15">
      <c r="B27" s="281"/>
      <c r="C27" s="278" t="s">
        <v>66</v>
      </c>
      <c r="D27" s="279" t="s">
        <v>67</v>
      </c>
      <c r="E27" s="279" t="s">
        <v>67</v>
      </c>
      <c r="F27" s="280"/>
      <c r="G27" s="258" t="s">
        <v>21</v>
      </c>
      <c r="H27" s="281"/>
      <c r="I27" s="278" t="s">
        <v>68</v>
      </c>
      <c r="J27" s="279" t="s">
        <v>63</v>
      </c>
      <c r="K27" s="279" t="s">
        <v>63</v>
      </c>
      <c r="L27" s="280"/>
      <c r="M27" s="258" t="s">
        <v>21</v>
      </c>
    </row>
    <row r="28" spans="2:13" x14ac:dyDescent="0.15">
      <c r="B28" s="271">
        <v>16</v>
      </c>
      <c r="C28" s="272" t="s">
        <v>69</v>
      </c>
      <c r="D28" s="273" t="s">
        <v>70</v>
      </c>
      <c r="E28" s="273" t="s">
        <v>71</v>
      </c>
      <c r="F28" s="274"/>
      <c r="H28" s="271">
        <v>4</v>
      </c>
      <c r="I28" s="272" t="s">
        <v>72</v>
      </c>
      <c r="J28" s="273" t="s">
        <v>73</v>
      </c>
      <c r="K28" s="273" t="s">
        <v>73</v>
      </c>
      <c r="L28" s="274"/>
    </row>
    <row r="29" spans="2:13" x14ac:dyDescent="0.15">
      <c r="B29" s="271">
        <v>3</v>
      </c>
      <c r="C29" s="272" t="s">
        <v>74</v>
      </c>
      <c r="D29" s="273" t="s">
        <v>70</v>
      </c>
      <c r="E29" s="273" t="s">
        <v>75</v>
      </c>
      <c r="F29" s="274"/>
      <c r="H29" s="271"/>
      <c r="I29" s="272"/>
      <c r="J29" s="273"/>
      <c r="K29" s="273"/>
      <c r="L29" s="274"/>
    </row>
    <row r="30" spans="2:13" x14ac:dyDescent="0.15">
      <c r="B30" s="271">
        <v>22</v>
      </c>
      <c r="C30" s="272" t="s">
        <v>76</v>
      </c>
      <c r="D30" s="273" t="s">
        <v>70</v>
      </c>
      <c r="E30" s="273" t="s">
        <v>75</v>
      </c>
      <c r="F30" s="274"/>
      <c r="H30" s="271"/>
      <c r="I30" s="272"/>
      <c r="J30" s="273"/>
      <c r="K30" s="273"/>
      <c r="L30" s="274"/>
    </row>
    <row r="31" spans="2:13" ht="28.5" x14ac:dyDescent="0.15">
      <c r="B31" s="271">
        <v>9</v>
      </c>
      <c r="C31" s="272" t="s">
        <v>725</v>
      </c>
      <c r="D31" s="273" t="s">
        <v>7</v>
      </c>
      <c r="E31" s="273"/>
      <c r="F31" s="274" t="s">
        <v>707</v>
      </c>
      <c r="G31" s="258" t="s">
        <v>8</v>
      </c>
      <c r="H31" s="271"/>
      <c r="I31" s="272"/>
      <c r="J31" s="273"/>
      <c r="K31" s="273"/>
      <c r="L31" s="274"/>
    </row>
    <row r="32" spans="2:13" ht="29.25" thickBot="1" x14ac:dyDescent="0.2">
      <c r="B32" s="286">
        <v>14</v>
      </c>
      <c r="C32" s="287" t="s">
        <v>724</v>
      </c>
      <c r="D32" s="288" t="s">
        <v>7</v>
      </c>
      <c r="E32" s="288"/>
      <c r="F32" s="289" t="s">
        <v>702</v>
      </c>
      <c r="G32" s="258" t="s">
        <v>8</v>
      </c>
      <c r="H32" s="286"/>
      <c r="I32" s="287"/>
      <c r="J32" s="288"/>
      <c r="K32" s="288"/>
      <c r="L32" s="289"/>
    </row>
    <row r="33" spans="3:6" x14ac:dyDescent="0.15">
      <c r="C33" s="295" t="s">
        <v>700</v>
      </c>
      <c r="F33" s="258" t="s">
        <v>696</v>
      </c>
    </row>
  </sheetData>
  <mergeCells count="3">
    <mergeCell ref="E2:F2"/>
    <mergeCell ref="K2:L2"/>
    <mergeCell ref="K21:L21"/>
  </mergeCells>
  <phoneticPr fontId="2"/>
  <dataValidations count="1">
    <dataValidation imeMode="off" allowBlank="1" showInputMessage="1" showErrorMessage="1" sqref="H22:H32 H3:H18 B3:B32" xr:uid="{1DCE1408-C153-4EC9-9B39-520F8BE2FBEC}"/>
  </dataValidations>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DB55"/>
  <sheetViews>
    <sheetView showGridLines="0" topLeftCell="C1" zoomScale="90" zoomScaleNormal="90" zoomScaleSheetLayoutView="100" workbookViewId="0">
      <selection activeCell="CN18" sqref="CN18"/>
    </sheetView>
  </sheetViews>
  <sheetFormatPr defaultColWidth="9" defaultRowHeight="14.25" x14ac:dyDescent="0.15"/>
  <cols>
    <col min="1" max="1" width="8.625" style="31" hidden="1" customWidth="1"/>
    <col min="2" max="2" width="8.375" style="62" hidden="1" customWidth="1"/>
    <col min="3" max="3" width="5" style="62" customWidth="1"/>
    <col min="4" max="5" width="0.625" style="31" customWidth="1"/>
    <col min="6" max="6" width="2.375" style="64" customWidth="1"/>
    <col min="7" max="7" width="3" style="61" customWidth="1"/>
    <col min="8" max="8" width="2.375" style="65" customWidth="1"/>
    <col min="9" max="12" width="0.625" style="31" customWidth="1"/>
    <col min="13" max="13" width="2.375" style="64" customWidth="1"/>
    <col min="14" max="14" width="3" style="61" customWidth="1"/>
    <col min="15" max="15" width="2.375" style="65" customWidth="1"/>
    <col min="16" max="19" width="0.625" style="31" customWidth="1"/>
    <col min="20" max="20" width="2.375" style="64" customWidth="1"/>
    <col min="21" max="21" width="3" style="61" customWidth="1"/>
    <col min="22" max="22" width="2.375" style="65" customWidth="1"/>
    <col min="23" max="24" width="0.625" style="31" customWidth="1"/>
    <col min="25" max="28" width="5" style="62" customWidth="1"/>
    <col min="29" max="29" width="9" style="62" hidden="1" customWidth="1"/>
    <col min="30" max="30" width="1.875" style="62" customWidth="1"/>
    <col min="31" max="31" width="7.625" style="62" hidden="1" customWidth="1"/>
    <col min="32" max="32" width="5" style="62" customWidth="1"/>
    <col min="33" max="34" width="0.625" style="62" customWidth="1"/>
    <col min="35" max="35" width="2.375" style="62" customWidth="1"/>
    <col min="36" max="36" width="3" style="62" customWidth="1"/>
    <col min="37" max="37" width="2.375" style="62" customWidth="1"/>
    <col min="38" max="41" width="0.625" style="62" customWidth="1"/>
    <col min="42" max="42" width="2.375" style="62" customWidth="1"/>
    <col min="43" max="43" width="3" style="62" customWidth="1"/>
    <col min="44" max="44" width="2.375" style="62" customWidth="1"/>
    <col min="45" max="48" width="0.625" style="62" customWidth="1"/>
    <col min="49" max="49" width="2.375" style="62" customWidth="1"/>
    <col min="50" max="50" width="3" style="62" customWidth="1"/>
    <col min="51" max="51" width="2.375" style="62" customWidth="1"/>
    <col min="52" max="53" width="0.625" style="62" customWidth="1"/>
    <col min="54" max="55" width="2" style="62" customWidth="1"/>
    <col min="56" max="56" width="2.375" style="62" customWidth="1"/>
    <col min="57" max="57" width="2.5" style="62" customWidth="1"/>
    <col min="58" max="58" width="2.375" style="62" customWidth="1"/>
    <col min="59" max="60" width="0.625" style="62" customWidth="1"/>
    <col min="61" max="64" width="5" style="62" customWidth="1"/>
    <col min="65" max="65" width="9" style="62" hidden="1" customWidth="1"/>
    <col min="66" max="70" width="2.375" style="62" customWidth="1"/>
    <col min="71" max="71" width="4.125" style="62" customWidth="1"/>
    <col min="72" max="104" width="2.375" style="62" customWidth="1"/>
    <col min="105" max="16384" width="9" style="62"/>
  </cols>
  <sheetData>
    <row r="1" spans="1:75" ht="24.75" x14ac:dyDescent="0.15">
      <c r="C1" s="63" t="str">
        <f ca="1">"令和"&amp;IF(YEAR(NOW())=2019,"元",YEAR(NOW())-2018)&amp;"年度 第"&amp;YEAR(NOW())-1999&amp;"回 全能登中学校サッカー大会"</f>
        <v>令和6年度 第25回 全能登中学校サッカー大会</v>
      </c>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row>
    <row r="2" spans="1:75" x14ac:dyDescent="0.15">
      <c r="AH2" s="31"/>
      <c r="AI2" s="31"/>
      <c r="AJ2" s="64"/>
      <c r="AK2" s="61"/>
      <c r="AL2" s="65"/>
      <c r="AM2" s="31"/>
      <c r="AN2" s="31"/>
      <c r="AO2" s="31"/>
      <c r="AP2" s="31"/>
      <c r="AQ2" s="64"/>
      <c r="AR2" s="61"/>
      <c r="AS2" s="65"/>
      <c r="AT2" s="31"/>
      <c r="AU2" s="31"/>
      <c r="AV2" s="31"/>
      <c r="AW2" s="31"/>
      <c r="AX2" s="64"/>
      <c r="AY2" s="61"/>
      <c r="AZ2" s="65"/>
      <c r="BA2" s="31"/>
      <c r="BB2" s="31"/>
    </row>
    <row r="3" spans="1:75" ht="25.5" customHeight="1" x14ac:dyDescent="0.15">
      <c r="A3" s="31" t="str">
        <f>IF(CB35=CF35,"",IF(CB35&gt;CF35,BV37,CL37))</f>
        <v/>
      </c>
      <c r="F3" s="634" t="s">
        <v>77</v>
      </c>
      <c r="G3" s="634"/>
      <c r="H3" s="634"/>
      <c r="I3" s="650" t="str">
        <f>IF(A3="","",IF(VLOOKUP(A3,予選学校名!$I$3:$L$32,3,FALSE)="",IF(VLOOKUP(A3,予選学校名!$I$3:$L$32,4,FALSE)="","",VLOOKUP(A3,予選学校名!$I$3:$L$32,4,FALSE)),VLOOKUP(A3,予選学校名!$I$3:$L$32,3,FALSE)&amp;"立")&amp;A3&amp;"中学校")</f>
        <v/>
      </c>
      <c r="J3" s="650"/>
      <c r="K3" s="650"/>
      <c r="L3" s="650"/>
      <c r="M3" s="650"/>
      <c r="N3" s="650"/>
      <c r="O3" s="650"/>
      <c r="P3" s="650"/>
      <c r="Q3" s="650"/>
      <c r="R3" s="650"/>
      <c r="S3" s="650"/>
      <c r="T3" s="650"/>
      <c r="U3" s="650"/>
      <c r="V3" s="650"/>
      <c r="W3" s="650"/>
      <c r="X3" s="650"/>
      <c r="Y3" s="650"/>
      <c r="Z3" s="650"/>
      <c r="AA3" s="205" t="str">
        <f>IF(A3="","","（"&amp;VLOOKUP(A3,予選学校名!$I$3:$L$32,2,FALSE)&amp;")")</f>
        <v/>
      </c>
      <c r="AB3" s="205"/>
      <c r="AC3" s="621" t="s">
        <v>78</v>
      </c>
      <c r="AD3" s="621"/>
      <c r="AE3" s="621"/>
      <c r="AF3" s="621"/>
      <c r="AG3" s="621"/>
      <c r="AH3" s="621"/>
      <c r="AI3" s="621"/>
    </row>
    <row r="4" spans="1:75" ht="25.5" customHeight="1" x14ac:dyDescent="0.15">
      <c r="A4" s="31" t="str">
        <f>IF(CB35=CF35,"",IF(CB35&lt;CF35,BV37,CL37))</f>
        <v/>
      </c>
      <c r="F4" s="634" t="s">
        <v>79</v>
      </c>
      <c r="G4" s="634"/>
      <c r="H4" s="634"/>
      <c r="I4" s="650" t="str">
        <f>IF(A4="","",IF(VLOOKUP(A4,予選学校名!$I$3:$L$32,3,FALSE)="",IF(VLOOKUP(A4,予選学校名!$I$3:$L$32,4,FALSE)="","",VLOOKUP(A4,予選学校名!$I$3:$L$32,4,FALSE)),VLOOKUP(A4,予選学校名!$I$3:$L$32,3,FALSE)&amp;"立")&amp;A4&amp;"中学校")</f>
        <v/>
      </c>
      <c r="J4" s="650"/>
      <c r="K4" s="650"/>
      <c r="L4" s="650"/>
      <c r="M4" s="650"/>
      <c r="N4" s="650"/>
      <c r="O4" s="650"/>
      <c r="P4" s="650"/>
      <c r="Q4" s="650"/>
      <c r="R4" s="650"/>
      <c r="S4" s="650"/>
      <c r="T4" s="650"/>
      <c r="U4" s="650"/>
      <c r="V4" s="650"/>
      <c r="W4" s="650"/>
      <c r="X4" s="650"/>
      <c r="Y4" s="650"/>
      <c r="Z4" s="650"/>
      <c r="AA4" s="205" t="str">
        <f>IF(A4="","","（"&amp;VLOOKUP(A4,予選学校名!$I$3:$L$32,2,FALSE)&amp;")")</f>
        <v/>
      </c>
      <c r="AB4" s="256"/>
      <c r="AC4" s="621" t="s">
        <v>78</v>
      </c>
      <c r="AD4" s="621"/>
      <c r="AE4" s="621"/>
      <c r="AF4" s="621"/>
      <c r="AG4" s="621"/>
      <c r="AH4" s="621"/>
      <c r="AI4" s="621"/>
    </row>
    <row r="5" spans="1:75" ht="25.5" customHeight="1" x14ac:dyDescent="0.15">
      <c r="A5" s="31" t="str">
        <f>IF(A3="","",IF(OR(A3=BU51,A3=CA51),CR51,CX51))</f>
        <v/>
      </c>
      <c r="F5" s="634" t="s">
        <v>80</v>
      </c>
      <c r="G5" s="634"/>
      <c r="H5" s="634"/>
      <c r="I5" s="650" t="str">
        <f>IF(A5="","",IF(VLOOKUP(A5,予選学校名!$I$3:$L$32,3,FALSE)="",IF(VLOOKUP(A5,予選学校名!$I$3:$L$32,4,FALSE)="","",VLOOKUP(A5,予選学校名!$I$3:$L$32,4,FALSE)),VLOOKUP(A5,予選学校名!$I$3:$L$32,3,FALSE)&amp;"立")&amp;A5&amp;"中学校")</f>
        <v/>
      </c>
      <c r="J5" s="650"/>
      <c r="K5" s="650"/>
      <c r="L5" s="650"/>
      <c r="M5" s="650"/>
      <c r="N5" s="650"/>
      <c r="O5" s="650"/>
      <c r="P5" s="650"/>
      <c r="Q5" s="650"/>
      <c r="R5" s="650"/>
      <c r="S5" s="650"/>
      <c r="T5" s="650"/>
      <c r="U5" s="650"/>
      <c r="V5" s="650"/>
      <c r="W5" s="650"/>
      <c r="X5" s="650"/>
      <c r="Y5" s="650"/>
      <c r="Z5" s="650"/>
      <c r="AA5" s="205" t="str">
        <f>IF(A5="","","（"&amp;VLOOKUP(A5,予選学校名!$I$3:$L$32,2,FALSE)&amp;")")</f>
        <v/>
      </c>
      <c r="AB5" s="256"/>
      <c r="AC5" s="621"/>
      <c r="AD5" s="621"/>
      <c r="AE5" s="621"/>
      <c r="AF5" s="621"/>
      <c r="AG5" s="621"/>
      <c r="AH5" s="621"/>
      <c r="AI5" s="621"/>
      <c r="AJ5" s="61"/>
      <c r="AK5" s="65"/>
      <c r="AL5" s="31"/>
      <c r="AM5" s="31"/>
      <c r="AN5" s="31"/>
      <c r="AO5" s="31"/>
      <c r="AP5" s="64"/>
      <c r="AQ5" s="61"/>
      <c r="AR5" s="65"/>
      <c r="AS5" s="31"/>
      <c r="AT5" s="31"/>
      <c r="AU5" s="31"/>
      <c r="AV5" s="31"/>
      <c r="AW5" s="64"/>
      <c r="AX5" s="61"/>
      <c r="AY5" s="65"/>
      <c r="AZ5" s="31"/>
      <c r="BA5" s="31"/>
      <c r="BB5" s="31"/>
      <c r="BC5" s="31"/>
    </row>
    <row r="6" spans="1:75" ht="25.5" customHeight="1" x14ac:dyDescent="0.15">
      <c r="A6" s="31" t="str">
        <f>IF(A3="","",IF(A5=CR51,CX51,CR51))</f>
        <v/>
      </c>
      <c r="I6" s="650" t="str">
        <f>IF(A6="","",IF(VLOOKUP(A6,予選学校名!$I$3:$L$32,3,FALSE)="",IF(VLOOKUP(A6,予選学校名!$I$3:$L$32,4,FALSE)="","",VLOOKUP(A6,予選学校名!$I$3:$L$32,4,FALSE)),VLOOKUP(A6,予選学校名!$I$3:$L$32,3,FALSE)&amp;"立")&amp;A6&amp;"中学校")</f>
        <v/>
      </c>
      <c r="J6" s="650"/>
      <c r="K6" s="650"/>
      <c r="L6" s="650"/>
      <c r="M6" s="650"/>
      <c r="N6" s="650"/>
      <c r="O6" s="650"/>
      <c r="P6" s="650"/>
      <c r="Q6" s="650"/>
      <c r="R6" s="650"/>
      <c r="S6" s="650"/>
      <c r="T6" s="650"/>
      <c r="U6" s="650"/>
      <c r="V6" s="650"/>
      <c r="W6" s="650"/>
      <c r="X6" s="650"/>
      <c r="Y6" s="650"/>
      <c r="Z6" s="650"/>
      <c r="AA6" s="205" t="str">
        <f>IF(A6="","","（"&amp;VLOOKUP(A6,予選学校名!$I$3:$L$32,2,FALSE)&amp;")")</f>
        <v/>
      </c>
      <c r="AB6" s="256"/>
      <c r="AG6" s="31"/>
      <c r="AH6" s="31"/>
      <c r="AI6" s="64"/>
      <c r="AJ6" s="61"/>
      <c r="AK6" s="65"/>
      <c r="AL6" s="31"/>
      <c r="AM6" s="31"/>
      <c r="AN6" s="31"/>
      <c r="AO6" s="31"/>
      <c r="AP6" s="64"/>
      <c r="AQ6" s="61"/>
      <c r="AR6" s="65"/>
      <c r="AS6" s="31"/>
      <c r="AT6" s="31"/>
      <c r="AU6" s="31"/>
      <c r="AV6" s="31"/>
      <c r="AW6" s="64"/>
      <c r="AX6" s="61"/>
      <c r="AY6" s="65"/>
      <c r="AZ6" s="31"/>
      <c r="BA6" s="31"/>
      <c r="BB6" s="31"/>
      <c r="BC6" s="31"/>
    </row>
    <row r="7" spans="1:75" x14ac:dyDescent="0.15">
      <c r="AH7" s="31"/>
      <c r="AI7" s="31"/>
      <c r="AJ7" s="64"/>
      <c r="AK7" s="61"/>
      <c r="AL7" s="65"/>
      <c r="AM7" s="31"/>
      <c r="AN7" s="31"/>
      <c r="AO7" s="31"/>
      <c r="AP7" s="31"/>
      <c r="AQ7" s="64"/>
      <c r="AR7" s="61"/>
      <c r="AS7" s="65"/>
      <c r="AT7" s="31"/>
      <c r="AU7" s="31"/>
      <c r="AV7" s="31"/>
      <c r="AW7" s="31"/>
      <c r="AX7" s="64"/>
      <c r="AY7" s="61"/>
      <c r="AZ7" s="65"/>
      <c r="BA7" s="31"/>
      <c r="BB7" s="31"/>
    </row>
    <row r="8" spans="1:75" s="68" customFormat="1" ht="18" x14ac:dyDescent="0.15">
      <c r="A8" s="67"/>
      <c r="C8" s="68" t="s">
        <v>81</v>
      </c>
      <c r="D8" s="67"/>
      <c r="E8" s="67"/>
      <c r="F8" s="69"/>
      <c r="G8" s="70"/>
      <c r="H8" s="71"/>
      <c r="I8" s="67"/>
      <c r="J8" s="67"/>
      <c r="K8" s="67"/>
      <c r="L8" s="67"/>
      <c r="M8" s="69"/>
      <c r="N8" s="70"/>
      <c r="O8" s="71"/>
      <c r="P8" s="67"/>
      <c r="Q8" s="67"/>
      <c r="R8" s="67"/>
      <c r="S8" s="67"/>
      <c r="T8" s="69"/>
      <c r="U8" s="70"/>
      <c r="V8" s="71"/>
      <c r="W8" s="67"/>
      <c r="X8" s="67"/>
      <c r="AF8" s="68" t="s">
        <v>82</v>
      </c>
      <c r="AG8" s="67"/>
      <c r="AH8" s="67"/>
      <c r="AI8" s="69"/>
      <c r="AJ8" s="70"/>
      <c r="AK8" s="71"/>
      <c r="AL8" s="67"/>
      <c r="AM8" s="67"/>
      <c r="AN8" s="67"/>
      <c r="AO8" s="67"/>
      <c r="AP8" s="69"/>
      <c r="AQ8" s="70"/>
      <c r="AR8" s="71"/>
      <c r="AS8" s="67"/>
      <c r="AT8" s="67"/>
      <c r="AU8" s="67"/>
      <c r="AV8" s="67"/>
      <c r="AW8" s="69"/>
      <c r="AX8" s="70"/>
      <c r="AY8" s="71"/>
      <c r="AZ8" s="67"/>
      <c r="BA8" s="67"/>
      <c r="BR8" s="68" t="s">
        <v>83</v>
      </c>
      <c r="BT8" s="68" t="s">
        <v>84</v>
      </c>
      <c r="BU8" s="68" t="s">
        <v>85</v>
      </c>
      <c r="BV8" s="68" t="s">
        <v>86</v>
      </c>
      <c r="BW8" s="68" t="s">
        <v>87</v>
      </c>
    </row>
    <row r="9" spans="1:75" ht="30" customHeight="1" x14ac:dyDescent="0.15">
      <c r="C9" s="72"/>
      <c r="D9" s="613" t="str">
        <f>C10</f>
        <v>志賀</v>
      </c>
      <c r="E9" s="613"/>
      <c r="F9" s="613"/>
      <c r="G9" s="613"/>
      <c r="H9" s="613"/>
      <c r="I9" s="613"/>
      <c r="J9" s="613"/>
      <c r="K9" s="613" t="str">
        <f>C14</f>
        <v>中能登</v>
      </c>
      <c r="L9" s="613"/>
      <c r="M9" s="613"/>
      <c r="N9" s="613"/>
      <c r="O9" s="613"/>
      <c r="P9" s="613"/>
      <c r="Q9" s="613"/>
      <c r="R9" s="613" t="str">
        <f>C18</f>
        <v>七尾</v>
      </c>
      <c r="S9" s="613"/>
      <c r="T9" s="613"/>
      <c r="U9" s="613"/>
      <c r="V9" s="613"/>
      <c r="W9" s="613"/>
      <c r="X9" s="613"/>
      <c r="Y9" s="73" t="s">
        <v>88</v>
      </c>
      <c r="Z9" s="74" t="s">
        <v>89</v>
      </c>
      <c r="AA9" s="73" t="s">
        <v>90</v>
      </c>
      <c r="AB9" s="73" t="s">
        <v>91</v>
      </c>
      <c r="AF9" s="72"/>
      <c r="AG9" s="613" t="str">
        <f>AF10</f>
        <v>輪島</v>
      </c>
      <c r="AH9" s="613"/>
      <c r="AI9" s="613"/>
      <c r="AJ9" s="613"/>
      <c r="AK9" s="613"/>
      <c r="AL9" s="613"/>
      <c r="AM9" s="613"/>
      <c r="AN9" s="613" t="str">
        <f>AF14</f>
        <v>七尾東部</v>
      </c>
      <c r="AO9" s="613"/>
      <c r="AP9" s="613"/>
      <c r="AQ9" s="613"/>
      <c r="AR9" s="613"/>
      <c r="AS9" s="613"/>
      <c r="AT9" s="613"/>
      <c r="AU9" s="613" t="str">
        <f>AF18</f>
        <v/>
      </c>
      <c r="AV9" s="613"/>
      <c r="AW9" s="613"/>
      <c r="AX9" s="613"/>
      <c r="AY9" s="613"/>
      <c r="AZ9" s="613"/>
      <c r="BA9" s="613"/>
      <c r="BB9" s="608" t="s">
        <v>88</v>
      </c>
      <c r="BC9" s="608"/>
      <c r="BD9" s="608"/>
      <c r="BE9" s="609" t="s">
        <v>89</v>
      </c>
      <c r="BF9" s="609"/>
      <c r="BG9" s="609"/>
      <c r="BH9" s="609"/>
      <c r="BI9" s="73" t="s">
        <v>90</v>
      </c>
      <c r="BJ9" s="73" t="s">
        <v>91</v>
      </c>
    </row>
    <row r="10" spans="1:75" ht="19.5" customHeight="1" x14ac:dyDescent="0.15">
      <c r="C10" s="646" t="str">
        <f>IF(ISERROR(MATCH('能登(6時刻)'!B10,予選学校名!$H$22:$H$32,0)),"",INDEX(予選学校名!$H$22:$K$32,MATCH('能登(6時刻)'!B10,予選学校名!$H$22:$H$32,0),2))</f>
        <v>志賀</v>
      </c>
      <c r="D10" s="636"/>
      <c r="E10" s="637"/>
      <c r="F10" s="637"/>
      <c r="G10" s="638"/>
      <c r="H10" s="638"/>
      <c r="I10" s="638"/>
      <c r="J10" s="639"/>
      <c r="K10" s="610" t="str">
        <f>IF(M11="","",SUM(M11,M12))</f>
        <v/>
      </c>
      <c r="L10" s="611"/>
      <c r="M10" s="611"/>
      <c r="N10" s="75" t="str">
        <f>IF(K10="","",IF(K10&gt;O10,"○",IF(K10&lt;O10,"●","△")))</f>
        <v/>
      </c>
      <c r="O10" s="611" t="str">
        <f>IF(O11="","",SUM(O11,O12))</f>
        <v/>
      </c>
      <c r="P10" s="611"/>
      <c r="Q10" s="612"/>
      <c r="R10" s="610" t="str">
        <f>IF(T11="","",SUM(T11,T12))</f>
        <v/>
      </c>
      <c r="S10" s="611"/>
      <c r="T10" s="611"/>
      <c r="U10" s="75" t="str">
        <f>IF(R10="","",IF(R10&gt;V10,"○",IF(R10&lt;V10,"●","△")))</f>
        <v/>
      </c>
      <c r="V10" s="611" t="str">
        <f>IF(V11="","",SUM(V11,V12))</f>
        <v/>
      </c>
      <c r="W10" s="611"/>
      <c r="X10" s="612"/>
      <c r="Y10" s="608" t="str">
        <f>IF(COUNT(D11:X11)=0,"",COUNTIF(D10:X10,"○")*3+COUNTIF(D10:X10,"△"))</f>
        <v/>
      </c>
      <c r="Z10" s="608" t="str">
        <f>IF(Y10="","",SUM(H10:H21)/2-SUM(D10:D21))</f>
        <v/>
      </c>
      <c r="AA10" s="608" t="str">
        <f>IF(Y10="","",SUM(H10:H21)/2)</f>
        <v/>
      </c>
      <c r="AB10" s="608" t="str">
        <f>IF(OR(Y10="",MOD(COUNT(D10:X10),2)=1),"",RANK(AC10,$AC$10:$AC$21))</f>
        <v/>
      </c>
      <c r="AC10" s="76" t="str">
        <f>IF(OR(Y10="",MOD(COUNT(D10:X10),2)=1),"",Y10*10000+Z10*100+AA10)</f>
        <v/>
      </c>
      <c r="AD10" s="76"/>
      <c r="AF10" s="646" t="str">
        <f>IF(ISERROR(MATCH('能登(6時刻)'!AE10,予選学校名!$H$22:$H$32,0)),"",INDEX(予選学校名!$H$22:$K$32,MATCH('能登(6時刻)'!AE10,予選学校名!$H$22:$H$32,0),2))</f>
        <v>輪島</v>
      </c>
      <c r="AG10" s="636"/>
      <c r="AH10" s="637"/>
      <c r="AI10" s="637"/>
      <c r="AJ10" s="638"/>
      <c r="AK10" s="638"/>
      <c r="AL10" s="638"/>
      <c r="AM10" s="639"/>
      <c r="AN10" s="610" t="str">
        <f>IF(AP11="","",SUM(AP11,AP12))</f>
        <v/>
      </c>
      <c r="AO10" s="611"/>
      <c r="AP10" s="611"/>
      <c r="AQ10" s="75" t="str">
        <f>IF(AN10="","",IF(AN10&gt;AR10,"○",IF(AN10&lt;AR10,"●","△")))</f>
        <v/>
      </c>
      <c r="AR10" s="611" t="str">
        <f>IF(AR11="","",SUM(AR11,AR12))</f>
        <v/>
      </c>
      <c r="AS10" s="611"/>
      <c r="AT10" s="612"/>
      <c r="AU10" s="610" t="str">
        <f>IF(AW11="","",SUM(AW11,AW12))</f>
        <v/>
      </c>
      <c r="AV10" s="611"/>
      <c r="AW10" s="611"/>
      <c r="AX10" s="75" t="str">
        <f>IF(AU10="","",IF(AU10&gt;AY10,"○",IF(AU10&lt;AY10,"●","△")))</f>
        <v/>
      </c>
      <c r="AY10" s="611" t="str">
        <f>IF(AY11="","",SUM(AY11,AY12))</f>
        <v/>
      </c>
      <c r="AZ10" s="611"/>
      <c r="BA10" s="612"/>
      <c r="BB10" s="608" t="str">
        <f>IF(COUNT(AG11:BA11)=0,"",COUNTIF(AG10:BA10,"○")*3+COUNTIF(AG10:BA10,"△"))</f>
        <v/>
      </c>
      <c r="BC10" s="608"/>
      <c r="BD10" s="608"/>
      <c r="BE10" s="608" t="str">
        <f>IF(BB10="","",SUM(AK10:AK21)/2-SUM(AG10:AG21))</f>
        <v/>
      </c>
      <c r="BF10" s="608"/>
      <c r="BG10" s="608"/>
      <c r="BH10" s="608"/>
      <c r="BI10" s="608" t="str">
        <f>IF(BB10="","",SUM(AK10:AK21)/2)</f>
        <v/>
      </c>
      <c r="BJ10" s="647" t="str">
        <f>IF(OR(BB10="",MOD(COUNT(AG10:BA10),2)=1),"",RANK(BE10,$BE$10:$BE$21))</f>
        <v/>
      </c>
    </row>
    <row r="11" spans="1:75" ht="19.5" customHeight="1" x14ac:dyDescent="0.15">
      <c r="C11" s="646"/>
      <c r="D11" s="640"/>
      <c r="E11" s="641"/>
      <c r="F11" s="641"/>
      <c r="G11" s="641"/>
      <c r="H11" s="641"/>
      <c r="I11" s="641"/>
      <c r="J11" s="642"/>
      <c r="K11" s="77"/>
      <c r="M11" s="129"/>
      <c r="N11" s="61" t="s">
        <v>92</v>
      </c>
      <c r="O11" s="130"/>
      <c r="Q11" s="78"/>
      <c r="R11" s="77"/>
      <c r="T11" s="129"/>
      <c r="U11" s="61" t="s">
        <v>92</v>
      </c>
      <c r="V11" s="130"/>
      <c r="X11" s="78"/>
      <c r="Y11" s="608"/>
      <c r="Z11" s="608"/>
      <c r="AA11" s="608"/>
      <c r="AB11" s="608"/>
      <c r="AC11" s="76"/>
      <c r="AD11" s="76"/>
      <c r="AF11" s="646"/>
      <c r="AG11" s="640"/>
      <c r="AH11" s="641"/>
      <c r="AI11" s="641"/>
      <c r="AJ11" s="641"/>
      <c r="AK11" s="641"/>
      <c r="AL11" s="641"/>
      <c r="AM11" s="642"/>
      <c r="AN11" s="77"/>
      <c r="AO11" s="31"/>
      <c r="AP11" s="129"/>
      <c r="AQ11" s="61" t="s">
        <v>92</v>
      </c>
      <c r="AR11" s="130"/>
      <c r="AS11" s="31"/>
      <c r="AT11" s="78"/>
      <c r="AU11" s="77"/>
      <c r="AV11" s="31"/>
      <c r="AW11" s="129"/>
      <c r="AX11" s="61" t="s">
        <v>92</v>
      </c>
      <c r="AY11" s="130"/>
      <c r="AZ11" s="31"/>
      <c r="BA11" s="78"/>
      <c r="BB11" s="608"/>
      <c r="BC11" s="608"/>
      <c r="BD11" s="608"/>
      <c r="BE11" s="608"/>
      <c r="BF11" s="608"/>
      <c r="BG11" s="608"/>
      <c r="BH11" s="608"/>
      <c r="BI11" s="608"/>
      <c r="BJ11" s="648"/>
    </row>
    <row r="12" spans="1:75" ht="19.5" customHeight="1" x14ac:dyDescent="0.15">
      <c r="C12" s="646"/>
      <c r="D12" s="640"/>
      <c r="E12" s="641"/>
      <c r="F12" s="641"/>
      <c r="G12" s="641"/>
      <c r="H12" s="641"/>
      <c r="I12" s="641"/>
      <c r="J12" s="642"/>
      <c r="K12" s="77"/>
      <c r="M12" s="129"/>
      <c r="N12" s="61" t="s">
        <v>92</v>
      </c>
      <c r="O12" s="130"/>
      <c r="Q12" s="78"/>
      <c r="R12" s="77"/>
      <c r="T12" s="129"/>
      <c r="U12" s="61" t="s">
        <v>92</v>
      </c>
      <c r="V12" s="130"/>
      <c r="X12" s="78"/>
      <c r="Y12" s="608"/>
      <c r="Z12" s="608"/>
      <c r="AA12" s="608"/>
      <c r="AB12" s="608"/>
      <c r="AC12" s="76"/>
      <c r="AD12" s="76"/>
      <c r="AF12" s="646"/>
      <c r="AG12" s="640"/>
      <c r="AH12" s="641"/>
      <c r="AI12" s="641"/>
      <c r="AJ12" s="641"/>
      <c r="AK12" s="641"/>
      <c r="AL12" s="641"/>
      <c r="AM12" s="642"/>
      <c r="AN12" s="77"/>
      <c r="AO12" s="31"/>
      <c r="AP12" s="129"/>
      <c r="AQ12" s="61" t="s">
        <v>92</v>
      </c>
      <c r="AR12" s="130"/>
      <c r="AS12" s="31"/>
      <c r="AT12" s="78"/>
      <c r="AU12" s="77"/>
      <c r="AV12" s="31"/>
      <c r="AW12" s="129"/>
      <c r="AX12" s="61" t="s">
        <v>92</v>
      </c>
      <c r="AY12" s="130"/>
      <c r="AZ12" s="31"/>
      <c r="BA12" s="78"/>
      <c r="BB12" s="608"/>
      <c r="BC12" s="608"/>
      <c r="BD12" s="608"/>
      <c r="BE12" s="608"/>
      <c r="BF12" s="608"/>
      <c r="BG12" s="608"/>
      <c r="BH12" s="608"/>
      <c r="BI12" s="608"/>
      <c r="BJ12" s="648"/>
    </row>
    <row r="13" spans="1:75" ht="3.75" customHeight="1" x14ac:dyDescent="0.15">
      <c r="C13" s="646"/>
      <c r="D13" s="643"/>
      <c r="E13" s="644"/>
      <c r="F13" s="644"/>
      <c r="G13" s="644"/>
      <c r="H13" s="644"/>
      <c r="I13" s="644"/>
      <c r="J13" s="645"/>
      <c r="K13" s="79"/>
      <c r="L13" s="80"/>
      <c r="M13" s="81"/>
      <c r="N13" s="82"/>
      <c r="O13" s="83"/>
      <c r="P13" s="80"/>
      <c r="Q13" s="84"/>
      <c r="R13" s="79"/>
      <c r="S13" s="80"/>
      <c r="T13" s="81"/>
      <c r="U13" s="82"/>
      <c r="V13" s="83"/>
      <c r="W13" s="80"/>
      <c r="X13" s="84"/>
      <c r="Y13" s="608"/>
      <c r="Z13" s="608"/>
      <c r="AA13" s="608"/>
      <c r="AB13" s="608"/>
      <c r="AC13" s="76"/>
      <c r="AD13" s="76"/>
      <c r="AF13" s="646"/>
      <c r="AG13" s="643"/>
      <c r="AH13" s="644"/>
      <c r="AI13" s="644"/>
      <c r="AJ13" s="644"/>
      <c r="AK13" s="644"/>
      <c r="AL13" s="644"/>
      <c r="AM13" s="645"/>
      <c r="AN13" s="79"/>
      <c r="AO13" s="80"/>
      <c r="AP13" s="81"/>
      <c r="AQ13" s="82"/>
      <c r="AR13" s="83"/>
      <c r="AS13" s="80"/>
      <c r="AT13" s="84"/>
      <c r="AU13" s="79"/>
      <c r="AV13" s="80"/>
      <c r="AW13" s="81"/>
      <c r="AX13" s="82"/>
      <c r="AY13" s="83"/>
      <c r="AZ13" s="80"/>
      <c r="BA13" s="84"/>
      <c r="BB13" s="608"/>
      <c r="BC13" s="608"/>
      <c r="BD13" s="608"/>
      <c r="BE13" s="608"/>
      <c r="BF13" s="608"/>
      <c r="BG13" s="608"/>
      <c r="BH13" s="608"/>
      <c r="BI13" s="608"/>
      <c r="BJ13" s="649"/>
    </row>
    <row r="14" spans="1:75" ht="19.5" customHeight="1" x14ac:dyDescent="0.15">
      <c r="C14" s="646" t="str">
        <f>IF(ISERROR(MATCH('能登(6時刻)'!B14,予選学校名!$H$22:$H$32,0)),"",INDEX(予選学校名!$H$22:$K$32,MATCH('能登(6時刻)'!B14,予選学校名!$H$22:$H$32,0),2))</f>
        <v>中能登</v>
      </c>
      <c r="D14" s="610" t="str">
        <f>IF(F15="","",SUM(F15,F16))</f>
        <v/>
      </c>
      <c r="E14" s="611"/>
      <c r="F14" s="611"/>
      <c r="G14" s="75" t="str">
        <f>IF(D14="","",IF(D14&gt;H14,"○",IF(D14&lt;H14,"●","△")))</f>
        <v/>
      </c>
      <c r="H14" s="611" t="str">
        <f>IF(H15="","",SUM(H15,H16))</f>
        <v/>
      </c>
      <c r="I14" s="611"/>
      <c r="J14" s="612"/>
      <c r="K14" s="636"/>
      <c r="L14" s="637"/>
      <c r="M14" s="637"/>
      <c r="N14" s="638"/>
      <c r="O14" s="638"/>
      <c r="P14" s="638"/>
      <c r="Q14" s="639"/>
      <c r="R14" s="610" t="str">
        <f>IF(T15="","",SUM(T15,T16))</f>
        <v/>
      </c>
      <c r="S14" s="611"/>
      <c r="T14" s="611"/>
      <c r="U14" s="75" t="str">
        <f>IF(R14="","",IF(R14&gt;V14,"○",IF(R14&lt;V14,"●","△")))</f>
        <v/>
      </c>
      <c r="V14" s="611" t="str">
        <f>IF(V15="","",SUM(V15,V16))</f>
        <v/>
      </c>
      <c r="W14" s="611"/>
      <c r="X14" s="612"/>
      <c r="Y14" s="608" t="str">
        <f>IF(COUNT(D15:X15)=0,"",COUNTIF(D14:X14,"○")*3+COUNTIF(D14:X14,"△"))</f>
        <v/>
      </c>
      <c r="Z14" s="608" t="str">
        <f>IF(Y14="","",SUM(O10:O21)/2-SUM(K10:K21))</f>
        <v/>
      </c>
      <c r="AA14" s="608" t="str">
        <f>IF(Y14="","",SUM(O10:O21)/2)</f>
        <v/>
      </c>
      <c r="AB14" s="608" t="str">
        <f>IF(OR(Y14="",MOD(COUNT(D14:X14),2)=1),"",RANK(AC14,$AC$10:$AC$21))</f>
        <v/>
      </c>
      <c r="AC14" s="76" t="str">
        <f>IF(OR(Y14="",MOD(COUNT(D14:X14),2)=1),"",Y14*10000+Z14*100+AA14)</f>
        <v/>
      </c>
      <c r="AD14" s="76"/>
      <c r="AF14" s="646" t="str">
        <f>IF(ISERROR(MATCH('能登(6時刻)'!AE14,予選学校名!$H$22:$H$32,0)),"",INDEX(予選学校名!$H$22:$K$32,MATCH('能登(6時刻)'!AE14,予選学校名!$H$22:$H$32,0),2))</f>
        <v>七尾東部</v>
      </c>
      <c r="AG14" s="610" t="str">
        <f>IF(AI15="","",SUM(AI15,AI16))</f>
        <v/>
      </c>
      <c r="AH14" s="611"/>
      <c r="AI14" s="611"/>
      <c r="AJ14" s="75" t="str">
        <f>IF(AG14="","",IF(AG14&gt;AK14,"○",IF(AG14&lt;AK14,"●","△")))</f>
        <v/>
      </c>
      <c r="AK14" s="611" t="str">
        <f>IF(AK15="","",SUM(AK15,AK16))</f>
        <v/>
      </c>
      <c r="AL14" s="611"/>
      <c r="AM14" s="612"/>
      <c r="AN14" s="636"/>
      <c r="AO14" s="637"/>
      <c r="AP14" s="637"/>
      <c r="AQ14" s="638"/>
      <c r="AR14" s="638"/>
      <c r="AS14" s="638"/>
      <c r="AT14" s="639"/>
      <c r="AU14" s="610" t="str">
        <f>IF(AW15="","",SUM(AW15,AW16))</f>
        <v/>
      </c>
      <c r="AV14" s="611"/>
      <c r="AW14" s="611"/>
      <c r="AX14" s="75" t="str">
        <f>IF(AU14="","",IF(AU14&gt;AY14,"○",IF(AU14&lt;AY14,"●","△")))</f>
        <v/>
      </c>
      <c r="AY14" s="611" t="str">
        <f>IF(AY15="","",SUM(AY15,AY16))</f>
        <v/>
      </c>
      <c r="AZ14" s="611"/>
      <c r="BA14" s="612"/>
      <c r="BB14" s="608" t="str">
        <f>IF(COUNT(AG15:BA15)=0,"",COUNTIF(AG14:BA14,"○")*3+COUNTIF(AG14:BA14,"△"))</f>
        <v/>
      </c>
      <c r="BC14" s="608"/>
      <c r="BD14" s="608"/>
      <c r="BE14" s="608" t="str">
        <f>IF(BB14="","",SUM(AR10:AR21)/2-SUM(AN10:AN21))</f>
        <v/>
      </c>
      <c r="BF14" s="608"/>
      <c r="BG14" s="608"/>
      <c r="BH14" s="608"/>
      <c r="BI14" s="608" t="str">
        <f>IF(BB14="","",SUM(AR10:AR21)/2)</f>
        <v/>
      </c>
      <c r="BJ14" s="608" t="str">
        <f>IF(OR(BB14="",MOD(COUNT(AG14:BA14),2)=1),"",RANK(BE14,$BE$10:$BE$21))</f>
        <v/>
      </c>
    </row>
    <row r="15" spans="1:75" ht="19.5" customHeight="1" x14ac:dyDescent="0.15">
      <c r="C15" s="646"/>
      <c r="D15" s="77"/>
      <c r="F15" s="64" t="str">
        <f>IF(O11="","",O11)</f>
        <v/>
      </c>
      <c r="G15" s="61" t="s">
        <v>92</v>
      </c>
      <c r="H15" s="65" t="str">
        <f>IF(M11="","",M11)</f>
        <v/>
      </c>
      <c r="J15" s="78"/>
      <c r="K15" s="640"/>
      <c r="L15" s="641"/>
      <c r="M15" s="641"/>
      <c r="N15" s="641"/>
      <c r="O15" s="641"/>
      <c r="P15" s="641"/>
      <c r="Q15" s="642"/>
      <c r="R15" s="77"/>
      <c r="T15" s="129"/>
      <c r="U15" s="61" t="s">
        <v>92</v>
      </c>
      <c r="V15" s="130"/>
      <c r="X15" s="78"/>
      <c r="Y15" s="608"/>
      <c r="Z15" s="608"/>
      <c r="AA15" s="608"/>
      <c r="AB15" s="608"/>
      <c r="AC15" s="76"/>
      <c r="AD15" s="76"/>
      <c r="AF15" s="646"/>
      <c r="AG15" s="77"/>
      <c r="AH15" s="31"/>
      <c r="AI15" s="64" t="str">
        <f>IF(AR11="","",AR11)</f>
        <v/>
      </c>
      <c r="AJ15" s="61" t="s">
        <v>92</v>
      </c>
      <c r="AK15" s="65" t="str">
        <f>IF(AP11="","",AP11)</f>
        <v/>
      </c>
      <c r="AL15" s="31"/>
      <c r="AM15" s="78"/>
      <c r="AN15" s="640"/>
      <c r="AO15" s="641"/>
      <c r="AP15" s="641"/>
      <c r="AQ15" s="641"/>
      <c r="AR15" s="641"/>
      <c r="AS15" s="641"/>
      <c r="AT15" s="642"/>
      <c r="AU15" s="77"/>
      <c r="AV15" s="31"/>
      <c r="AW15" s="129"/>
      <c r="AX15" s="61" t="s">
        <v>92</v>
      </c>
      <c r="AY15" s="130"/>
      <c r="AZ15" s="31"/>
      <c r="BA15" s="78"/>
      <c r="BB15" s="608"/>
      <c r="BC15" s="608"/>
      <c r="BD15" s="608"/>
      <c r="BE15" s="608"/>
      <c r="BF15" s="608"/>
      <c r="BG15" s="608"/>
      <c r="BH15" s="608"/>
      <c r="BI15" s="608"/>
      <c r="BJ15" s="608"/>
    </row>
    <row r="16" spans="1:75" ht="19.5" customHeight="1" x14ac:dyDescent="0.15">
      <c r="C16" s="646"/>
      <c r="D16" s="77"/>
      <c r="F16" s="64" t="str">
        <f>IF(O12="","",O12)</f>
        <v/>
      </c>
      <c r="G16" s="61" t="s">
        <v>92</v>
      </c>
      <c r="H16" s="65" t="str">
        <f>IF(M12="","",M12)</f>
        <v/>
      </c>
      <c r="J16" s="78"/>
      <c r="K16" s="640"/>
      <c r="L16" s="641"/>
      <c r="M16" s="641"/>
      <c r="N16" s="641"/>
      <c r="O16" s="641"/>
      <c r="P16" s="641"/>
      <c r="Q16" s="642"/>
      <c r="R16" s="77"/>
      <c r="T16" s="129"/>
      <c r="U16" s="61" t="s">
        <v>92</v>
      </c>
      <c r="V16" s="130"/>
      <c r="X16" s="78"/>
      <c r="Y16" s="608"/>
      <c r="Z16" s="608"/>
      <c r="AA16" s="608"/>
      <c r="AB16" s="608"/>
      <c r="AC16" s="76"/>
      <c r="AD16" s="76"/>
      <c r="AF16" s="646"/>
      <c r="AG16" s="77"/>
      <c r="AH16" s="31"/>
      <c r="AI16" s="64" t="str">
        <f>IF(AR12="","",AR12)</f>
        <v/>
      </c>
      <c r="AJ16" s="61" t="s">
        <v>92</v>
      </c>
      <c r="AK16" s="65" t="str">
        <f>IF(AP12="","",AP12)</f>
        <v/>
      </c>
      <c r="AL16" s="31"/>
      <c r="AM16" s="78"/>
      <c r="AN16" s="640"/>
      <c r="AO16" s="641"/>
      <c r="AP16" s="641"/>
      <c r="AQ16" s="641"/>
      <c r="AR16" s="641"/>
      <c r="AS16" s="641"/>
      <c r="AT16" s="642"/>
      <c r="AU16" s="77"/>
      <c r="AV16" s="31"/>
      <c r="AW16" s="129"/>
      <c r="AX16" s="61" t="s">
        <v>92</v>
      </c>
      <c r="AY16" s="130"/>
      <c r="AZ16" s="31"/>
      <c r="BA16" s="78"/>
      <c r="BB16" s="608"/>
      <c r="BC16" s="608"/>
      <c r="BD16" s="608"/>
      <c r="BE16" s="608"/>
      <c r="BF16" s="608"/>
      <c r="BG16" s="608"/>
      <c r="BH16" s="608"/>
      <c r="BI16" s="608"/>
      <c r="BJ16" s="608"/>
    </row>
    <row r="17" spans="1:96" ht="3.75" customHeight="1" x14ac:dyDescent="0.15">
      <c r="C17" s="646"/>
      <c r="D17" s="79"/>
      <c r="E17" s="80"/>
      <c r="F17" s="81"/>
      <c r="G17" s="82"/>
      <c r="H17" s="83"/>
      <c r="I17" s="80"/>
      <c r="J17" s="84"/>
      <c r="K17" s="643"/>
      <c r="L17" s="644"/>
      <c r="M17" s="644"/>
      <c r="N17" s="644"/>
      <c r="O17" s="644"/>
      <c r="P17" s="644"/>
      <c r="Q17" s="645"/>
      <c r="R17" s="79"/>
      <c r="S17" s="80"/>
      <c r="T17" s="81"/>
      <c r="U17" s="82"/>
      <c r="V17" s="83"/>
      <c r="W17" s="80"/>
      <c r="X17" s="84"/>
      <c r="Y17" s="608"/>
      <c r="Z17" s="608"/>
      <c r="AA17" s="608"/>
      <c r="AB17" s="608"/>
      <c r="AC17" s="76"/>
      <c r="AD17" s="76"/>
      <c r="AF17" s="646"/>
      <c r="AG17" s="79"/>
      <c r="AH17" s="80"/>
      <c r="AI17" s="81"/>
      <c r="AJ17" s="82"/>
      <c r="AK17" s="83"/>
      <c r="AL17" s="80"/>
      <c r="AM17" s="84"/>
      <c r="AN17" s="643"/>
      <c r="AO17" s="644"/>
      <c r="AP17" s="644"/>
      <c r="AQ17" s="644"/>
      <c r="AR17" s="644"/>
      <c r="AS17" s="644"/>
      <c r="AT17" s="645"/>
      <c r="AU17" s="79"/>
      <c r="AV17" s="80"/>
      <c r="AW17" s="81"/>
      <c r="AX17" s="82"/>
      <c r="AY17" s="83"/>
      <c r="AZ17" s="80"/>
      <c r="BA17" s="84"/>
      <c r="BB17" s="608"/>
      <c r="BC17" s="608"/>
      <c r="BD17" s="608"/>
      <c r="BE17" s="608"/>
      <c r="BF17" s="608"/>
      <c r="BG17" s="608"/>
      <c r="BH17" s="608"/>
      <c r="BI17" s="608"/>
      <c r="BJ17" s="608"/>
    </row>
    <row r="18" spans="1:96" ht="19.5" customHeight="1" x14ac:dyDescent="0.15">
      <c r="C18" s="646" t="str">
        <f>IF(ISERROR(MATCH('能登(6時刻)'!B18,予選学校名!$H$22:$H$32,0)),"",INDEX(予選学校名!$H$22:$K$32,MATCH('能登(6時刻)'!B18,予選学校名!$H$22:$H$32,0),2))</f>
        <v>七尾</v>
      </c>
      <c r="D18" s="610" t="str">
        <f>IF(F19="","",SUM(F19,F20))</f>
        <v/>
      </c>
      <c r="E18" s="611"/>
      <c r="F18" s="611"/>
      <c r="G18" s="75" t="str">
        <f>IF(D18="","",IF(D18&gt;H18,"○",IF(D18&lt;H18,"●","△")))</f>
        <v/>
      </c>
      <c r="H18" s="611" t="str">
        <f>IF(H19="","",SUM(H19,H20))</f>
        <v/>
      </c>
      <c r="I18" s="611"/>
      <c r="J18" s="612"/>
      <c r="K18" s="610" t="str">
        <f>IF(M19="","",SUM(M19,M20))</f>
        <v/>
      </c>
      <c r="L18" s="611"/>
      <c r="M18" s="611"/>
      <c r="N18" s="75" t="str">
        <f>IF(K18="","",IF(K18&gt;O18,"○",IF(K18&lt;O18,"●","△")))</f>
        <v/>
      </c>
      <c r="O18" s="611" t="str">
        <f>IF(O19="","",SUM(O19,O20))</f>
        <v/>
      </c>
      <c r="P18" s="611"/>
      <c r="Q18" s="612"/>
      <c r="R18" s="636"/>
      <c r="S18" s="637"/>
      <c r="T18" s="637"/>
      <c r="U18" s="638"/>
      <c r="V18" s="638"/>
      <c r="W18" s="638"/>
      <c r="X18" s="639"/>
      <c r="Y18" s="608" t="str">
        <f>IF(COUNT(D19:X19)=0,"",COUNTIF(D18:X18,"○")*3+COUNTIF(D18:X18,"△"))</f>
        <v/>
      </c>
      <c r="Z18" s="608" t="str">
        <f>IF(Y18="","",SUM(V10:V21)/2-SUM(R10:R21))</f>
        <v/>
      </c>
      <c r="AA18" s="608" t="str">
        <f>IF(Y18="","",SUM(V10:V21)/2)</f>
        <v/>
      </c>
      <c r="AB18" s="608" t="str">
        <f>IF(OR(Y18="",MOD(COUNT(D18:X18),2)=1),"",RANK(AC18,$AC$10:$AC$21))</f>
        <v/>
      </c>
      <c r="AC18" s="76" t="str">
        <f>IF(OR(Y18="",MOD(COUNT(D18:X18),2)=1),"",Y18*10000+Z18*100+AA18)</f>
        <v/>
      </c>
      <c r="AD18" s="76"/>
      <c r="AF18" s="646" t="str">
        <f>IF(ISERROR(MATCH('能登(6時刻)'!AE18,予選学校名!$H$22:$H$32,0)),"",INDEX(予選学校名!$H$22:$K$32,MATCH('能登(6時刻)'!AE18,予選学校名!$H$22:$H$32,0),2))</f>
        <v/>
      </c>
      <c r="AG18" s="610" t="str">
        <f>IF(AI19="","",SUM(AI19,AI20))</f>
        <v/>
      </c>
      <c r="AH18" s="611"/>
      <c r="AI18" s="611"/>
      <c r="AJ18" s="75" t="str">
        <f>IF(AG18="","",IF(AG18&gt;AK18,"○",IF(AG18&lt;AK18,"●","△")))</f>
        <v/>
      </c>
      <c r="AK18" s="611" t="str">
        <f>IF(AK19="","",SUM(AK19,AK20))</f>
        <v/>
      </c>
      <c r="AL18" s="611"/>
      <c r="AM18" s="612"/>
      <c r="AN18" s="610" t="str">
        <f>IF(AP19="","",SUM(AP19,AP20))</f>
        <v/>
      </c>
      <c r="AO18" s="611"/>
      <c r="AP18" s="611"/>
      <c r="AQ18" s="75" t="str">
        <f>IF(AN18="","",IF(AN18&gt;AR18,"○",IF(AN18&lt;AR18,"●","△")))</f>
        <v/>
      </c>
      <c r="AR18" s="611" t="str">
        <f>IF(AR19="","",SUM(AR19,AR20))</f>
        <v/>
      </c>
      <c r="AS18" s="611"/>
      <c r="AT18" s="612"/>
      <c r="AU18" s="636"/>
      <c r="AV18" s="637"/>
      <c r="AW18" s="637"/>
      <c r="AX18" s="638"/>
      <c r="AY18" s="638"/>
      <c r="AZ18" s="638"/>
      <c r="BA18" s="639"/>
      <c r="BB18" s="608" t="str">
        <f>IF(COUNT(AG19:BA19)=0,"",COUNTIF(AG18:BA18,"○")*3+COUNTIF(AG18:BA18,"△"))</f>
        <v/>
      </c>
      <c r="BC18" s="608"/>
      <c r="BD18" s="608"/>
      <c r="BE18" s="608" t="str">
        <f>IF(BB18="","",SUM(AY10:AY21)/2-SUM(AU10:AU21))</f>
        <v/>
      </c>
      <c r="BF18" s="608"/>
      <c r="BG18" s="608"/>
      <c r="BH18" s="608"/>
      <c r="BI18" s="608" t="str">
        <f>IF(BB18="","",SUM(AY10:AY21)/2)</f>
        <v/>
      </c>
      <c r="BJ18" s="608" t="str">
        <f>IF(OR(BB18="",MOD(COUNT(AG18:BA18),2)=1),"",RANK(BE18,$BE$10:$BE$21))</f>
        <v/>
      </c>
    </row>
    <row r="19" spans="1:96" ht="19.5" customHeight="1" x14ac:dyDescent="0.15">
      <c r="C19" s="646"/>
      <c r="D19" s="77"/>
      <c r="F19" s="64" t="str">
        <f>IF(V11="","",V11)</f>
        <v/>
      </c>
      <c r="G19" s="61" t="s">
        <v>92</v>
      </c>
      <c r="H19" s="65" t="str">
        <f>IF(T11="","",T11)</f>
        <v/>
      </c>
      <c r="J19" s="78"/>
      <c r="K19" s="77"/>
      <c r="M19" s="64" t="str">
        <f>IF(V15="","",V15)</f>
        <v/>
      </c>
      <c r="N19" s="61" t="s">
        <v>92</v>
      </c>
      <c r="O19" s="65" t="str">
        <f>IF(T15="","",T15)</f>
        <v/>
      </c>
      <c r="Q19" s="78"/>
      <c r="R19" s="640"/>
      <c r="S19" s="641"/>
      <c r="T19" s="641"/>
      <c r="U19" s="641"/>
      <c r="V19" s="641"/>
      <c r="W19" s="641"/>
      <c r="X19" s="642"/>
      <c r="Y19" s="608"/>
      <c r="Z19" s="608"/>
      <c r="AA19" s="608"/>
      <c r="AB19" s="608"/>
      <c r="AC19" s="76"/>
      <c r="AD19" s="76"/>
      <c r="AF19" s="646"/>
      <c r="AG19" s="77"/>
      <c r="AH19" s="31"/>
      <c r="AI19" s="64" t="str">
        <f>IF(AY11="","",AY11)</f>
        <v/>
      </c>
      <c r="AJ19" s="61" t="s">
        <v>92</v>
      </c>
      <c r="AK19" s="65" t="str">
        <f>IF(AW11="","",AW11)</f>
        <v/>
      </c>
      <c r="AL19" s="31"/>
      <c r="AM19" s="78"/>
      <c r="AN19" s="77"/>
      <c r="AO19" s="31"/>
      <c r="AP19" s="64" t="str">
        <f>IF(AY15="","",AY15)</f>
        <v/>
      </c>
      <c r="AQ19" s="61" t="s">
        <v>92</v>
      </c>
      <c r="AR19" s="65" t="str">
        <f>IF(AW15="","",AW15)</f>
        <v/>
      </c>
      <c r="AS19" s="31"/>
      <c r="AT19" s="78"/>
      <c r="AU19" s="640"/>
      <c r="AV19" s="641"/>
      <c r="AW19" s="641"/>
      <c r="AX19" s="641"/>
      <c r="AY19" s="641"/>
      <c r="AZ19" s="641"/>
      <c r="BA19" s="642"/>
      <c r="BB19" s="608"/>
      <c r="BC19" s="608"/>
      <c r="BD19" s="608"/>
      <c r="BE19" s="608"/>
      <c r="BF19" s="608"/>
      <c r="BG19" s="608"/>
      <c r="BH19" s="608"/>
      <c r="BI19" s="608"/>
      <c r="BJ19" s="608"/>
    </row>
    <row r="20" spans="1:96" ht="19.5" customHeight="1" x14ac:dyDescent="0.15">
      <c r="C20" s="646"/>
      <c r="D20" s="77"/>
      <c r="F20" s="64" t="str">
        <f>IF(V12="","",V12)</f>
        <v/>
      </c>
      <c r="G20" s="61" t="s">
        <v>92</v>
      </c>
      <c r="H20" s="65" t="str">
        <f>IF(T12="","",T12)</f>
        <v/>
      </c>
      <c r="J20" s="78"/>
      <c r="K20" s="77"/>
      <c r="M20" s="64" t="str">
        <f>IF(V16="","",V16)</f>
        <v/>
      </c>
      <c r="N20" s="61" t="s">
        <v>92</v>
      </c>
      <c r="O20" s="65" t="str">
        <f>IF(T16="","",T16)</f>
        <v/>
      </c>
      <c r="Q20" s="78"/>
      <c r="R20" s="640"/>
      <c r="S20" s="641"/>
      <c r="T20" s="641"/>
      <c r="U20" s="641"/>
      <c r="V20" s="641"/>
      <c r="W20" s="641"/>
      <c r="X20" s="642"/>
      <c r="Y20" s="608"/>
      <c r="Z20" s="608"/>
      <c r="AA20" s="608"/>
      <c r="AB20" s="608"/>
      <c r="AC20" s="76"/>
      <c r="AD20" s="76"/>
      <c r="AF20" s="646"/>
      <c r="AG20" s="77"/>
      <c r="AH20" s="31"/>
      <c r="AI20" s="64" t="str">
        <f>IF(AY12="","",AY12)</f>
        <v/>
      </c>
      <c r="AJ20" s="61" t="s">
        <v>92</v>
      </c>
      <c r="AK20" s="65" t="str">
        <f>IF(AW12="","",AW12)</f>
        <v/>
      </c>
      <c r="AL20" s="31"/>
      <c r="AM20" s="78"/>
      <c r="AN20" s="77"/>
      <c r="AO20" s="31"/>
      <c r="AP20" s="64" t="str">
        <f>IF(AY16="","",AY16)</f>
        <v/>
      </c>
      <c r="AQ20" s="61" t="s">
        <v>92</v>
      </c>
      <c r="AR20" s="65" t="str">
        <f>IF(AW16="","",AW16)</f>
        <v/>
      </c>
      <c r="AS20" s="31"/>
      <c r="AT20" s="78"/>
      <c r="AU20" s="640"/>
      <c r="AV20" s="641"/>
      <c r="AW20" s="641"/>
      <c r="AX20" s="641"/>
      <c r="AY20" s="641"/>
      <c r="AZ20" s="641"/>
      <c r="BA20" s="642"/>
      <c r="BB20" s="608"/>
      <c r="BC20" s="608"/>
      <c r="BD20" s="608"/>
      <c r="BE20" s="608"/>
      <c r="BF20" s="608"/>
      <c r="BG20" s="608"/>
      <c r="BH20" s="608"/>
      <c r="BI20" s="608"/>
      <c r="BJ20" s="608"/>
    </row>
    <row r="21" spans="1:96" ht="3.75" customHeight="1" x14ac:dyDescent="0.15">
      <c r="C21" s="646"/>
      <c r="D21" s="79"/>
      <c r="E21" s="80"/>
      <c r="F21" s="81"/>
      <c r="G21" s="82"/>
      <c r="H21" s="83"/>
      <c r="I21" s="80"/>
      <c r="J21" s="84"/>
      <c r="K21" s="79"/>
      <c r="L21" s="80"/>
      <c r="M21" s="81"/>
      <c r="N21" s="82"/>
      <c r="O21" s="83"/>
      <c r="P21" s="80"/>
      <c r="Q21" s="84"/>
      <c r="R21" s="643"/>
      <c r="S21" s="644"/>
      <c r="T21" s="644"/>
      <c r="U21" s="644"/>
      <c r="V21" s="644"/>
      <c r="W21" s="644"/>
      <c r="X21" s="645"/>
      <c r="Y21" s="608"/>
      <c r="Z21" s="608"/>
      <c r="AA21" s="608"/>
      <c r="AB21" s="608"/>
      <c r="AC21" s="76"/>
      <c r="AD21" s="76"/>
      <c r="AF21" s="646"/>
      <c r="AG21" s="79"/>
      <c r="AH21" s="80"/>
      <c r="AI21" s="81"/>
      <c r="AJ21" s="82"/>
      <c r="AK21" s="83"/>
      <c r="AL21" s="80"/>
      <c r="AM21" s="84"/>
      <c r="AN21" s="79"/>
      <c r="AO21" s="80"/>
      <c r="AP21" s="81"/>
      <c r="AQ21" s="82"/>
      <c r="AR21" s="83"/>
      <c r="AS21" s="80"/>
      <c r="AT21" s="84"/>
      <c r="AU21" s="643"/>
      <c r="AV21" s="644"/>
      <c r="AW21" s="644"/>
      <c r="AX21" s="644"/>
      <c r="AY21" s="644"/>
      <c r="AZ21" s="644"/>
      <c r="BA21" s="645"/>
      <c r="BB21" s="608"/>
      <c r="BC21" s="608"/>
      <c r="BD21" s="608"/>
      <c r="BE21" s="608"/>
      <c r="BF21" s="608"/>
      <c r="BG21" s="608"/>
      <c r="BH21" s="608"/>
      <c r="BI21" s="608"/>
      <c r="BJ21" s="608"/>
    </row>
    <row r="22" spans="1:96" ht="7.5" customHeight="1" x14ac:dyDescent="0.15">
      <c r="AG22" s="31"/>
      <c r="AH22" s="31"/>
      <c r="AI22" s="64"/>
      <c r="AJ22" s="61"/>
      <c r="AK22" s="65"/>
      <c r="AL22" s="31"/>
      <c r="AM22" s="31"/>
      <c r="AN22" s="31"/>
      <c r="AO22" s="31"/>
      <c r="AP22" s="64"/>
      <c r="AQ22" s="61"/>
      <c r="AR22" s="65"/>
      <c r="AS22" s="31"/>
      <c r="AT22" s="31"/>
      <c r="AU22" s="31"/>
      <c r="AV22" s="31"/>
      <c r="AW22" s="64"/>
      <c r="AX22" s="61"/>
      <c r="AY22" s="65"/>
      <c r="AZ22" s="31"/>
      <c r="BA22" s="31"/>
    </row>
    <row r="23" spans="1:96" s="68" customFormat="1" ht="18" x14ac:dyDescent="0.15">
      <c r="A23" s="67"/>
    </row>
    <row r="24" spans="1:96" ht="3.75" customHeight="1" x14ac:dyDescent="0.15"/>
    <row r="25" spans="1:96" ht="13.5" customHeight="1" x14ac:dyDescent="0.15">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634"/>
      <c r="AF25" s="634"/>
      <c r="AG25" s="634"/>
      <c r="AH25" s="61"/>
      <c r="AI25" s="634"/>
      <c r="AJ25" s="634"/>
      <c r="AK25" s="634"/>
      <c r="AL25" s="634"/>
      <c r="AM25" s="634"/>
      <c r="AN25" s="634"/>
      <c r="AO25" s="61"/>
      <c r="AP25" s="634"/>
      <c r="AQ25" s="634"/>
      <c r="AR25" s="634"/>
      <c r="AS25" s="634"/>
      <c r="AT25" s="634"/>
      <c r="AU25" s="634"/>
      <c r="AV25" s="61"/>
      <c r="AW25" s="634"/>
      <c r="AX25" s="634"/>
      <c r="AY25" s="634"/>
      <c r="AZ25" s="615"/>
      <c r="BA25" s="615"/>
      <c r="BC25" s="634"/>
      <c r="BD25" s="634"/>
      <c r="BE25" s="634"/>
      <c r="BF25" s="615"/>
      <c r="BG25" s="615"/>
      <c r="BH25" s="615"/>
      <c r="BI25" s="76"/>
      <c r="BJ25" s="615"/>
      <c r="BK25" s="615"/>
      <c r="BL25" s="615"/>
      <c r="BM25" s="76"/>
      <c r="BQ25" s="76"/>
      <c r="BR25" s="76"/>
      <c r="BU25" s="635" t="s">
        <v>93</v>
      </c>
      <c r="BV25" s="635"/>
      <c r="BW25" s="635"/>
      <c r="BX25" s="635"/>
      <c r="BY25" s="635"/>
      <c r="BZ25" s="635"/>
      <c r="CA25" s="635"/>
      <c r="CB25" s="635"/>
      <c r="CC25" s="635"/>
      <c r="CD25" s="635"/>
      <c r="CE25" s="635"/>
      <c r="CF25" s="635"/>
      <c r="CG25" s="635"/>
      <c r="CH25" s="635"/>
      <c r="CI25" s="635"/>
      <c r="CJ25" s="635"/>
      <c r="CK25" s="635"/>
      <c r="CL25" s="635"/>
      <c r="CM25" s="635"/>
      <c r="CN25" s="635"/>
      <c r="CO25" s="635"/>
    </row>
    <row r="26" spans="1:96" ht="24" customHeight="1" x14ac:dyDescent="0.15">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31"/>
      <c r="AF26" s="31"/>
      <c r="AG26" s="64"/>
      <c r="AH26" s="61"/>
      <c r="AI26" s="65"/>
      <c r="AJ26" s="31"/>
      <c r="AK26" s="31"/>
      <c r="AL26" s="31"/>
      <c r="AM26" s="31"/>
      <c r="AN26" s="64"/>
      <c r="AO26" s="61"/>
      <c r="AP26" s="65"/>
      <c r="AQ26" s="31"/>
      <c r="AR26" s="31"/>
      <c r="AS26" s="31"/>
      <c r="AT26" s="31"/>
      <c r="AU26" s="64"/>
      <c r="AV26" s="61"/>
      <c r="AW26" s="65"/>
      <c r="AX26" s="31"/>
      <c r="AY26" s="31"/>
      <c r="BC26" s="65"/>
      <c r="BD26" s="31"/>
      <c r="BE26" s="31"/>
      <c r="BI26" s="76"/>
      <c r="BM26" s="76"/>
      <c r="BQ26" s="76"/>
      <c r="BR26" s="76"/>
      <c r="BU26" s="635"/>
      <c r="BV26" s="635"/>
      <c r="BW26" s="635"/>
      <c r="BX26" s="635"/>
      <c r="BY26" s="635"/>
      <c r="BZ26" s="635"/>
      <c r="CA26" s="635"/>
      <c r="CB26" s="635"/>
      <c r="CC26" s="635"/>
      <c r="CD26" s="635"/>
      <c r="CE26" s="635"/>
      <c r="CF26" s="635"/>
      <c r="CG26" s="635"/>
      <c r="CH26" s="635"/>
      <c r="CI26" s="635"/>
      <c r="CJ26" s="635"/>
      <c r="CK26" s="635"/>
      <c r="CL26" s="635"/>
      <c r="CM26" s="635"/>
      <c r="CN26" s="635"/>
      <c r="CO26" s="635"/>
    </row>
    <row r="27" spans="1:96" ht="24" customHeight="1" x14ac:dyDescent="0.15">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31"/>
      <c r="AF27" s="31"/>
      <c r="AG27" s="64"/>
      <c r="AH27" s="61"/>
      <c r="AI27" s="65"/>
      <c r="AJ27" s="31"/>
      <c r="AK27" s="31"/>
      <c r="AL27" s="31"/>
      <c r="AM27" s="31"/>
      <c r="AN27" s="64"/>
      <c r="AO27" s="61"/>
      <c r="AP27" s="65"/>
      <c r="AQ27" s="31"/>
      <c r="AR27" s="31"/>
      <c r="AS27" s="31"/>
      <c r="AT27" s="31"/>
      <c r="AU27" s="64"/>
      <c r="AV27" s="61"/>
      <c r="AW27" s="65"/>
      <c r="AX27" s="31"/>
      <c r="AY27" s="31"/>
      <c r="BC27" s="65"/>
      <c r="BD27" s="31"/>
      <c r="BE27" s="31"/>
      <c r="BI27" s="76"/>
      <c r="BM27" s="76"/>
      <c r="BQ27" s="76"/>
      <c r="BR27" s="76"/>
      <c r="BU27" s="635"/>
      <c r="BV27" s="635"/>
      <c r="BW27" s="635"/>
      <c r="BX27" s="635"/>
      <c r="BY27" s="635"/>
      <c r="BZ27" s="635"/>
      <c r="CA27" s="635"/>
      <c r="CB27" s="635"/>
      <c r="CC27" s="635"/>
      <c r="CD27" s="635"/>
      <c r="CE27" s="635"/>
      <c r="CF27" s="635"/>
      <c r="CG27" s="635"/>
      <c r="CH27" s="635"/>
      <c r="CI27" s="635"/>
      <c r="CJ27" s="635"/>
      <c r="CK27" s="635"/>
      <c r="CL27" s="635"/>
      <c r="CM27" s="635"/>
      <c r="CN27" s="635"/>
      <c r="CO27" s="635"/>
    </row>
    <row r="28" spans="1:96" ht="3.75" customHeight="1" x14ac:dyDescent="0.15">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31"/>
      <c r="AF28" s="31"/>
      <c r="AG28" s="64"/>
      <c r="AH28" s="61"/>
      <c r="AI28" s="65"/>
      <c r="AJ28" s="31"/>
      <c r="AK28" s="31"/>
      <c r="AL28" s="31"/>
      <c r="AM28" s="31"/>
      <c r="AN28" s="64"/>
      <c r="AO28" s="61"/>
      <c r="AP28" s="65"/>
      <c r="AQ28" s="31"/>
      <c r="AR28" s="31"/>
      <c r="AS28" s="31"/>
      <c r="AT28" s="31"/>
      <c r="AU28" s="64"/>
      <c r="AV28" s="61"/>
      <c r="AW28" s="65"/>
      <c r="AX28" s="31"/>
      <c r="AY28" s="31"/>
      <c r="BB28" s="85"/>
      <c r="BC28" s="65"/>
      <c r="BD28" s="31"/>
      <c r="BE28" s="31"/>
      <c r="BI28" s="76"/>
      <c r="BM28" s="76"/>
      <c r="BN28" s="85"/>
      <c r="BO28" s="85"/>
      <c r="BP28" s="85"/>
      <c r="BQ28" s="76"/>
      <c r="BR28" s="76"/>
    </row>
    <row r="29" spans="1:96" x14ac:dyDescent="0.15">
      <c r="D29" s="62"/>
      <c r="E29" s="62"/>
      <c r="F29" s="62"/>
      <c r="G29" s="62"/>
      <c r="H29" s="62"/>
      <c r="I29" s="62"/>
      <c r="J29" s="62"/>
      <c r="K29" s="62"/>
      <c r="L29" s="62"/>
      <c r="M29" s="62"/>
      <c r="N29" s="62"/>
      <c r="O29" s="62"/>
      <c r="P29" s="62"/>
      <c r="Q29" s="62"/>
      <c r="R29" s="62"/>
      <c r="S29" s="62"/>
      <c r="T29" s="62"/>
      <c r="U29" s="62"/>
      <c r="V29" s="62"/>
      <c r="W29" s="62"/>
      <c r="X29" s="62"/>
      <c r="AE29" s="31"/>
      <c r="AF29" s="31"/>
      <c r="AG29" s="64"/>
      <c r="AH29" s="61"/>
      <c r="AI29" s="65"/>
      <c r="AJ29" s="31"/>
      <c r="AK29" s="31"/>
      <c r="AL29" s="31"/>
      <c r="AM29" s="31"/>
      <c r="AN29" s="64"/>
      <c r="AO29" s="61"/>
      <c r="AP29" s="65"/>
      <c r="AQ29" s="31"/>
      <c r="AR29" s="31"/>
      <c r="AS29" s="31"/>
      <c r="AT29" s="31"/>
      <c r="AU29" s="64"/>
      <c r="AV29" s="61"/>
      <c r="AW29" s="65"/>
      <c r="AX29" s="31"/>
      <c r="AY29" s="31"/>
      <c r="BC29" s="65"/>
      <c r="BD29" s="31"/>
      <c r="BE29" s="31"/>
      <c r="BI29" s="76"/>
    </row>
    <row r="30" spans="1:96" ht="43.5" customHeight="1" x14ac:dyDescent="0.15">
      <c r="D30" s="62"/>
      <c r="E30" s="62"/>
      <c r="F30" s="62"/>
      <c r="G30" s="62"/>
      <c r="H30" s="62"/>
      <c r="I30" s="62"/>
      <c r="J30" s="62"/>
      <c r="K30" s="62"/>
      <c r="L30" s="62"/>
      <c r="M30" s="62"/>
      <c r="N30" s="62"/>
      <c r="O30" s="62"/>
      <c r="P30" s="62"/>
      <c r="Q30" s="62"/>
      <c r="R30" s="62"/>
      <c r="S30" s="62"/>
      <c r="T30" s="62"/>
      <c r="U30" s="62"/>
      <c r="V30" s="62"/>
      <c r="W30" s="62"/>
      <c r="X30" s="62"/>
      <c r="AE30" s="31"/>
      <c r="AF30" s="31"/>
      <c r="AG30" s="64"/>
      <c r="AH30" s="61"/>
      <c r="AI30" s="65"/>
      <c r="AJ30" s="31"/>
      <c r="AK30" s="31"/>
      <c r="AL30" s="31"/>
      <c r="AM30" s="31"/>
      <c r="AN30" s="64"/>
      <c r="AO30" s="61"/>
      <c r="AP30" s="65"/>
      <c r="AQ30" s="31"/>
      <c r="AR30" s="31"/>
      <c r="AS30" s="31"/>
      <c r="AT30" s="31"/>
      <c r="AU30" s="64"/>
      <c r="AV30" s="61"/>
      <c r="AW30" s="65"/>
      <c r="AX30" s="31"/>
      <c r="AY30" s="31"/>
      <c r="BC30" s="65"/>
      <c r="BD30" s="31"/>
      <c r="BE30" s="31"/>
      <c r="BI30" s="76"/>
      <c r="BU30" s="86" t="s">
        <v>94</v>
      </c>
      <c r="CR30" s="86"/>
    </row>
    <row r="31" spans="1:96" ht="22.5" customHeight="1" x14ac:dyDescent="0.15">
      <c r="D31" s="62"/>
      <c r="E31" s="62"/>
      <c r="F31" s="62"/>
      <c r="G31" s="62"/>
      <c r="H31" s="62"/>
      <c r="I31" s="62"/>
      <c r="J31" s="62"/>
      <c r="K31" s="62"/>
      <c r="L31" s="62"/>
      <c r="M31" s="62"/>
      <c r="N31" s="62"/>
      <c r="O31" s="62"/>
      <c r="P31" s="62"/>
      <c r="Q31" s="62"/>
      <c r="R31" s="62"/>
      <c r="S31" s="62"/>
      <c r="T31" s="62"/>
      <c r="U31" s="62"/>
      <c r="V31" s="62"/>
      <c r="W31" s="62"/>
      <c r="X31" s="62"/>
      <c r="AE31" s="31"/>
      <c r="AF31" s="31"/>
      <c r="AG31" s="64"/>
      <c r="AH31" s="61"/>
      <c r="AI31" s="65"/>
      <c r="AJ31" s="31"/>
      <c r="AK31" s="31"/>
      <c r="AL31" s="31"/>
      <c r="AM31" s="31"/>
      <c r="AN31" s="64"/>
      <c r="AO31" s="61"/>
      <c r="AP31" s="65"/>
      <c r="AQ31" s="31"/>
      <c r="AR31" s="31"/>
      <c r="AS31" s="31"/>
      <c r="AT31" s="31"/>
      <c r="AU31" s="64"/>
      <c r="AV31" s="61"/>
      <c r="AW31" s="65"/>
      <c r="AX31" s="31"/>
      <c r="AY31" s="31"/>
      <c r="BC31" s="65"/>
      <c r="BD31" s="31"/>
      <c r="BE31" s="31"/>
      <c r="BI31" s="76"/>
      <c r="BX31" s="624" t="s">
        <v>95</v>
      </c>
      <c r="BY31" s="624"/>
      <c r="BZ31" s="624"/>
      <c r="CA31" s="68" t="str">
        <f>IF(I3="","",I3)</f>
        <v/>
      </c>
    </row>
    <row r="32" spans="1:96" ht="3.75" customHeight="1" x14ac:dyDescent="0.15">
      <c r="D32" s="62"/>
      <c r="E32" s="62"/>
      <c r="F32" s="62"/>
      <c r="G32" s="62"/>
      <c r="H32" s="62"/>
      <c r="I32" s="62"/>
      <c r="J32" s="62"/>
      <c r="K32" s="62"/>
      <c r="L32" s="62"/>
      <c r="M32" s="62"/>
      <c r="N32" s="62"/>
      <c r="O32" s="62"/>
      <c r="P32" s="62"/>
      <c r="Q32" s="62"/>
      <c r="R32" s="62"/>
      <c r="S32" s="62"/>
      <c r="T32" s="62"/>
      <c r="U32" s="62"/>
      <c r="V32" s="62"/>
      <c r="W32" s="62"/>
      <c r="X32" s="62"/>
      <c r="AE32" s="31"/>
      <c r="AF32" s="31"/>
      <c r="AG32" s="64"/>
      <c r="AH32" s="61"/>
      <c r="AI32" s="65"/>
      <c r="AJ32" s="31"/>
      <c r="AK32" s="31"/>
      <c r="AL32" s="31"/>
      <c r="AM32" s="31"/>
      <c r="AN32" s="64"/>
      <c r="AO32" s="61"/>
      <c r="AP32" s="65"/>
      <c r="AQ32" s="31"/>
      <c r="AR32" s="31"/>
      <c r="AS32" s="31"/>
      <c r="AT32" s="31"/>
      <c r="AU32" s="64"/>
      <c r="AV32" s="61"/>
      <c r="AW32" s="65"/>
      <c r="AX32" s="31"/>
      <c r="AY32" s="31"/>
      <c r="BC32" s="65"/>
      <c r="BD32" s="31"/>
      <c r="BE32" s="31"/>
      <c r="BI32" s="76"/>
      <c r="BX32" s="87"/>
      <c r="BY32" s="87"/>
      <c r="BZ32" s="87"/>
      <c r="CA32" s="68"/>
    </row>
    <row r="33" spans="1:104" x14ac:dyDescent="0.15">
      <c r="D33" s="62"/>
      <c r="E33" s="62"/>
      <c r="F33" s="62"/>
      <c r="G33" s="62"/>
      <c r="H33" s="62"/>
      <c r="I33" s="62"/>
      <c r="J33" s="62"/>
      <c r="K33" s="62"/>
      <c r="L33" s="62"/>
      <c r="M33" s="62"/>
      <c r="N33" s="62"/>
      <c r="O33" s="62"/>
      <c r="P33" s="62"/>
      <c r="Q33" s="62"/>
      <c r="R33" s="62"/>
      <c r="S33" s="62"/>
      <c r="T33" s="62"/>
      <c r="U33" s="62"/>
      <c r="V33" s="62"/>
      <c r="W33" s="62"/>
      <c r="X33" s="62"/>
      <c r="AE33" s="31"/>
      <c r="AF33" s="31"/>
      <c r="AG33" s="64"/>
      <c r="AH33" s="61"/>
      <c r="AI33" s="65"/>
      <c r="AJ33" s="31"/>
      <c r="AK33" s="31"/>
      <c r="AL33" s="31"/>
      <c r="AM33" s="31"/>
      <c r="AN33" s="64"/>
      <c r="AO33" s="61"/>
      <c r="AP33" s="65"/>
      <c r="AQ33" s="31"/>
      <c r="AR33" s="31"/>
      <c r="AS33" s="31"/>
      <c r="AT33" s="31"/>
      <c r="AU33" s="64"/>
      <c r="AV33" s="61"/>
      <c r="AW33" s="65"/>
      <c r="AX33" s="31"/>
      <c r="AY33" s="31"/>
      <c r="BC33" s="65"/>
      <c r="BD33" s="31"/>
      <c r="BE33" s="31"/>
      <c r="BI33" s="76"/>
      <c r="CD33" s="620"/>
    </row>
    <row r="34" spans="1:104" x14ac:dyDescent="0.15">
      <c r="D34" s="62"/>
      <c r="E34" s="62"/>
      <c r="F34" s="62"/>
      <c r="G34" s="62"/>
      <c r="H34" s="62"/>
      <c r="I34" s="62"/>
      <c r="J34" s="62"/>
      <c r="K34" s="62"/>
      <c r="L34" s="62"/>
      <c r="M34" s="62"/>
      <c r="N34" s="62"/>
      <c r="O34" s="62"/>
      <c r="P34" s="62"/>
      <c r="Q34" s="62"/>
      <c r="R34" s="62"/>
      <c r="S34" s="62"/>
      <c r="T34" s="62"/>
      <c r="U34" s="62"/>
      <c r="V34" s="62"/>
      <c r="W34" s="62"/>
      <c r="X34" s="62"/>
      <c r="AE34" s="31"/>
      <c r="AF34" s="31"/>
      <c r="AG34" s="64"/>
      <c r="AH34" s="61"/>
      <c r="AI34" s="65"/>
      <c r="AJ34" s="31"/>
      <c r="AK34" s="31"/>
      <c r="AL34" s="31"/>
      <c r="AM34" s="31"/>
      <c r="AN34" s="64"/>
      <c r="AO34" s="61"/>
      <c r="AP34" s="65"/>
      <c r="AQ34" s="31"/>
      <c r="AR34" s="31"/>
      <c r="AS34" s="31"/>
      <c r="AT34" s="31"/>
      <c r="AU34" s="64"/>
      <c r="AV34" s="61"/>
      <c r="AW34" s="65"/>
      <c r="AX34" s="31"/>
      <c r="AY34" s="31"/>
      <c r="BC34" s="65"/>
      <c r="BD34" s="31"/>
      <c r="BE34" s="31"/>
      <c r="BI34" s="76"/>
      <c r="CB34" s="624" t="str">
        <f>IF(CB37="","",SUM(CB37:CC40))</f>
        <v/>
      </c>
      <c r="CC34" s="624"/>
      <c r="CD34" s="620"/>
      <c r="CF34" s="621" t="str">
        <f>IF(CF37="","",SUM(CF37:CG40))</f>
        <v/>
      </c>
      <c r="CG34" s="621"/>
      <c r="CQ34" s="621"/>
      <c r="CR34" s="621"/>
    </row>
    <row r="35" spans="1:104" s="85" customFormat="1" ht="13.5" hidden="1" customHeight="1" x14ac:dyDescent="0.15">
      <c r="A35" s="31"/>
      <c r="AE35" s="88"/>
      <c r="AF35" s="88"/>
      <c r="AG35" s="89"/>
      <c r="AH35" s="90"/>
      <c r="AI35" s="91"/>
      <c r="AJ35" s="88"/>
      <c r="AK35" s="88"/>
      <c r="AL35" s="88"/>
      <c r="AM35" s="88"/>
      <c r="AN35" s="89"/>
      <c r="AO35" s="90"/>
      <c r="AP35" s="91"/>
      <c r="AQ35" s="88"/>
      <c r="AR35" s="88"/>
      <c r="AS35" s="88"/>
      <c r="AT35" s="88"/>
      <c r="AU35" s="89"/>
      <c r="AV35" s="90"/>
      <c r="AW35" s="91"/>
      <c r="AX35" s="88"/>
      <c r="AY35" s="88"/>
      <c r="BB35" s="62"/>
      <c r="BC35" s="91"/>
      <c r="BD35" s="88"/>
      <c r="BE35" s="88"/>
      <c r="BI35" s="92"/>
      <c r="BN35" s="62"/>
      <c r="BO35" s="62"/>
      <c r="BP35" s="62"/>
      <c r="CB35" s="629" t="str">
        <f>IF(CB37="","",SUM(CB37:CC42))</f>
        <v/>
      </c>
      <c r="CC35" s="629"/>
      <c r="CD35" s="620"/>
      <c r="CF35" s="630" t="str">
        <f>IF(CF37="","",SUM(CF37:CG42))</f>
        <v/>
      </c>
      <c r="CG35" s="630"/>
      <c r="CQ35" s="630"/>
      <c r="CR35" s="630"/>
    </row>
    <row r="36" spans="1:104" ht="7.5" customHeight="1" thickBot="1" x14ac:dyDescent="0.2">
      <c r="D36" s="62"/>
      <c r="E36" s="62"/>
      <c r="F36" s="62"/>
      <c r="G36" s="62"/>
      <c r="H36" s="62"/>
      <c r="I36" s="62"/>
      <c r="J36" s="62"/>
      <c r="K36" s="62"/>
      <c r="L36" s="62"/>
      <c r="M36" s="62"/>
      <c r="N36" s="62"/>
      <c r="O36" s="62"/>
      <c r="P36" s="62"/>
      <c r="Q36" s="62"/>
      <c r="R36" s="62"/>
      <c r="S36" s="62"/>
      <c r="T36" s="62"/>
      <c r="U36" s="62"/>
      <c r="V36" s="62"/>
      <c r="W36" s="62"/>
      <c r="X36" s="62"/>
      <c r="AE36" s="31"/>
      <c r="AF36" s="31"/>
      <c r="AG36" s="64"/>
      <c r="AH36" s="61"/>
      <c r="AI36" s="65"/>
      <c r="AJ36" s="31"/>
      <c r="AK36" s="31"/>
      <c r="AL36" s="31"/>
      <c r="AM36" s="31"/>
      <c r="AN36" s="64"/>
      <c r="AO36" s="61"/>
      <c r="AP36" s="65"/>
      <c r="AQ36" s="31"/>
      <c r="AR36" s="31"/>
      <c r="AS36" s="31"/>
      <c r="AT36" s="31"/>
      <c r="AU36" s="64"/>
      <c r="AV36" s="61"/>
      <c r="AW36" s="65"/>
      <c r="AX36" s="31"/>
      <c r="AY36" s="31"/>
      <c r="BC36" s="65"/>
      <c r="BD36" s="31"/>
      <c r="BE36" s="31"/>
      <c r="BI36" s="76"/>
      <c r="BY36" s="625"/>
      <c r="BZ36" s="625"/>
      <c r="CA36" s="625"/>
      <c r="CB36" s="625"/>
      <c r="CC36" s="625"/>
      <c r="CD36" s="632"/>
      <c r="CE36" s="625"/>
      <c r="CF36" s="625"/>
      <c r="CG36" s="625"/>
      <c r="CH36" s="625"/>
      <c r="CI36" s="625"/>
      <c r="CJ36" s="625"/>
      <c r="CQ36" s="633" t="s">
        <v>96</v>
      </c>
      <c r="CR36" s="633"/>
      <c r="CS36" s="633"/>
      <c r="CT36" s="633"/>
      <c r="CU36" s="633"/>
      <c r="CV36" s="633"/>
      <c r="CW36" s="633"/>
      <c r="CX36" s="633"/>
      <c r="CY36" s="633"/>
      <c r="CZ36" s="633"/>
    </row>
    <row r="37" spans="1:104" ht="14.25" customHeight="1" thickTop="1" x14ac:dyDescent="0.15">
      <c r="D37" s="62"/>
      <c r="E37" s="62"/>
      <c r="F37" s="62"/>
      <c r="G37" s="62"/>
      <c r="H37" s="62"/>
      <c r="I37" s="62"/>
      <c r="J37" s="62"/>
      <c r="K37" s="62"/>
      <c r="L37" s="62"/>
      <c r="M37" s="62"/>
      <c r="N37" s="62"/>
      <c r="O37" s="62"/>
      <c r="P37" s="62"/>
      <c r="Q37" s="62"/>
      <c r="R37" s="62"/>
      <c r="S37" s="62"/>
      <c r="T37" s="62"/>
      <c r="U37" s="62"/>
      <c r="V37" s="62"/>
      <c r="W37" s="62"/>
      <c r="X37" s="62"/>
      <c r="AE37" s="31"/>
      <c r="AF37" s="31"/>
      <c r="AG37" s="64"/>
      <c r="AH37" s="61"/>
      <c r="AI37" s="65"/>
      <c r="AJ37" s="31"/>
      <c r="AK37" s="31"/>
      <c r="AL37" s="31"/>
      <c r="AM37" s="31"/>
      <c r="AN37" s="64"/>
      <c r="AO37" s="61"/>
      <c r="AP37" s="65"/>
      <c r="AQ37" s="31"/>
      <c r="AR37" s="31"/>
      <c r="AS37" s="31"/>
      <c r="AT37" s="31"/>
      <c r="AU37" s="64"/>
      <c r="AV37" s="61"/>
      <c r="AW37" s="65"/>
      <c r="AX37" s="31"/>
      <c r="AY37" s="31"/>
      <c r="BB37" s="85"/>
      <c r="BC37" s="65"/>
      <c r="BD37" s="31"/>
      <c r="BE37" s="31"/>
      <c r="BI37" s="76"/>
      <c r="BN37" s="85"/>
      <c r="BO37" s="85"/>
      <c r="BP37" s="85"/>
      <c r="BV37" s="631" t="str">
        <f>IF(BV43=BZ43,"",IF(BZ43&lt;BV43,BU51,CA51))</f>
        <v/>
      </c>
      <c r="BW37" s="631"/>
      <c r="BX37" s="620"/>
      <c r="CB37" s="614"/>
      <c r="CC37" s="614"/>
      <c r="CD37" s="615" t="s">
        <v>92</v>
      </c>
      <c r="CE37" s="615"/>
      <c r="CF37" s="616"/>
      <c r="CG37" s="616"/>
      <c r="CK37" s="619"/>
      <c r="CL37" s="628" t="str">
        <f>IF(CH43=CL43,"",IF(CL43&lt;CH43,CG51,CM51))</f>
        <v/>
      </c>
      <c r="CM37" s="628"/>
      <c r="CP37" s="76"/>
      <c r="CQ37" s="633"/>
      <c r="CR37" s="633"/>
      <c r="CS37" s="633"/>
      <c r="CT37" s="633"/>
      <c r="CU37" s="633"/>
      <c r="CV37" s="633"/>
      <c r="CW37" s="633"/>
      <c r="CX37" s="633"/>
      <c r="CY37" s="633"/>
      <c r="CZ37" s="633"/>
    </row>
    <row r="38" spans="1:104" ht="13.5" customHeight="1" x14ac:dyDescent="0.15">
      <c r="D38" s="62"/>
      <c r="E38" s="62"/>
      <c r="F38" s="62"/>
      <c r="G38" s="62"/>
      <c r="H38" s="62"/>
      <c r="I38" s="62"/>
      <c r="J38" s="62"/>
      <c r="K38" s="62"/>
      <c r="L38" s="62"/>
      <c r="M38" s="62"/>
      <c r="N38" s="62"/>
      <c r="O38" s="62"/>
      <c r="P38" s="62"/>
      <c r="Q38" s="62"/>
      <c r="R38" s="62"/>
      <c r="S38" s="62"/>
      <c r="T38" s="62"/>
      <c r="U38" s="62"/>
      <c r="V38" s="62"/>
      <c r="W38" s="62"/>
      <c r="X38" s="62"/>
      <c r="AE38" s="31"/>
      <c r="AF38" s="31"/>
      <c r="AG38" s="64"/>
      <c r="AH38" s="61"/>
      <c r="AI38" s="65"/>
      <c r="AJ38" s="31"/>
      <c r="AK38" s="31"/>
      <c r="AL38" s="31"/>
      <c r="AM38" s="31"/>
      <c r="AN38" s="64"/>
      <c r="AO38" s="61"/>
      <c r="AP38" s="65"/>
      <c r="AQ38" s="31"/>
      <c r="AR38" s="31"/>
      <c r="AS38" s="31"/>
      <c r="AT38" s="31"/>
      <c r="AU38" s="64"/>
      <c r="AV38" s="61"/>
      <c r="AW38" s="65"/>
      <c r="AX38" s="31"/>
      <c r="AY38" s="31"/>
      <c r="BC38" s="65"/>
      <c r="BD38" s="31"/>
      <c r="BE38" s="31"/>
      <c r="BI38" s="76"/>
      <c r="BV38" s="631"/>
      <c r="BW38" s="631"/>
      <c r="BX38" s="620"/>
      <c r="CB38" s="614"/>
      <c r="CC38" s="614"/>
      <c r="CD38" s="615" t="s">
        <v>92</v>
      </c>
      <c r="CE38" s="615"/>
      <c r="CF38" s="616"/>
      <c r="CG38" s="616"/>
      <c r="CK38" s="619"/>
      <c r="CL38" s="628"/>
      <c r="CM38" s="628"/>
      <c r="CP38" s="76"/>
      <c r="CQ38" s="633"/>
      <c r="CR38" s="633"/>
      <c r="CS38" s="633"/>
      <c r="CT38" s="633"/>
      <c r="CU38" s="633"/>
      <c r="CV38" s="633"/>
      <c r="CW38" s="633"/>
      <c r="CX38" s="633"/>
      <c r="CY38" s="633"/>
      <c r="CZ38" s="633"/>
    </row>
    <row r="39" spans="1:104" x14ac:dyDescent="0.15">
      <c r="D39" s="62"/>
      <c r="E39" s="62"/>
      <c r="F39" s="62"/>
      <c r="G39" s="62"/>
      <c r="H39" s="62"/>
      <c r="I39" s="62"/>
      <c r="J39" s="62"/>
      <c r="K39" s="62"/>
      <c r="L39" s="62"/>
      <c r="M39" s="62"/>
      <c r="N39" s="62"/>
      <c r="O39" s="62"/>
      <c r="P39" s="62"/>
      <c r="Q39" s="62"/>
      <c r="R39" s="62"/>
      <c r="S39" s="62"/>
      <c r="T39" s="62"/>
      <c r="U39" s="62"/>
      <c r="V39" s="62"/>
      <c r="W39" s="62"/>
      <c r="X39" s="62"/>
      <c r="AE39" s="31"/>
      <c r="AF39" s="31"/>
      <c r="AG39" s="64"/>
      <c r="AH39" s="61"/>
      <c r="AI39" s="65"/>
      <c r="AJ39" s="31"/>
      <c r="AK39" s="31"/>
      <c r="AL39" s="31"/>
      <c r="AM39" s="31"/>
      <c r="AN39" s="64"/>
      <c r="AO39" s="61"/>
      <c r="AP39" s="65"/>
      <c r="AQ39" s="31"/>
      <c r="AR39" s="31"/>
      <c r="AS39" s="31"/>
      <c r="AT39" s="31"/>
      <c r="AU39" s="64"/>
      <c r="AV39" s="61"/>
      <c r="AW39" s="65"/>
      <c r="AX39" s="31"/>
      <c r="AY39" s="31"/>
      <c r="BC39" s="65"/>
      <c r="BD39" s="31"/>
      <c r="BE39" s="31"/>
      <c r="BI39" s="76"/>
      <c r="BV39" s="631"/>
      <c r="BW39" s="631"/>
      <c r="BX39" s="620"/>
      <c r="CB39" s="614"/>
      <c r="CC39" s="614"/>
      <c r="CD39" s="615" t="str">
        <f>IF(CB39="","","－")</f>
        <v/>
      </c>
      <c r="CE39" s="615"/>
      <c r="CF39" s="616"/>
      <c r="CG39" s="616"/>
      <c r="CK39" s="619"/>
      <c r="CL39" s="628"/>
      <c r="CM39" s="628"/>
      <c r="CP39" s="76"/>
      <c r="CS39" s="626" t="str">
        <f>A5</f>
        <v/>
      </c>
      <c r="CT39" s="626"/>
      <c r="CU39" s="626"/>
      <c r="CV39" s="626"/>
      <c r="CW39" s="626"/>
      <c r="CX39" s="626"/>
    </row>
    <row r="40" spans="1:104" x14ac:dyDescent="0.15">
      <c r="D40" s="62"/>
      <c r="E40" s="62"/>
      <c r="F40" s="62"/>
      <c r="G40" s="62"/>
      <c r="H40" s="62"/>
      <c r="I40" s="62"/>
      <c r="J40" s="62"/>
      <c r="K40" s="62"/>
      <c r="L40" s="62"/>
      <c r="M40" s="62"/>
      <c r="N40" s="62"/>
      <c r="O40" s="62"/>
      <c r="P40" s="62"/>
      <c r="Q40" s="62"/>
      <c r="R40" s="62"/>
      <c r="S40" s="62"/>
      <c r="T40" s="62"/>
      <c r="U40" s="62"/>
      <c r="V40" s="62"/>
      <c r="W40" s="62"/>
      <c r="X40" s="62"/>
      <c r="AE40" s="31"/>
      <c r="AF40" s="31"/>
      <c r="AG40" s="64"/>
      <c r="AH40" s="61"/>
      <c r="AI40" s="65"/>
      <c r="AJ40" s="31"/>
      <c r="AK40" s="31"/>
      <c r="AL40" s="31"/>
      <c r="AM40" s="31"/>
      <c r="AN40" s="64"/>
      <c r="AO40" s="61"/>
      <c r="AP40" s="65"/>
      <c r="AQ40" s="31"/>
      <c r="AR40" s="31"/>
      <c r="AS40" s="31"/>
      <c r="AT40" s="31"/>
      <c r="AU40" s="64"/>
      <c r="AV40" s="61"/>
      <c r="AW40" s="65"/>
      <c r="AX40" s="31"/>
      <c r="AY40" s="31"/>
      <c r="BC40" s="65"/>
      <c r="BD40" s="31"/>
      <c r="BE40" s="31"/>
      <c r="BI40" s="76"/>
      <c r="BV40" s="631"/>
      <c r="BW40" s="631"/>
      <c r="BX40" s="620"/>
      <c r="CB40" s="614"/>
      <c r="CC40" s="614"/>
      <c r="CD40" s="615" t="str">
        <f>IF(CB40="","","－")</f>
        <v/>
      </c>
      <c r="CE40" s="615"/>
      <c r="CF40" s="616"/>
      <c r="CG40" s="616"/>
      <c r="CK40" s="619"/>
      <c r="CL40" s="628"/>
      <c r="CM40" s="628"/>
      <c r="CP40" s="76"/>
      <c r="CS40" s="626"/>
      <c r="CT40" s="626"/>
      <c r="CU40" s="626"/>
      <c r="CV40" s="626"/>
      <c r="CW40" s="626"/>
      <c r="CX40" s="626"/>
    </row>
    <row r="41" spans="1:104" x14ac:dyDescent="0.15">
      <c r="D41" s="62"/>
      <c r="E41" s="62"/>
      <c r="F41" s="62"/>
      <c r="G41" s="62"/>
      <c r="H41" s="62"/>
      <c r="I41" s="62"/>
      <c r="J41" s="62"/>
      <c r="K41" s="62"/>
      <c r="L41" s="62"/>
      <c r="M41" s="62"/>
      <c r="N41" s="62"/>
      <c r="O41" s="62"/>
      <c r="P41" s="62"/>
      <c r="Q41" s="62"/>
      <c r="R41" s="62"/>
      <c r="S41" s="62"/>
      <c r="T41" s="62"/>
      <c r="U41" s="62"/>
      <c r="V41" s="62"/>
      <c r="W41" s="62"/>
      <c r="X41" s="62"/>
      <c r="AE41" s="31"/>
      <c r="AF41" s="31"/>
      <c r="AG41" s="64"/>
      <c r="AH41" s="61"/>
      <c r="AI41" s="65"/>
      <c r="AJ41" s="31"/>
      <c r="AK41" s="31"/>
      <c r="AL41" s="31"/>
      <c r="AM41" s="31"/>
      <c r="AN41" s="64"/>
      <c r="AO41" s="61"/>
      <c r="AP41" s="65"/>
      <c r="AQ41" s="31"/>
      <c r="AR41" s="31"/>
      <c r="AS41" s="31"/>
      <c r="AT41" s="31"/>
      <c r="AU41" s="64"/>
      <c r="AV41" s="61"/>
      <c r="AW41" s="65"/>
      <c r="AX41" s="31"/>
      <c r="AY41" s="31"/>
      <c r="BC41" s="65"/>
      <c r="BD41" s="31"/>
      <c r="BE41" s="31"/>
      <c r="BI41" s="76"/>
      <c r="BX41" s="620"/>
      <c r="CB41" s="614"/>
      <c r="CC41" s="614"/>
      <c r="CD41" s="615" t="str">
        <f>IF(CB41="","","PK")</f>
        <v/>
      </c>
      <c r="CE41" s="615"/>
      <c r="CF41" s="616"/>
      <c r="CG41" s="616"/>
      <c r="CK41" s="619"/>
      <c r="CP41" s="76"/>
      <c r="CQ41" s="621"/>
      <c r="CR41" s="621"/>
      <c r="CV41" s="619"/>
    </row>
    <row r="42" spans="1:104" x14ac:dyDescent="0.15">
      <c r="D42" s="62"/>
      <c r="E42" s="62"/>
      <c r="F42" s="62"/>
      <c r="G42" s="62"/>
      <c r="H42" s="62"/>
      <c r="I42" s="62"/>
      <c r="J42" s="62"/>
      <c r="K42" s="62"/>
      <c r="L42" s="62"/>
      <c r="M42" s="62"/>
      <c r="N42" s="62"/>
      <c r="O42" s="62"/>
      <c r="P42" s="62"/>
      <c r="Q42" s="62"/>
      <c r="R42" s="62"/>
      <c r="S42" s="62"/>
      <c r="T42" s="62"/>
      <c r="U42" s="62"/>
      <c r="V42" s="62"/>
      <c r="W42" s="62"/>
      <c r="X42" s="62"/>
      <c r="AE42" s="31"/>
      <c r="AF42" s="31"/>
      <c r="AG42" s="64"/>
      <c r="AH42" s="61"/>
      <c r="AI42" s="65"/>
      <c r="AJ42" s="31"/>
      <c r="AK42" s="31"/>
      <c r="AL42" s="31"/>
      <c r="AM42" s="31"/>
      <c r="AN42" s="64"/>
      <c r="AO42" s="61"/>
      <c r="AP42" s="65"/>
      <c r="AQ42" s="31"/>
      <c r="AR42" s="31"/>
      <c r="AS42" s="31"/>
      <c r="AT42" s="31"/>
      <c r="AU42" s="64"/>
      <c r="AV42" s="61"/>
      <c r="AW42" s="65"/>
      <c r="AX42" s="31"/>
      <c r="AY42" s="31"/>
      <c r="BC42" s="65"/>
      <c r="BD42" s="31"/>
      <c r="BE42" s="31"/>
      <c r="BI42" s="76"/>
      <c r="BV42" s="624" t="str">
        <f>IF(BV45="","",SUM(BV45:BW48))</f>
        <v/>
      </c>
      <c r="BW42" s="624"/>
      <c r="BX42" s="620"/>
      <c r="BZ42" s="621" t="str">
        <f>IF(BZ45="","",SUM(BZ45:CA48))</f>
        <v/>
      </c>
      <c r="CA42" s="621"/>
      <c r="CD42" s="615"/>
      <c r="CE42" s="615"/>
      <c r="CH42" s="624" t="str">
        <f>IF(CH45="","",SUM(CH45:CI48))</f>
        <v/>
      </c>
      <c r="CI42" s="624"/>
      <c r="CK42" s="619"/>
      <c r="CL42" s="621" t="str">
        <f>IF(CL45="","",SUM(CL45:CM48))</f>
        <v/>
      </c>
      <c r="CM42" s="621"/>
      <c r="CP42" s="76"/>
      <c r="CS42" s="624" t="str">
        <f>IF(CS45="","",SUM(CS45:CT48))</f>
        <v/>
      </c>
      <c r="CT42" s="624"/>
      <c r="CV42" s="619"/>
      <c r="CW42" s="621" t="str">
        <f>IF(CW45="","",SUM(CW45:CX48))</f>
        <v/>
      </c>
      <c r="CX42" s="621"/>
    </row>
    <row r="43" spans="1:104" s="85" customFormat="1" ht="13.5" hidden="1" customHeight="1" x14ac:dyDescent="0.15">
      <c r="A43" s="31"/>
      <c r="AE43" s="88"/>
      <c r="AF43" s="88"/>
      <c r="AG43" s="89"/>
      <c r="AH43" s="90"/>
      <c r="AI43" s="91"/>
      <c r="AJ43" s="88"/>
      <c r="AK43" s="88"/>
      <c r="AL43" s="88"/>
      <c r="AM43" s="88"/>
      <c r="AN43" s="89"/>
      <c r="AO43" s="90"/>
      <c r="AP43" s="91"/>
      <c r="AQ43" s="88"/>
      <c r="AR43" s="88"/>
      <c r="AS43" s="88"/>
      <c r="AT43" s="88"/>
      <c r="AU43" s="89"/>
      <c r="AV43" s="90"/>
      <c r="AW43" s="91"/>
      <c r="AX43" s="88"/>
      <c r="AY43" s="88"/>
      <c r="BB43" s="62"/>
      <c r="BC43" s="91"/>
      <c r="BD43" s="88"/>
      <c r="BE43" s="88"/>
      <c r="BI43" s="92"/>
      <c r="BN43" s="62"/>
      <c r="BO43" s="62"/>
      <c r="BP43" s="62"/>
      <c r="BV43" s="629" t="str">
        <f>IF(BV45="","",SUM(BV45:BW50))</f>
        <v/>
      </c>
      <c r="BW43" s="629"/>
      <c r="BX43" s="620"/>
      <c r="BZ43" s="630" t="str">
        <f>IF(BZ45="","",SUM(BZ45:CA50))</f>
        <v/>
      </c>
      <c r="CA43" s="630"/>
      <c r="CH43" s="629" t="str">
        <f>IF(CH45="","",SUM(CH45:CI50))</f>
        <v/>
      </c>
      <c r="CI43" s="629"/>
      <c r="CK43" s="619"/>
      <c r="CL43" s="630" t="str">
        <f>IF(CL45="","",SUM(CL45:CM50))</f>
        <v/>
      </c>
      <c r="CM43" s="630"/>
      <c r="CS43" s="629" t="str">
        <f>IF(CS45="","",SUM(CS45:CT50))</f>
        <v/>
      </c>
      <c r="CT43" s="629"/>
      <c r="CV43" s="619"/>
      <c r="CW43" s="630" t="str">
        <f>IF(CW45="","",SUM(CW45:CX50))</f>
        <v/>
      </c>
      <c r="CX43" s="630"/>
    </row>
    <row r="44" spans="1:104" ht="7.5" customHeight="1" thickBot="1" x14ac:dyDescent="0.2">
      <c r="D44" s="62"/>
      <c r="E44" s="62"/>
      <c r="F44" s="62"/>
      <c r="G44" s="62"/>
      <c r="H44" s="62"/>
      <c r="I44" s="62"/>
      <c r="J44" s="62"/>
      <c r="K44" s="62"/>
      <c r="L44" s="62"/>
      <c r="M44" s="62"/>
      <c r="N44" s="62"/>
      <c r="O44" s="62"/>
      <c r="P44" s="62"/>
      <c r="Q44" s="62"/>
      <c r="R44" s="62"/>
      <c r="S44" s="62"/>
      <c r="T44" s="62"/>
      <c r="U44" s="62"/>
      <c r="V44" s="62"/>
      <c r="W44" s="62"/>
      <c r="X44" s="62"/>
      <c r="AE44" s="31"/>
      <c r="AF44" s="31"/>
      <c r="AG44" s="64"/>
      <c r="AH44" s="61"/>
      <c r="AI44" s="65"/>
      <c r="AJ44" s="31"/>
      <c r="AK44" s="31"/>
      <c r="AL44" s="31"/>
      <c r="AM44" s="31"/>
      <c r="AN44" s="64"/>
      <c r="AO44" s="61"/>
      <c r="AP44" s="65"/>
      <c r="AQ44" s="31"/>
      <c r="AR44" s="31"/>
      <c r="AS44" s="31"/>
      <c r="AT44" s="31"/>
      <c r="AU44" s="64"/>
      <c r="AV44" s="61"/>
      <c r="AW44" s="65"/>
      <c r="AX44" s="31"/>
      <c r="AY44" s="31"/>
      <c r="BC44" s="65"/>
      <c r="BD44" s="31"/>
      <c r="BE44" s="31"/>
      <c r="BI44" s="76"/>
      <c r="BV44" s="625"/>
      <c r="BW44" s="625"/>
      <c r="BX44" s="632"/>
      <c r="BY44" s="625"/>
      <c r="BZ44" s="625"/>
      <c r="CA44" s="625"/>
      <c r="CH44" s="625"/>
      <c r="CI44" s="625"/>
      <c r="CJ44" s="625"/>
      <c r="CK44" s="627"/>
      <c r="CL44" s="625"/>
      <c r="CM44" s="625"/>
      <c r="CS44" s="625"/>
      <c r="CT44" s="625"/>
      <c r="CU44" s="625"/>
      <c r="CV44" s="627"/>
      <c r="CW44" s="625"/>
      <c r="CX44" s="625"/>
    </row>
    <row r="45" spans="1:104" ht="15" thickTop="1" x14ac:dyDescent="0.15">
      <c r="D45" s="62"/>
      <c r="E45" s="62"/>
      <c r="F45" s="62"/>
      <c r="G45" s="62"/>
      <c r="H45" s="62"/>
      <c r="I45" s="62"/>
      <c r="J45" s="62"/>
      <c r="K45" s="62"/>
      <c r="L45" s="62"/>
      <c r="M45" s="62"/>
      <c r="N45" s="62"/>
      <c r="O45" s="62"/>
      <c r="P45" s="62"/>
      <c r="Q45" s="62"/>
      <c r="R45" s="62"/>
      <c r="S45" s="62"/>
      <c r="T45" s="62"/>
      <c r="U45" s="62"/>
      <c r="V45" s="62"/>
      <c r="W45" s="62"/>
      <c r="X45" s="62"/>
      <c r="AE45" s="31"/>
      <c r="AF45" s="31"/>
      <c r="AG45" s="64"/>
      <c r="AH45" s="61"/>
      <c r="AI45" s="65"/>
      <c r="AJ45" s="31"/>
      <c r="AK45" s="31"/>
      <c r="AL45" s="31"/>
      <c r="AM45" s="31"/>
      <c r="AN45" s="64"/>
      <c r="AO45" s="61"/>
      <c r="AP45" s="65"/>
      <c r="AQ45" s="31"/>
      <c r="AR45" s="31"/>
      <c r="AS45" s="31"/>
      <c r="AT45" s="31"/>
      <c r="AU45" s="64"/>
      <c r="AV45" s="61"/>
      <c r="AW45" s="65"/>
      <c r="AX45" s="31"/>
      <c r="AY45" s="31"/>
      <c r="BC45" s="65"/>
      <c r="BD45" s="31"/>
      <c r="BE45" s="31"/>
      <c r="BI45" s="76"/>
      <c r="BU45" s="620"/>
      <c r="BV45" s="614"/>
      <c r="BW45" s="614"/>
      <c r="BX45" s="615" t="s">
        <v>92</v>
      </c>
      <c r="BY45" s="615"/>
      <c r="BZ45" s="616"/>
      <c r="CA45" s="616"/>
      <c r="CB45" s="619"/>
      <c r="CG45" s="620"/>
      <c r="CH45" s="614"/>
      <c r="CI45" s="614"/>
      <c r="CJ45" s="615" t="s">
        <v>92</v>
      </c>
      <c r="CK45" s="615"/>
      <c r="CL45" s="616"/>
      <c r="CM45" s="616"/>
      <c r="CN45" s="619"/>
      <c r="CR45" s="620"/>
      <c r="CS45" s="614"/>
      <c r="CT45" s="614"/>
      <c r="CU45" s="615" t="s">
        <v>92</v>
      </c>
      <c r="CV45" s="615"/>
      <c r="CW45" s="616"/>
      <c r="CX45" s="616"/>
      <c r="CY45" s="619"/>
    </row>
    <row r="46" spans="1:104" x14ac:dyDescent="0.15">
      <c r="D46" s="62"/>
      <c r="E46" s="62"/>
      <c r="F46" s="62"/>
      <c r="G46" s="62"/>
      <c r="H46" s="62"/>
      <c r="I46" s="62"/>
      <c r="J46" s="62"/>
      <c r="K46" s="62"/>
      <c r="L46" s="62"/>
      <c r="M46" s="62"/>
      <c r="N46" s="62"/>
      <c r="O46" s="62"/>
      <c r="P46" s="62"/>
      <c r="Q46" s="62"/>
      <c r="R46" s="62"/>
      <c r="S46" s="62"/>
      <c r="T46" s="62"/>
      <c r="U46" s="62"/>
      <c r="V46" s="62"/>
      <c r="W46" s="62"/>
      <c r="X46" s="62"/>
      <c r="AE46" s="31"/>
      <c r="AF46" s="31"/>
      <c r="AG46" s="64"/>
      <c r="AH46" s="61"/>
      <c r="AI46" s="65"/>
      <c r="AJ46" s="31"/>
      <c r="AK46" s="31"/>
      <c r="AL46" s="31"/>
      <c r="AM46" s="31"/>
      <c r="AN46" s="64"/>
      <c r="AO46" s="61"/>
      <c r="AP46" s="65"/>
      <c r="AQ46" s="31"/>
      <c r="AR46" s="31"/>
      <c r="AS46" s="31"/>
      <c r="AT46" s="31"/>
      <c r="AU46" s="64"/>
      <c r="AV46" s="61"/>
      <c r="AW46" s="65"/>
      <c r="AX46" s="31"/>
      <c r="AY46" s="31"/>
      <c r="BC46" s="65"/>
      <c r="BD46" s="31"/>
      <c r="BE46" s="31"/>
      <c r="BI46" s="76"/>
      <c r="BU46" s="620"/>
      <c r="BV46" s="614"/>
      <c r="BW46" s="614"/>
      <c r="BX46" s="615" t="s">
        <v>92</v>
      </c>
      <c r="BY46" s="615"/>
      <c r="BZ46" s="616"/>
      <c r="CA46" s="616"/>
      <c r="CB46" s="619"/>
      <c r="CG46" s="620"/>
      <c r="CH46" s="614"/>
      <c r="CI46" s="614"/>
      <c r="CJ46" s="615" t="s">
        <v>92</v>
      </c>
      <c r="CK46" s="615"/>
      <c r="CL46" s="616"/>
      <c r="CM46" s="616"/>
      <c r="CN46" s="619"/>
      <c r="CR46" s="620"/>
      <c r="CS46" s="614"/>
      <c r="CT46" s="614"/>
      <c r="CU46" s="615" t="s">
        <v>92</v>
      </c>
      <c r="CV46" s="615"/>
      <c r="CW46" s="616"/>
      <c r="CX46" s="616"/>
      <c r="CY46" s="619"/>
    </row>
    <row r="47" spans="1:104" x14ac:dyDescent="0.15">
      <c r="A47" s="88"/>
      <c r="D47" s="62"/>
      <c r="E47" s="62"/>
      <c r="F47" s="62"/>
      <c r="G47" s="62"/>
      <c r="H47" s="62"/>
      <c r="I47" s="62"/>
      <c r="J47" s="62"/>
      <c r="K47" s="62"/>
      <c r="L47" s="62"/>
      <c r="M47" s="62"/>
      <c r="N47" s="62"/>
      <c r="O47" s="62"/>
      <c r="P47" s="62"/>
      <c r="Q47" s="62"/>
      <c r="R47" s="62"/>
      <c r="S47" s="62"/>
      <c r="T47" s="62"/>
      <c r="U47" s="62"/>
      <c r="V47" s="62"/>
      <c r="W47" s="62"/>
      <c r="X47" s="62"/>
      <c r="AE47" s="31"/>
      <c r="AF47" s="31"/>
      <c r="AG47" s="64"/>
      <c r="AH47" s="61"/>
      <c r="AI47" s="65"/>
      <c r="AJ47" s="31"/>
      <c r="AK47" s="31"/>
      <c r="AL47" s="31"/>
      <c r="AM47" s="31"/>
      <c r="AN47" s="64"/>
      <c r="AO47" s="61"/>
      <c r="AP47" s="65"/>
      <c r="AQ47" s="31"/>
      <c r="AR47" s="31"/>
      <c r="AS47" s="31"/>
      <c r="AT47" s="31"/>
      <c r="AU47" s="64"/>
      <c r="AV47" s="61"/>
      <c r="AW47" s="65"/>
      <c r="AX47" s="31"/>
      <c r="AY47" s="31"/>
      <c r="BC47" s="65"/>
      <c r="BD47" s="31"/>
      <c r="BE47" s="31"/>
      <c r="BI47" s="76"/>
      <c r="BU47" s="620"/>
      <c r="BV47" s="614"/>
      <c r="BW47" s="614"/>
      <c r="BX47" s="615" t="str">
        <f>IF(BV47="","","－")</f>
        <v/>
      </c>
      <c r="BY47" s="615"/>
      <c r="BZ47" s="616"/>
      <c r="CA47" s="616"/>
      <c r="CB47" s="619"/>
      <c r="CG47" s="620"/>
      <c r="CH47" s="614"/>
      <c r="CI47" s="614"/>
      <c r="CJ47" s="615" t="str">
        <f>IF(CH47="","","－")</f>
        <v/>
      </c>
      <c r="CK47" s="615"/>
      <c r="CL47" s="616"/>
      <c r="CM47" s="616"/>
      <c r="CN47" s="619"/>
      <c r="CR47" s="620"/>
      <c r="CS47" s="614"/>
      <c r="CT47" s="614"/>
      <c r="CU47" s="615" t="str">
        <f>IF(CS47="","","－")</f>
        <v/>
      </c>
      <c r="CV47" s="615"/>
      <c r="CW47" s="616"/>
      <c r="CX47" s="616"/>
      <c r="CY47" s="619"/>
    </row>
    <row r="48" spans="1:104" x14ac:dyDescent="0.15">
      <c r="D48" s="62"/>
      <c r="E48" s="62"/>
      <c r="F48" s="62"/>
      <c r="G48" s="62"/>
      <c r="H48" s="62"/>
      <c r="I48" s="62"/>
      <c r="J48" s="62"/>
      <c r="K48" s="62"/>
      <c r="L48" s="62"/>
      <c r="M48" s="62"/>
      <c r="N48" s="62"/>
      <c r="O48" s="62"/>
      <c r="P48" s="62"/>
      <c r="Q48" s="62"/>
      <c r="R48" s="62"/>
      <c r="S48" s="62"/>
      <c r="T48" s="62"/>
      <c r="U48" s="62"/>
      <c r="V48" s="62"/>
      <c r="W48" s="62"/>
      <c r="X48" s="62"/>
      <c r="AE48" s="31"/>
      <c r="AF48" s="31"/>
      <c r="AG48" s="64"/>
      <c r="AH48" s="61"/>
      <c r="AI48" s="65"/>
      <c r="AJ48" s="31"/>
      <c r="AK48" s="31"/>
      <c r="AL48" s="31"/>
      <c r="AM48" s="31"/>
      <c r="AN48" s="64"/>
      <c r="AO48" s="61"/>
      <c r="AP48" s="65"/>
      <c r="AQ48" s="31"/>
      <c r="AR48" s="31"/>
      <c r="AS48" s="31"/>
      <c r="AT48" s="31"/>
      <c r="AU48" s="64"/>
      <c r="AV48" s="61"/>
      <c r="AW48" s="65"/>
      <c r="AX48" s="31"/>
      <c r="AY48" s="31"/>
      <c r="BC48" s="65"/>
      <c r="BD48" s="31"/>
      <c r="BE48" s="31"/>
      <c r="BI48" s="76"/>
      <c r="BU48" s="620"/>
      <c r="BV48" s="614"/>
      <c r="BW48" s="614"/>
      <c r="BX48" s="615" t="str">
        <f>IF(BV48="","","－")</f>
        <v/>
      </c>
      <c r="BY48" s="615"/>
      <c r="BZ48" s="616"/>
      <c r="CA48" s="616"/>
      <c r="CB48" s="619"/>
      <c r="CG48" s="620"/>
      <c r="CH48" s="614"/>
      <c r="CI48" s="614"/>
      <c r="CJ48" s="615" t="str">
        <f>IF(CH48="","","－")</f>
        <v/>
      </c>
      <c r="CK48" s="615"/>
      <c r="CL48" s="616"/>
      <c r="CM48" s="616"/>
      <c r="CN48" s="619"/>
      <c r="CR48" s="620"/>
      <c r="CS48" s="614"/>
      <c r="CT48" s="614"/>
      <c r="CU48" s="615" t="str">
        <f>IF(CS48="","","－")</f>
        <v/>
      </c>
      <c r="CV48" s="615"/>
      <c r="CW48" s="616"/>
      <c r="CX48" s="616"/>
      <c r="CY48" s="619"/>
    </row>
    <row r="49" spans="1:106" x14ac:dyDescent="0.15">
      <c r="D49" s="62"/>
      <c r="E49" s="62"/>
      <c r="F49" s="62"/>
      <c r="G49" s="62"/>
      <c r="H49" s="62"/>
      <c r="I49" s="62"/>
      <c r="J49" s="62"/>
      <c r="K49" s="62"/>
      <c r="L49" s="62"/>
      <c r="M49" s="62"/>
      <c r="N49" s="62"/>
      <c r="O49" s="62"/>
      <c r="P49" s="62"/>
      <c r="Q49" s="62"/>
      <c r="R49" s="62"/>
      <c r="S49" s="62"/>
      <c r="T49" s="62"/>
      <c r="U49" s="62"/>
      <c r="V49" s="62"/>
      <c r="W49" s="62"/>
      <c r="X49" s="62"/>
      <c r="AE49" s="31"/>
      <c r="AF49" s="31"/>
      <c r="AG49" s="64"/>
      <c r="AH49" s="61"/>
      <c r="AI49" s="65"/>
      <c r="AJ49" s="31"/>
      <c r="AK49" s="31"/>
      <c r="AL49" s="31"/>
      <c r="AM49" s="31"/>
      <c r="AN49" s="64"/>
      <c r="AO49" s="61"/>
      <c r="AP49" s="65"/>
      <c r="AQ49" s="31"/>
      <c r="AR49" s="31"/>
      <c r="AS49" s="31"/>
      <c r="AT49" s="31"/>
      <c r="AU49" s="64"/>
      <c r="AV49" s="61"/>
      <c r="AW49" s="65"/>
      <c r="AX49" s="31"/>
      <c r="AY49" s="31"/>
      <c r="BC49" s="65"/>
      <c r="BD49" s="31"/>
      <c r="BE49" s="31"/>
      <c r="BI49" s="76"/>
      <c r="BU49" s="620"/>
      <c r="BV49" s="614"/>
      <c r="BW49" s="614"/>
      <c r="BX49" s="615" t="str">
        <f>IF(BV49="","","PK")</f>
        <v/>
      </c>
      <c r="BY49" s="615"/>
      <c r="BZ49" s="616"/>
      <c r="CA49" s="616"/>
      <c r="CB49" s="619"/>
      <c r="CG49" s="620"/>
      <c r="CH49" s="614"/>
      <c r="CI49" s="614"/>
      <c r="CJ49" s="615" t="str">
        <f>IF(CH49="","","PK")</f>
        <v/>
      </c>
      <c r="CK49" s="615"/>
      <c r="CL49" s="616"/>
      <c r="CM49" s="616"/>
      <c r="CN49" s="619"/>
      <c r="CR49" s="620"/>
      <c r="CS49" s="614"/>
      <c r="CT49" s="614"/>
      <c r="CU49" s="615" t="str">
        <f>IF(CS50="","","PK")</f>
        <v/>
      </c>
      <c r="CV49" s="615"/>
      <c r="CW49" s="616"/>
      <c r="CX49" s="616"/>
      <c r="CY49" s="619"/>
    </row>
    <row r="50" spans="1:106" x14ac:dyDescent="0.15">
      <c r="D50" s="62"/>
      <c r="E50" s="62"/>
      <c r="F50" s="62"/>
      <c r="G50" s="62"/>
      <c r="H50" s="62"/>
      <c r="I50" s="62"/>
      <c r="J50" s="62"/>
      <c r="K50" s="62"/>
      <c r="L50" s="62"/>
      <c r="M50" s="62"/>
      <c r="N50" s="62"/>
      <c r="O50" s="62"/>
      <c r="P50" s="62"/>
      <c r="Q50" s="62"/>
      <c r="R50" s="62"/>
      <c r="S50" s="62"/>
      <c r="T50" s="62"/>
      <c r="U50" s="62"/>
      <c r="V50" s="62"/>
      <c r="W50" s="62"/>
      <c r="X50" s="62"/>
      <c r="AE50" s="31"/>
      <c r="AF50" s="31"/>
      <c r="AG50" s="64"/>
      <c r="AH50" s="61"/>
      <c r="AI50" s="65"/>
      <c r="AJ50" s="31"/>
      <c r="AK50" s="31"/>
      <c r="AL50" s="31"/>
      <c r="AM50" s="31"/>
      <c r="AN50" s="64"/>
      <c r="AO50" s="61"/>
      <c r="AP50" s="65"/>
      <c r="AQ50" s="31"/>
      <c r="AR50" s="31"/>
      <c r="AS50" s="31"/>
      <c r="AT50" s="31"/>
      <c r="AU50" s="64"/>
      <c r="AV50" s="61"/>
      <c r="AW50" s="65"/>
      <c r="AX50" s="31"/>
      <c r="AY50" s="31"/>
      <c r="BC50" s="65"/>
      <c r="BD50" s="31"/>
      <c r="BE50" s="31"/>
      <c r="BI50" s="76"/>
      <c r="BU50" s="620"/>
      <c r="BX50" s="615"/>
      <c r="BY50" s="615"/>
      <c r="CB50" s="619"/>
      <c r="CG50" s="620"/>
      <c r="CJ50" s="615"/>
      <c r="CK50" s="615"/>
      <c r="CN50" s="619"/>
      <c r="CR50" s="620"/>
      <c r="CS50" s="623"/>
      <c r="CT50" s="624"/>
      <c r="CU50" s="618" t="str">
        <f>IF(CS50="","","－")</f>
        <v/>
      </c>
      <c r="CV50" s="618"/>
      <c r="CW50" s="621"/>
      <c r="CX50" s="622"/>
      <c r="CY50" s="619"/>
    </row>
    <row r="51" spans="1:106" s="68" customFormat="1" ht="183.75" customHeight="1" x14ac:dyDescent="0.15">
      <c r="A51" s="67" t="str">
        <f>IF(CC47=CG47,"",IF(BW49=BI63,BO63,BI63))</f>
        <v/>
      </c>
      <c r="AE51" s="67"/>
      <c r="AF51" s="67"/>
      <c r="AG51" s="69"/>
      <c r="AH51" s="70"/>
      <c r="AI51" s="71"/>
      <c r="AJ51" s="67"/>
      <c r="AK51" s="67"/>
      <c r="AL51" s="67"/>
      <c r="AM51" s="67"/>
      <c r="AN51" s="69"/>
      <c r="AO51" s="70"/>
      <c r="AP51" s="71"/>
      <c r="AQ51" s="67"/>
      <c r="AR51" s="67"/>
      <c r="AS51" s="67"/>
      <c r="AT51" s="67"/>
      <c r="AU51" s="69"/>
      <c r="AV51" s="70"/>
      <c r="AW51" s="71"/>
      <c r="AX51" s="67"/>
      <c r="AY51" s="67"/>
      <c r="BC51" s="71"/>
      <c r="BD51" s="67"/>
      <c r="BE51" s="67"/>
      <c r="BI51" s="93"/>
      <c r="BU51" s="617" t="str">
        <f>IF(ISERROR(MATCH(1,$AB$10:$AB$21,0)),"A1位（　　　)",INDEX($C$10:$C$21,MATCH(1,$AB$10:$AB$21,0),1))</f>
        <v>A1位（　　　)</v>
      </c>
      <c r="BV51" s="617"/>
      <c r="BW51" s="94"/>
      <c r="BX51" s="94"/>
      <c r="BY51" s="94"/>
      <c r="BZ51" s="94"/>
      <c r="CA51" s="617" t="str">
        <f>IF(ISERROR(MATCH(2,$BJ$10:$BJ$21,0)),"B2位（　　　)",INDEX($AF$10:$AF$21,MATCH(2,$BJ$10:$BJ$21,0),1))</f>
        <v>B2位（　　　)</v>
      </c>
      <c r="CB51" s="617"/>
      <c r="CC51" s="94"/>
      <c r="CD51" s="94"/>
      <c r="CE51" s="94"/>
      <c r="CF51" s="94"/>
      <c r="CG51" s="617" t="str">
        <f>IF(ISERROR(MATCH(2,$AB$10:$AB$21,0)),"A2位（　　　)",INDEX($C$10:$C$21,MATCH(2,$AB$10:$AB$21,0),1))</f>
        <v>A2位（　　　)</v>
      </c>
      <c r="CH51" s="617"/>
      <c r="CI51" s="94"/>
      <c r="CJ51" s="94"/>
      <c r="CK51" s="94"/>
      <c r="CL51" s="94"/>
      <c r="CM51" s="617" t="str">
        <f>IF(ISERROR(MATCH(1,$BJ$10:$BJ$21,0)),"B1位（　　　)",INDEX($AF$10:$AF$21,MATCH(1,$BJ$10:$BJ$21,0),1))</f>
        <v>B1位（　　　)</v>
      </c>
      <c r="CN51" s="617"/>
      <c r="CO51" s="94"/>
      <c r="CP51" s="94"/>
      <c r="CQ51" s="94"/>
      <c r="CR51" s="617" t="str">
        <f>IF(BV43=BZ43,"",IF(BZ43&gt;BV43,BU51,CA51))</f>
        <v/>
      </c>
      <c r="CS51" s="617"/>
      <c r="CT51" s="94"/>
      <c r="CU51" s="94"/>
      <c r="CV51" s="94"/>
      <c r="CW51" s="94"/>
      <c r="CX51" s="617" t="str">
        <f>IF(CH43=CL43,"",IF(CL43&gt;CH43,CG51,CM51))</f>
        <v/>
      </c>
      <c r="CY51" s="617"/>
      <c r="CZ51" s="93"/>
      <c r="DA51" s="93"/>
      <c r="DB51" s="93"/>
    </row>
    <row r="52" spans="1:106" x14ac:dyDescent="0.15">
      <c r="A52" s="31" t="str">
        <f>IF(CC47=CG47,"",IF(CM49=CA63,BU63,BI63))</f>
        <v/>
      </c>
      <c r="D52" s="62"/>
      <c r="E52" s="62"/>
      <c r="F52" s="62"/>
      <c r="G52" s="62"/>
      <c r="H52" s="62"/>
      <c r="I52" s="62"/>
      <c r="J52" s="62"/>
      <c r="K52" s="62"/>
      <c r="L52" s="62"/>
      <c r="M52" s="62"/>
      <c r="N52" s="62"/>
      <c r="O52" s="62"/>
      <c r="P52" s="62"/>
      <c r="Q52" s="62"/>
      <c r="R52" s="62"/>
      <c r="S52" s="62"/>
      <c r="T52" s="62"/>
      <c r="U52" s="62"/>
      <c r="V52" s="62"/>
      <c r="W52" s="62"/>
      <c r="X52" s="62"/>
      <c r="AE52" s="31"/>
      <c r="AF52" s="31"/>
      <c r="AG52" s="64"/>
      <c r="AH52" s="61"/>
      <c r="AI52" s="65"/>
      <c r="AJ52" s="31"/>
      <c r="AK52" s="31"/>
      <c r="AL52" s="31"/>
      <c r="AM52" s="31"/>
      <c r="AN52" s="64"/>
      <c r="AO52" s="61"/>
      <c r="AP52" s="65"/>
      <c r="AQ52" s="31"/>
      <c r="AR52" s="31"/>
      <c r="AS52" s="31"/>
      <c r="AT52" s="31"/>
      <c r="AU52" s="64"/>
      <c r="AV52" s="61"/>
      <c r="AW52" s="65"/>
      <c r="AX52" s="31"/>
      <c r="AY52" s="31"/>
    </row>
    <row r="55" spans="1:106" x14ac:dyDescent="0.15">
      <c r="A55" s="88"/>
    </row>
  </sheetData>
  <mergeCells count="203">
    <mergeCell ref="F3:H3"/>
    <mergeCell ref="I3:Z3"/>
    <mergeCell ref="AC3:AI3"/>
    <mergeCell ref="F4:H4"/>
    <mergeCell ref="I4:Z4"/>
    <mergeCell ref="AC4:AI4"/>
    <mergeCell ref="V10:X10"/>
    <mergeCell ref="Y10:Y13"/>
    <mergeCell ref="F5:H5"/>
    <mergeCell ref="I5:Z5"/>
    <mergeCell ref="AC5:AI5"/>
    <mergeCell ref="I6:Z6"/>
    <mergeCell ref="D9:J9"/>
    <mergeCell ref="K9:Q9"/>
    <mergeCell ref="R9:X9"/>
    <mergeCell ref="AG9:AM9"/>
    <mergeCell ref="BI10:BI13"/>
    <mergeCell ref="BJ10:BJ13"/>
    <mergeCell ref="C14:C17"/>
    <mergeCell ref="D14:F14"/>
    <mergeCell ref="H14:J14"/>
    <mergeCell ref="K14:Q17"/>
    <mergeCell ref="R14:T14"/>
    <mergeCell ref="V14:X14"/>
    <mergeCell ref="Y14:Y17"/>
    <mergeCell ref="AR10:AT10"/>
    <mergeCell ref="Z10:Z13"/>
    <mergeCell ref="AA10:AA13"/>
    <mergeCell ref="AB10:AB13"/>
    <mergeCell ref="AF10:AF13"/>
    <mergeCell ref="AG10:AM13"/>
    <mergeCell ref="AN10:AP10"/>
    <mergeCell ref="BI14:BI17"/>
    <mergeCell ref="BJ14:BJ17"/>
    <mergeCell ref="AY14:BA14"/>
    <mergeCell ref="C10:C13"/>
    <mergeCell ref="D10:J13"/>
    <mergeCell ref="K10:M10"/>
    <mergeCell ref="O10:Q10"/>
    <mergeCell ref="R10:T10"/>
    <mergeCell ref="C18:C21"/>
    <mergeCell ref="D18:F18"/>
    <mergeCell ref="H18:J18"/>
    <mergeCell ref="K18:M18"/>
    <mergeCell ref="O18:Q18"/>
    <mergeCell ref="R18:X21"/>
    <mergeCell ref="Y18:Y21"/>
    <mergeCell ref="AN14:AT17"/>
    <mergeCell ref="AU14:AW14"/>
    <mergeCell ref="Z14:Z17"/>
    <mergeCell ref="AA14:AA17"/>
    <mergeCell ref="AB14:AB17"/>
    <mergeCell ref="AF14:AF17"/>
    <mergeCell ref="AG14:AI14"/>
    <mergeCell ref="AK14:AM14"/>
    <mergeCell ref="BJ18:BJ21"/>
    <mergeCell ref="AU18:BA21"/>
    <mergeCell ref="AN18:AP18"/>
    <mergeCell ref="AR18:AT18"/>
    <mergeCell ref="Z18:Z21"/>
    <mergeCell ref="AA18:AA21"/>
    <mergeCell ref="AB18:AB21"/>
    <mergeCell ref="AF18:AF21"/>
    <mergeCell ref="BI18:BI21"/>
    <mergeCell ref="BC25:BE25"/>
    <mergeCell ref="BF25:BH25"/>
    <mergeCell ref="BJ25:BL25"/>
    <mergeCell ref="BU25:CO27"/>
    <mergeCell ref="BX31:BZ31"/>
    <mergeCell ref="AE25:AG25"/>
    <mergeCell ref="AI25:AK25"/>
    <mergeCell ref="AL25:AN25"/>
    <mergeCell ref="AP25:AR25"/>
    <mergeCell ref="AS25:AU25"/>
    <mergeCell ref="AW25:AY25"/>
    <mergeCell ref="AZ25:BA25"/>
    <mergeCell ref="CD33:CD36"/>
    <mergeCell ref="CB34:CC34"/>
    <mergeCell ref="CF34:CG34"/>
    <mergeCell ref="CQ34:CR34"/>
    <mergeCell ref="CB35:CC35"/>
    <mergeCell ref="CF35:CG35"/>
    <mergeCell ref="CQ35:CR35"/>
    <mergeCell ref="BY36:CC36"/>
    <mergeCell ref="CE36:CJ36"/>
    <mergeCell ref="CQ36:CZ38"/>
    <mergeCell ref="BV37:BW40"/>
    <mergeCell ref="BX37:BX44"/>
    <mergeCell ref="CB37:CC37"/>
    <mergeCell ref="CD37:CE37"/>
    <mergeCell ref="CF37:CG37"/>
    <mergeCell ref="CK37:CK44"/>
    <mergeCell ref="BV42:BW42"/>
    <mergeCell ref="BZ42:CA42"/>
    <mergeCell ref="CH42:CI42"/>
    <mergeCell ref="BV44:BW44"/>
    <mergeCell ref="BV43:BW43"/>
    <mergeCell ref="BZ43:CA43"/>
    <mergeCell ref="BY44:CA44"/>
    <mergeCell ref="CH44:CJ44"/>
    <mergeCell ref="CS39:CX40"/>
    <mergeCell ref="CB40:CC40"/>
    <mergeCell ref="CD40:CE40"/>
    <mergeCell ref="CF40:CG40"/>
    <mergeCell ref="CB41:CC41"/>
    <mergeCell ref="CD41:CE41"/>
    <mergeCell ref="CF41:CG41"/>
    <mergeCell ref="CQ41:CR41"/>
    <mergeCell ref="CV41:CV44"/>
    <mergeCell ref="CD42:CE42"/>
    <mergeCell ref="CL37:CM40"/>
    <mergeCell ref="CB38:CC38"/>
    <mergeCell ref="CD38:CE38"/>
    <mergeCell ref="CF38:CG38"/>
    <mergeCell ref="CB39:CC39"/>
    <mergeCell ref="CD39:CE39"/>
    <mergeCell ref="CF39:CG39"/>
    <mergeCell ref="CL42:CM42"/>
    <mergeCell ref="CS42:CT42"/>
    <mergeCell ref="CW42:CX42"/>
    <mergeCell ref="CH43:CI43"/>
    <mergeCell ref="CL43:CM43"/>
    <mergeCell ref="CS43:CT43"/>
    <mergeCell ref="CW43:CX43"/>
    <mergeCell ref="BV47:BW47"/>
    <mergeCell ref="BX47:BY47"/>
    <mergeCell ref="BZ47:CA47"/>
    <mergeCell ref="CL44:CM44"/>
    <mergeCell ref="CS44:CU44"/>
    <mergeCell ref="CW44:CX44"/>
    <mergeCell ref="BU45:BU50"/>
    <mergeCell ref="BV45:BW45"/>
    <mergeCell ref="BX45:BY45"/>
    <mergeCell ref="BZ45:CA45"/>
    <mergeCell ref="CB45:CB50"/>
    <mergeCell ref="CS45:CT45"/>
    <mergeCell ref="CU45:CV45"/>
    <mergeCell ref="CW45:CX45"/>
    <mergeCell ref="CH47:CI47"/>
    <mergeCell ref="CJ47:CK47"/>
    <mergeCell ref="CL47:CM47"/>
    <mergeCell ref="CS47:CT47"/>
    <mergeCell ref="CU47:CV47"/>
    <mergeCell ref="CW47:CX47"/>
    <mergeCell ref="BV49:BW49"/>
    <mergeCell ref="BX49:BY49"/>
    <mergeCell ref="BZ49:CA49"/>
    <mergeCell ref="CH49:CI49"/>
    <mergeCell ref="CN45:CN50"/>
    <mergeCell ref="CR45:CR50"/>
    <mergeCell ref="CS46:CT46"/>
    <mergeCell ref="CU46:CV46"/>
    <mergeCell ref="CW46:CX46"/>
    <mergeCell ref="CJ48:CK48"/>
    <mergeCell ref="CL48:CM48"/>
    <mergeCell ref="CS48:CT48"/>
    <mergeCell ref="CU48:CV48"/>
    <mergeCell ref="CW48:CX48"/>
    <mergeCell ref="CJ49:CK49"/>
    <mergeCell ref="CL49:CM49"/>
    <mergeCell ref="CS49:CT49"/>
    <mergeCell ref="CU49:CV49"/>
    <mergeCell ref="CW49:CX49"/>
    <mergeCell ref="CW50:CX50"/>
    <mergeCell ref="CS50:CT50"/>
    <mergeCell ref="BV48:BW48"/>
    <mergeCell ref="BX48:BY48"/>
    <mergeCell ref="BZ48:CA48"/>
    <mergeCell ref="CH48:CI48"/>
    <mergeCell ref="CX51:CY51"/>
    <mergeCell ref="BX50:BY50"/>
    <mergeCell ref="CJ50:CK50"/>
    <mergeCell ref="CU50:CV50"/>
    <mergeCell ref="BU51:BV51"/>
    <mergeCell ref="CA51:CB51"/>
    <mergeCell ref="CG51:CH51"/>
    <mergeCell ref="CM51:CN51"/>
    <mergeCell ref="CR51:CS51"/>
    <mergeCell ref="CY45:CY50"/>
    <mergeCell ref="BV46:BW46"/>
    <mergeCell ref="BX46:BY46"/>
    <mergeCell ref="BZ46:CA46"/>
    <mergeCell ref="CH46:CI46"/>
    <mergeCell ref="CJ46:CK46"/>
    <mergeCell ref="CL46:CM46"/>
    <mergeCell ref="CG45:CG50"/>
    <mergeCell ref="CH45:CI45"/>
    <mergeCell ref="CJ45:CK45"/>
    <mergeCell ref="CL45:CM45"/>
    <mergeCell ref="BB9:BD9"/>
    <mergeCell ref="BE9:BH9"/>
    <mergeCell ref="BE10:BH13"/>
    <mergeCell ref="BE14:BH17"/>
    <mergeCell ref="BE18:BH21"/>
    <mergeCell ref="BB10:BD13"/>
    <mergeCell ref="BB14:BD17"/>
    <mergeCell ref="BB18:BD21"/>
    <mergeCell ref="AG18:AI18"/>
    <mergeCell ref="AK18:AM18"/>
    <mergeCell ref="AU10:AW10"/>
    <mergeCell ref="AY10:BA10"/>
    <mergeCell ref="AN9:AT9"/>
    <mergeCell ref="AU9:BA9"/>
  </mergeCells>
  <phoneticPr fontId="2"/>
  <conditionalFormatting sqref="BU45:BU50">
    <cfRule type="expression" dxfId="863" priority="22" stopIfTrue="1">
      <formula>$BV$43&lt;=$BZ$43</formula>
    </cfRule>
  </conditionalFormatting>
  <conditionalFormatting sqref="BV44:BW44">
    <cfRule type="expression" dxfId="862" priority="20" stopIfTrue="1">
      <formula>$BV$43&lt;=$BZ$43</formula>
    </cfRule>
  </conditionalFormatting>
  <conditionalFormatting sqref="BX37:BX44">
    <cfRule type="expression" dxfId="861" priority="16" stopIfTrue="1">
      <formula>$BV$43=$BZ$43</formula>
    </cfRule>
    <cfRule type="expression" dxfId="860" priority="17" stopIfTrue="1">
      <formula>$BV$43&lt;$BZ$43</formula>
    </cfRule>
  </conditionalFormatting>
  <conditionalFormatting sqref="BY44:CA44">
    <cfRule type="expression" dxfId="859" priority="19" stopIfTrue="1">
      <formula>$BZ$43&lt;=$BV$43</formula>
    </cfRule>
  </conditionalFormatting>
  <conditionalFormatting sqref="BY36:CC36">
    <cfRule type="expression" dxfId="858" priority="10" stopIfTrue="1">
      <formula>$CB$35&lt;=$CF$35</formula>
    </cfRule>
  </conditionalFormatting>
  <conditionalFormatting sqref="CB45:CB50">
    <cfRule type="expression" dxfId="857" priority="18" stopIfTrue="1">
      <formula>$BZ$43&lt;=$BV$43</formula>
    </cfRule>
  </conditionalFormatting>
  <conditionalFormatting sqref="CD33:CD36">
    <cfRule type="expression" dxfId="856" priority="7" stopIfTrue="1">
      <formula>$CB$35=$CF$35</formula>
    </cfRule>
    <cfRule type="expression" dxfId="855" priority="8" stopIfTrue="1">
      <formula>$CB$35&lt;$CF$35</formula>
    </cfRule>
  </conditionalFormatting>
  <conditionalFormatting sqref="CE36:CJ36">
    <cfRule type="expression" dxfId="854" priority="9" stopIfTrue="1">
      <formula>$CF$35&lt;=$CB$35</formula>
    </cfRule>
  </conditionalFormatting>
  <conditionalFormatting sqref="CG45:CG50">
    <cfRule type="expression" dxfId="853" priority="21" stopIfTrue="1">
      <formula>$CH$43&lt;=$CL$43</formula>
    </cfRule>
  </conditionalFormatting>
  <conditionalFormatting sqref="CH44:CJ44">
    <cfRule type="expression" dxfId="852" priority="15" stopIfTrue="1">
      <formula>$CH$43&lt;=$CL$43</formula>
    </cfRule>
  </conditionalFormatting>
  <conditionalFormatting sqref="CK37:CK44">
    <cfRule type="expression" dxfId="851" priority="11" stopIfTrue="1">
      <formula>$CL$43=$CH$43</formula>
    </cfRule>
    <cfRule type="expression" dxfId="850" priority="12" stopIfTrue="1">
      <formula>$CL$43&lt;$CH$43</formula>
    </cfRule>
  </conditionalFormatting>
  <conditionalFormatting sqref="CL44:CM44">
    <cfRule type="expression" dxfId="849" priority="14" stopIfTrue="1">
      <formula>$CL$43&lt;=$CH$43</formula>
    </cfRule>
  </conditionalFormatting>
  <conditionalFormatting sqref="CN45:CN50">
    <cfRule type="expression" dxfId="848" priority="13" stopIfTrue="1">
      <formula>$CL$43&lt;=$CH$43</formula>
    </cfRule>
  </conditionalFormatting>
  <conditionalFormatting sqref="CR45:CR50">
    <cfRule type="expression" dxfId="847" priority="6" stopIfTrue="1">
      <formula>$CS$43&lt;=$CW$43</formula>
    </cfRule>
  </conditionalFormatting>
  <conditionalFormatting sqref="CS44:CU44">
    <cfRule type="expression" dxfId="846" priority="5" stopIfTrue="1">
      <formula>$CS$43&lt;=$CW$43</formula>
    </cfRule>
  </conditionalFormatting>
  <conditionalFormatting sqref="CV41:CV44">
    <cfRule type="expression" dxfId="845" priority="1" stopIfTrue="1">
      <formula>$CW$43=$CS$43</formula>
    </cfRule>
    <cfRule type="expression" dxfId="844" priority="2" stopIfTrue="1">
      <formula>$CW$43&lt;$CS$43</formula>
    </cfRule>
  </conditionalFormatting>
  <conditionalFormatting sqref="CW44:CX44">
    <cfRule type="expression" dxfId="843" priority="4" stopIfTrue="1">
      <formula>$CW$43&lt;=$CS$43</formula>
    </cfRule>
  </conditionalFormatting>
  <conditionalFormatting sqref="CY45:CY50">
    <cfRule type="expression" dxfId="842" priority="3" stopIfTrue="1">
      <formula>$CW$43&lt;=$CS$43</formula>
    </cfRule>
  </conditionalFormatting>
  <printOptions horizontalCentered="1"/>
  <pageMargins left="0.39370078740157483" right="0.39370078740157483" top="0.59055118110236227" bottom="0.74803149606299213" header="0.31496062992125984" footer="0.31496062992125984"/>
  <pageSetup paperSize="9" scale="83" orientation="portrait" r:id="rId1"/>
  <ignoredErrors>
    <ignoredError sqref="CU49" 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CU55"/>
  <sheetViews>
    <sheetView showGridLines="0" topLeftCell="C1" zoomScale="80" zoomScaleNormal="80" zoomScaleSheetLayoutView="100" workbookViewId="0">
      <selection activeCell="CN18" sqref="CN18"/>
    </sheetView>
  </sheetViews>
  <sheetFormatPr defaultColWidth="9" defaultRowHeight="14.25" x14ac:dyDescent="0.15"/>
  <cols>
    <col min="1" max="1" width="0" style="31" hidden="1" customWidth="1"/>
    <col min="2" max="2" width="6.25" style="62" hidden="1" customWidth="1"/>
    <col min="3" max="3" width="5" style="62" customWidth="1"/>
    <col min="4" max="5" width="0.625" style="31" customWidth="1"/>
    <col min="6" max="6" width="2.375" style="64" customWidth="1"/>
    <col min="7" max="7" width="3.125" style="61" customWidth="1"/>
    <col min="8" max="8" width="2.375" style="65" customWidth="1"/>
    <col min="9" max="12" width="0.625" style="31" customWidth="1"/>
    <col min="13" max="13" width="2.375" style="64" customWidth="1"/>
    <col min="14" max="14" width="3.125" style="61" customWidth="1"/>
    <col min="15" max="15" width="2.375" style="65" customWidth="1"/>
    <col min="16" max="19" width="0.625" style="31" customWidth="1"/>
    <col min="20" max="20" width="2.375" style="64" customWidth="1"/>
    <col min="21" max="21" width="3.125" style="61" customWidth="1"/>
    <col min="22" max="22" width="2.375" style="65" customWidth="1"/>
    <col min="23" max="24" width="0.625" style="31" customWidth="1"/>
    <col min="25" max="28" width="6.25" style="62" customWidth="1"/>
    <col min="29" max="29" width="9" style="62" hidden="1" customWidth="1"/>
    <col min="30" max="30" width="1.875" style="62" customWidth="1"/>
    <col min="31" max="31" width="2.875" style="62" hidden="1" customWidth="1"/>
    <col min="32" max="32" width="5" style="62" customWidth="1"/>
    <col min="33" max="34" width="0.625" style="62" customWidth="1"/>
    <col min="35" max="35" width="2.375" style="62" customWidth="1"/>
    <col min="36" max="36" width="3.125" style="62" customWidth="1"/>
    <col min="37" max="37" width="2.375" style="62" customWidth="1"/>
    <col min="38" max="41" width="0.625" style="62" customWidth="1"/>
    <col min="42" max="42" width="2.375" style="62" customWidth="1"/>
    <col min="43" max="43" width="3.125" style="62" customWidth="1"/>
    <col min="44" max="44" width="2.375" style="62" customWidth="1"/>
    <col min="45" max="48" width="0.625" style="62" customWidth="1"/>
    <col min="49" max="49" width="2.375" style="62" customWidth="1"/>
    <col min="50" max="50" width="3.125" style="62" customWidth="1"/>
    <col min="51" max="51" width="2.375" style="62" customWidth="1"/>
    <col min="52" max="53" width="0.625" style="62" customWidth="1"/>
    <col min="54" max="57" width="6.25" style="62" customWidth="1"/>
    <col min="58" max="63" width="2.375" style="62" customWidth="1"/>
    <col min="64" max="64" width="4" style="62" bestFit="1" customWidth="1"/>
    <col min="65" max="97" width="2.375" style="62" customWidth="1"/>
    <col min="98" max="16384" width="9" style="62"/>
  </cols>
  <sheetData>
    <row r="1" spans="1:68" ht="24.75" x14ac:dyDescent="0.15">
      <c r="C1" s="95" t="str">
        <f ca="1">"令和"&amp;IF(YEAR(NOW())=2019,"元",YEAR(NOW())-2018)&amp;"年度 第"&amp;YEAR(NOW())-1999&amp;"回 全能登中学校サッカー大会"</f>
        <v>令和6年度 第25回 全能登中学校サッカー大会</v>
      </c>
      <c r="AH1" s="31"/>
      <c r="AI1" s="31"/>
      <c r="AJ1" s="64"/>
      <c r="AK1" s="61"/>
      <c r="AL1" s="65"/>
      <c r="AM1" s="31"/>
      <c r="AN1" s="31"/>
      <c r="AO1" s="31"/>
      <c r="AP1" s="31"/>
      <c r="AQ1" s="64"/>
      <c r="AR1" s="61"/>
      <c r="AS1" s="65"/>
      <c r="AT1" s="31"/>
      <c r="AU1" s="31"/>
      <c r="AV1" s="31"/>
      <c r="AW1" s="31"/>
      <c r="AX1" s="64"/>
      <c r="AY1" s="61"/>
      <c r="AZ1" s="65"/>
      <c r="BA1" s="31"/>
      <c r="BK1" s="31" t="s">
        <v>97</v>
      </c>
      <c r="BL1" s="62">
        <v>15</v>
      </c>
      <c r="BM1" s="62" t="s">
        <v>84</v>
      </c>
      <c r="BN1" s="62" t="str">
        <f t="shared" ref="BN1:BN7" si="0">CHAR(10)</f>
        <v xml:space="preserve">
</v>
      </c>
      <c r="BO1" s="96" t="s">
        <v>98</v>
      </c>
      <c r="BP1" s="62" t="str">
        <f>BL1&amp;BM1&amp;BN1&amp;BO1</f>
        <v>15日
9：00</v>
      </c>
    </row>
    <row r="2" spans="1:68" x14ac:dyDescent="0.15">
      <c r="A2" s="31" t="str">
        <f>IF(BU35=BY35,"",IF(BU35&gt;BY35,BO37,CE37))</f>
        <v/>
      </c>
      <c r="AH2" s="31"/>
      <c r="AI2" s="31"/>
      <c r="AJ2" s="64"/>
      <c r="AK2" s="61"/>
      <c r="AL2" s="65"/>
      <c r="AM2" s="31"/>
      <c r="AN2" s="31"/>
      <c r="AO2" s="31"/>
      <c r="AP2" s="31"/>
      <c r="AQ2" s="64"/>
      <c r="AR2" s="61"/>
      <c r="AS2" s="65"/>
      <c r="AT2" s="31"/>
      <c r="AU2" s="31"/>
      <c r="AV2" s="31"/>
      <c r="AW2" s="31"/>
      <c r="AX2" s="64"/>
      <c r="AY2" s="61"/>
      <c r="AZ2" s="65"/>
      <c r="BA2" s="31"/>
      <c r="BK2" s="31" t="s">
        <v>99</v>
      </c>
      <c r="BL2" s="62">
        <v>15</v>
      </c>
      <c r="BM2" s="62" t="s">
        <v>84</v>
      </c>
      <c r="BN2" s="62" t="str">
        <f t="shared" si="0"/>
        <v xml:space="preserve">
</v>
      </c>
      <c r="BO2" s="96" t="s">
        <v>100</v>
      </c>
      <c r="BP2" s="62" t="str">
        <f t="shared" ref="BP2:BP7" si="1">BL2&amp;BM2&amp;BN2&amp;BO2</f>
        <v>15日
11:00</v>
      </c>
    </row>
    <row r="3" spans="1:68" ht="25.5" customHeight="1" x14ac:dyDescent="0.15">
      <c r="A3" s="31" t="str">
        <f>IF(BU35=BY35,"",IF(BU35&lt;BY35,BO37,CE37))</f>
        <v/>
      </c>
      <c r="F3" s="634" t="s">
        <v>77</v>
      </c>
      <c r="G3" s="634"/>
      <c r="H3" s="634"/>
      <c r="I3" s="650" t="str">
        <f>IF(A2="","",IF(VLOOKUP(A2,予選学校名!$I$3:$L$32,3,FALSE)="",IF(VLOOKUP(A2,予選学校名!$I$3:$L$32,4,FALSE)="","",VLOOKUP(A2,予選学校名!$I$3:$L$32,4,FALSE)),VLOOKUP(A2,予選学校名!$I$3:$L$32,3,FALSE)&amp;"立")&amp;A2&amp;"中学校")</f>
        <v/>
      </c>
      <c r="J3" s="681"/>
      <c r="K3" s="681"/>
      <c r="L3" s="681"/>
      <c r="M3" s="681"/>
      <c r="N3" s="681"/>
      <c r="O3" s="681"/>
      <c r="P3" s="681"/>
      <c r="Q3" s="681"/>
      <c r="R3" s="681"/>
      <c r="S3" s="681"/>
      <c r="T3" s="681"/>
      <c r="U3" s="681"/>
      <c r="V3" s="681"/>
      <c r="W3" s="681"/>
      <c r="X3" s="681"/>
      <c r="Y3" s="66" t="str">
        <f>IF(A2="","","（"&amp;VLOOKUP(A2,予選学校名!$I$3:$L$32,2,FALSE)&amp;")")</f>
        <v/>
      </c>
      <c r="Z3" s="205"/>
      <c r="AA3" s="97" t="s">
        <v>78</v>
      </c>
      <c r="BK3" s="31" t="s">
        <v>101</v>
      </c>
      <c r="BL3" s="62">
        <v>15</v>
      </c>
      <c r="BM3" s="62" t="s">
        <v>84</v>
      </c>
      <c r="BN3" s="62" t="str">
        <f t="shared" si="0"/>
        <v xml:space="preserve">
</v>
      </c>
      <c r="BO3" s="96" t="s">
        <v>102</v>
      </c>
      <c r="BP3" s="62" t="str">
        <f t="shared" si="1"/>
        <v>15日
13:30</v>
      </c>
    </row>
    <row r="4" spans="1:68" ht="25.5" customHeight="1" x14ac:dyDescent="0.15">
      <c r="A4" s="31" t="e">
        <f>IF(#REF!=#REF!,"",IF(#REF!&gt;#REF!,CK51,CQ51))</f>
        <v>#REF!</v>
      </c>
      <c r="F4" s="634" t="s">
        <v>79</v>
      </c>
      <c r="G4" s="634"/>
      <c r="H4" s="634"/>
      <c r="I4" s="682" t="str">
        <f>IF(A3="","",IF(VLOOKUP(A3,予選学校名!$I$3:$L$32,3,FALSE)="",IF(VLOOKUP(A3,予選学校名!$I$3:$L$32,4,FALSE)="","",VLOOKUP(A3,予選学校名!$I$3:$L$32,4,FALSE)),VLOOKUP(A3,予選学校名!$I$3:$L$32,3,FALSE)&amp;"立")&amp;A3&amp;"中学校")</f>
        <v/>
      </c>
      <c r="J4" s="683"/>
      <c r="K4" s="683"/>
      <c r="L4" s="683"/>
      <c r="M4" s="683"/>
      <c r="N4" s="683"/>
      <c r="O4" s="683"/>
      <c r="P4" s="683"/>
      <c r="Q4" s="683"/>
      <c r="R4" s="683"/>
      <c r="S4" s="683"/>
      <c r="T4" s="683"/>
      <c r="U4" s="683"/>
      <c r="V4" s="683"/>
      <c r="W4" s="683"/>
      <c r="X4" s="683"/>
      <c r="Y4" s="98" t="str">
        <f>IF(A3="","","（"&amp;VLOOKUP(A3,予選学校名!$I$3:$L$32,2,FALSE)&amp;")")</f>
        <v/>
      </c>
      <c r="Z4" s="256"/>
      <c r="AA4" s="97" t="s">
        <v>78</v>
      </c>
      <c r="BK4" s="31" t="s">
        <v>103</v>
      </c>
      <c r="BL4" s="62">
        <v>15</v>
      </c>
      <c r="BM4" s="62" t="s">
        <v>84</v>
      </c>
      <c r="BN4" s="62" t="str">
        <f t="shared" si="0"/>
        <v xml:space="preserve">
</v>
      </c>
      <c r="BO4" s="96" t="s">
        <v>104</v>
      </c>
      <c r="BP4" s="62" t="str">
        <f t="shared" si="1"/>
        <v>15日
9:00</v>
      </c>
    </row>
    <row r="5" spans="1:68" ht="25.5" customHeight="1" x14ac:dyDescent="0.15">
      <c r="A5" s="31" t="e">
        <f>IF(#REF!=#REF!,"",IF(#REF!&lt;#REF!,CK51,CQ51))</f>
        <v>#REF!</v>
      </c>
      <c r="F5" s="634" t="s">
        <v>80</v>
      </c>
      <c r="G5" s="634"/>
      <c r="H5" s="634"/>
      <c r="I5" s="679" t="e">
        <f>IF(A4="","",IF(VLOOKUP(A4,予選学校名!$I$3:$L$32,3,FALSE)="",IF(VLOOKUP(A4,予選学校名!$I$3:$L$32,4,FALSE)="","",VLOOKUP(A4,予選学校名!$I$3:$L$32,4,FALSE)),VLOOKUP(A4,予選学校名!$I$3:$L$32,3,FALSE)&amp;"立")&amp;A4&amp;"中学校")</f>
        <v>#REF!</v>
      </c>
      <c r="J5" s="680"/>
      <c r="K5" s="680"/>
      <c r="L5" s="680"/>
      <c r="M5" s="680"/>
      <c r="N5" s="680"/>
      <c r="O5" s="680"/>
      <c r="P5" s="680"/>
      <c r="Q5" s="680"/>
      <c r="R5" s="680"/>
      <c r="S5" s="680"/>
      <c r="T5" s="680"/>
      <c r="U5" s="680"/>
      <c r="V5" s="680"/>
      <c r="W5" s="680"/>
      <c r="X5" s="680"/>
      <c r="Y5" s="253" t="e">
        <f>IF(A4="","","（"&amp;VLOOKUP(A4,予選学校名!$I$3:$L$32,2,FALSE)&amp;")")</f>
        <v>#REF!</v>
      </c>
      <c r="Z5" s="257"/>
      <c r="AA5" s="254" t="s">
        <v>78</v>
      </c>
      <c r="AB5" s="255"/>
      <c r="AE5" s="31"/>
      <c r="AF5" s="31"/>
      <c r="AG5" s="64"/>
      <c r="AH5" s="61"/>
      <c r="AI5" s="65"/>
      <c r="AJ5" s="31"/>
      <c r="AK5" s="31"/>
      <c r="AL5" s="31"/>
      <c r="AM5" s="31"/>
      <c r="AN5" s="64"/>
      <c r="AO5" s="61"/>
      <c r="AP5" s="65"/>
      <c r="AQ5" s="31"/>
      <c r="AR5" s="31"/>
      <c r="AS5" s="31"/>
      <c r="AT5" s="31"/>
      <c r="AU5" s="64"/>
      <c r="AV5" s="61"/>
      <c r="AW5" s="65"/>
      <c r="AX5" s="31"/>
      <c r="AY5" s="31"/>
      <c r="AZ5" s="31"/>
      <c r="BA5" s="31"/>
      <c r="BK5" s="31" t="s">
        <v>83</v>
      </c>
      <c r="BL5" s="62">
        <v>15</v>
      </c>
      <c r="BM5" s="62" t="s">
        <v>84</v>
      </c>
      <c r="BN5" s="62" t="str">
        <f t="shared" si="0"/>
        <v xml:space="preserve">
</v>
      </c>
      <c r="BO5" s="96" t="s">
        <v>681</v>
      </c>
      <c r="BP5" s="62" t="str">
        <f t="shared" si="1"/>
        <v>15日
11:00</v>
      </c>
    </row>
    <row r="6" spans="1:68" ht="25.5" customHeight="1" x14ac:dyDescent="0.15">
      <c r="A6" s="31" t="str">
        <f>IF(CJ47=CN47,"",IF(CJ47&gt;CN47,#REF!,CT49))</f>
        <v/>
      </c>
      <c r="I6" s="679" t="e">
        <f>IF(A5="","",IF(VLOOKUP(A5,予選学校名!$I$3:$L$32,3,FALSE)="",IF(VLOOKUP(A5,予選学校名!$I$3:$L$32,4,FALSE)="","",VLOOKUP(A5,予選学校名!$I$3:$L$32,4,FALSE)),VLOOKUP(A5,予選学校名!$I$3:$L$32,3,FALSE)&amp;"立")&amp;A5&amp;"中学校")</f>
        <v>#REF!</v>
      </c>
      <c r="J6" s="680"/>
      <c r="K6" s="680"/>
      <c r="L6" s="680"/>
      <c r="M6" s="680"/>
      <c r="N6" s="680"/>
      <c r="O6" s="680"/>
      <c r="P6" s="680"/>
      <c r="Q6" s="680"/>
      <c r="R6" s="680"/>
      <c r="S6" s="680"/>
      <c r="T6" s="680"/>
      <c r="U6" s="680"/>
      <c r="V6" s="680"/>
      <c r="W6" s="680"/>
      <c r="X6" s="680"/>
      <c r="Y6" s="253" t="e">
        <f>IF(A5="","","（"&amp;VLOOKUP(A5,予選学校名!$I$3:$L$32,2,FALSE)&amp;")")</f>
        <v>#REF!</v>
      </c>
      <c r="Z6" s="257"/>
      <c r="AA6" s="255"/>
      <c r="AB6" s="255"/>
      <c r="AE6" s="31"/>
      <c r="AF6" s="31"/>
      <c r="AG6" s="64"/>
      <c r="AH6" s="61"/>
      <c r="AI6" s="65"/>
      <c r="AJ6" s="31"/>
      <c r="AK6" s="31"/>
      <c r="AL6" s="31"/>
      <c r="AM6" s="31"/>
      <c r="AN6" s="64"/>
      <c r="AO6" s="61"/>
      <c r="AP6" s="65"/>
      <c r="AQ6" s="31"/>
      <c r="AR6" s="31"/>
      <c r="AS6" s="31"/>
      <c r="AT6" s="31"/>
      <c r="AU6" s="64"/>
      <c r="AV6" s="61"/>
      <c r="AW6" s="65"/>
      <c r="AX6" s="31"/>
      <c r="AY6" s="31"/>
      <c r="AZ6" s="31"/>
      <c r="BA6" s="31"/>
      <c r="BK6" s="31" t="s">
        <v>105</v>
      </c>
      <c r="BL6" s="62">
        <v>15</v>
      </c>
      <c r="BM6" s="62" t="s">
        <v>84</v>
      </c>
      <c r="BN6" s="62" t="str">
        <f t="shared" si="0"/>
        <v xml:space="preserve">
</v>
      </c>
      <c r="BO6" s="96" t="s">
        <v>682</v>
      </c>
      <c r="BP6" s="62" t="str">
        <f t="shared" si="1"/>
        <v>15日
13:30</v>
      </c>
    </row>
    <row r="7" spans="1:68" x14ac:dyDescent="0.15">
      <c r="AH7" s="31"/>
      <c r="AI7" s="31"/>
      <c r="AJ7" s="64"/>
      <c r="AK7" s="61"/>
      <c r="AL7" s="65"/>
      <c r="AM7" s="31"/>
      <c r="AN7" s="31"/>
      <c r="AO7" s="31"/>
      <c r="AP7" s="31"/>
      <c r="AQ7" s="64"/>
      <c r="AR7" s="61"/>
      <c r="AS7" s="65"/>
      <c r="AT7" s="31"/>
      <c r="AU7" s="31"/>
      <c r="AV7" s="31"/>
      <c r="AW7" s="31"/>
      <c r="AX7" s="64"/>
      <c r="AY7" s="61"/>
      <c r="AZ7" s="65"/>
      <c r="BA7" s="31"/>
      <c r="BK7" s="31" t="s">
        <v>106</v>
      </c>
      <c r="BL7" s="62">
        <v>15</v>
      </c>
      <c r="BM7" s="62" t="s">
        <v>84</v>
      </c>
      <c r="BN7" s="62" t="str">
        <f t="shared" si="0"/>
        <v xml:space="preserve">
</v>
      </c>
      <c r="BO7" s="96" t="s">
        <v>107</v>
      </c>
      <c r="BP7" s="62" t="str">
        <f t="shared" si="1"/>
        <v>15日
14:30</v>
      </c>
    </row>
    <row r="8" spans="1:68" s="68" customFormat="1" ht="18" x14ac:dyDescent="0.15">
      <c r="A8" s="67"/>
      <c r="C8" s="68" t="s">
        <v>683</v>
      </c>
      <c r="D8" s="67"/>
      <c r="E8" s="67"/>
      <c r="F8" s="69"/>
      <c r="G8" s="70"/>
      <c r="H8" s="71"/>
      <c r="I8" s="67"/>
      <c r="J8" s="67"/>
      <c r="K8" s="67"/>
      <c r="L8" s="67"/>
      <c r="M8" s="69"/>
      <c r="N8" s="70"/>
      <c r="O8" s="71"/>
      <c r="P8" s="67"/>
      <c r="Q8" s="67"/>
      <c r="R8" s="67"/>
      <c r="S8" s="67"/>
      <c r="T8" s="69"/>
      <c r="U8" s="70"/>
      <c r="V8" s="71"/>
      <c r="W8" s="67"/>
      <c r="X8" s="67"/>
      <c r="AF8" s="68" t="s">
        <v>703</v>
      </c>
      <c r="AG8" s="67"/>
      <c r="AH8" s="67"/>
      <c r="AI8" s="69"/>
      <c r="AJ8" s="70"/>
      <c r="AK8" s="71"/>
      <c r="AL8" s="67"/>
      <c r="AM8" s="67"/>
      <c r="AN8" s="67"/>
      <c r="AO8" s="67"/>
      <c r="AP8" s="69"/>
      <c r="AQ8" s="70"/>
      <c r="AR8" s="71"/>
      <c r="AS8" s="67"/>
      <c r="AT8" s="67"/>
      <c r="AU8" s="67"/>
      <c r="AV8" s="67"/>
      <c r="AW8" s="69"/>
      <c r="AX8" s="70"/>
      <c r="AY8" s="71"/>
      <c r="AZ8" s="67"/>
      <c r="BA8" s="67"/>
      <c r="BK8" s="31"/>
      <c r="BL8" s="62"/>
      <c r="BM8" s="62"/>
      <c r="BN8" s="62"/>
      <c r="BO8" s="96"/>
      <c r="BP8" s="62"/>
    </row>
    <row r="9" spans="1:68" ht="30" customHeight="1" x14ac:dyDescent="0.15">
      <c r="C9" s="72"/>
      <c r="D9" s="613" t="str">
        <f>C10</f>
        <v>志賀</v>
      </c>
      <c r="E9" s="613"/>
      <c r="F9" s="613"/>
      <c r="G9" s="613"/>
      <c r="H9" s="613"/>
      <c r="I9" s="613"/>
      <c r="J9" s="613"/>
      <c r="K9" s="613" t="str">
        <f>C14</f>
        <v>中能登</v>
      </c>
      <c r="L9" s="613"/>
      <c r="M9" s="613"/>
      <c r="N9" s="613"/>
      <c r="O9" s="613"/>
      <c r="P9" s="613"/>
      <c r="Q9" s="613"/>
      <c r="R9" s="613" t="str">
        <f>C18</f>
        <v>七尾</v>
      </c>
      <c r="S9" s="613"/>
      <c r="T9" s="613"/>
      <c r="U9" s="613"/>
      <c r="V9" s="613"/>
      <c r="W9" s="613"/>
      <c r="X9" s="613"/>
      <c r="Y9" s="73" t="s">
        <v>88</v>
      </c>
      <c r="Z9" s="74" t="s">
        <v>89</v>
      </c>
      <c r="AA9" s="73" t="s">
        <v>90</v>
      </c>
      <c r="AB9" s="73" t="s">
        <v>91</v>
      </c>
      <c r="AF9" s="72"/>
      <c r="AG9" s="613" t="str">
        <f>AF10</f>
        <v>輪島</v>
      </c>
      <c r="AH9" s="613"/>
      <c r="AI9" s="613"/>
      <c r="AJ9" s="613"/>
      <c r="AK9" s="613"/>
      <c r="AL9" s="613"/>
      <c r="AM9" s="613"/>
      <c r="AN9" s="613" t="str">
        <f>AF14</f>
        <v>七尾東部</v>
      </c>
      <c r="AO9" s="613"/>
      <c r="AP9" s="613"/>
      <c r="AQ9" s="613"/>
      <c r="AR9" s="613"/>
      <c r="AS9" s="613"/>
      <c r="AT9" s="613"/>
      <c r="AU9" s="613" t="str">
        <f>AF18</f>
        <v/>
      </c>
      <c r="AV9" s="613"/>
      <c r="AW9" s="613"/>
      <c r="AX9" s="613"/>
      <c r="AY9" s="613"/>
      <c r="AZ9" s="613"/>
      <c r="BA9" s="613"/>
      <c r="BB9" s="73" t="s">
        <v>88</v>
      </c>
      <c r="BC9" s="74" t="s">
        <v>89</v>
      </c>
      <c r="BD9" s="73" t="s">
        <v>90</v>
      </c>
      <c r="BE9" s="73" t="s">
        <v>91</v>
      </c>
      <c r="BK9" s="31"/>
      <c r="BO9" s="96"/>
    </row>
    <row r="10" spans="1:68" ht="19.5" customHeight="1" x14ac:dyDescent="0.15">
      <c r="B10" s="62">
        <v>1</v>
      </c>
      <c r="C10" s="646" t="str">
        <f>IF(ISERROR(MATCH('能登(6時刻)'!B10,予選学校名!$H$22:$H$32,0)),"",INDEX(予選学校名!$H$22:$K$32,MATCH('能登(6時刻)'!B10,予選学校名!$H$22:$H$32,0),2))</f>
        <v>志賀</v>
      </c>
      <c r="D10" s="662"/>
      <c r="E10" s="637"/>
      <c r="F10" s="637"/>
      <c r="G10" s="637"/>
      <c r="H10" s="637"/>
      <c r="I10" s="637"/>
      <c r="J10" s="663"/>
      <c r="K10" s="670" t="str">
        <f>VLOOKUP(D14,$BK$1:$BP$9,6,FALSE)</f>
        <v>15日
13:30</v>
      </c>
      <c r="L10" s="671"/>
      <c r="M10" s="671"/>
      <c r="N10" s="671"/>
      <c r="O10" s="671"/>
      <c r="P10" s="671"/>
      <c r="Q10" s="672"/>
      <c r="R10" s="670" t="str">
        <f>VLOOKUP(D18,$BK$1:$BP$9,6,FALSE)</f>
        <v>15日
9：00</v>
      </c>
      <c r="S10" s="671"/>
      <c r="T10" s="671"/>
      <c r="U10" s="671"/>
      <c r="V10" s="671"/>
      <c r="W10" s="671"/>
      <c r="X10" s="672"/>
      <c r="Y10" s="608" t="str">
        <f>IF(COUNT(D11:X11)=0,"",COUNTIF(D10:X10,"○")*3+COUNTIF(D10:X10,"△"))</f>
        <v/>
      </c>
      <c r="Z10" s="608" t="str">
        <f>IF(Y10="","",SUM(H10:H21)/2-SUM(D10:D21))</f>
        <v/>
      </c>
      <c r="AA10" s="608" t="str">
        <f>IF(Y10="","",SUM(H10:H21)/2)</f>
        <v/>
      </c>
      <c r="AB10" s="608" t="str">
        <f>IF(OR(Y10="",MOD(COUNT(D10:X10),2)=1),"",RANK(AC10,$AC$10:$AC$21))</f>
        <v/>
      </c>
      <c r="AC10" s="76" t="str">
        <f>IF(OR(Y10="",MOD(COUNT(D10:X10),2)=1),"",Y10*10000+Z10*100+AA10)</f>
        <v/>
      </c>
      <c r="AD10" s="76"/>
      <c r="AE10" s="62">
        <v>4</v>
      </c>
      <c r="AF10" s="646" t="str">
        <f>IF(ISERROR(MATCH('能登(6時刻)'!AE10,予選学校名!$H$22:$H$32,0)),"",INDEX(予選学校名!$H$22:$K$32,MATCH('能登(6時刻)'!AE10,予選学校名!$H$22:$H$32,0),2))</f>
        <v>輪島</v>
      </c>
      <c r="AG10" s="662"/>
      <c r="AH10" s="637"/>
      <c r="AI10" s="637"/>
      <c r="AJ10" s="637"/>
      <c r="AK10" s="637"/>
      <c r="AL10" s="637"/>
      <c r="AM10" s="663"/>
      <c r="AN10" s="670" t="str">
        <f>VLOOKUP(AG14,$BK$1:$BP$9,6,FALSE)</f>
        <v>15日
13:30</v>
      </c>
      <c r="AO10" s="671"/>
      <c r="AP10" s="671"/>
      <c r="AQ10" s="671"/>
      <c r="AR10" s="671"/>
      <c r="AS10" s="671"/>
      <c r="AT10" s="672"/>
      <c r="AU10" s="670" t="str">
        <f>VLOOKUP(AG18,$BK$1:$BP$9,6,FALSE)</f>
        <v>15日
9:00</v>
      </c>
      <c r="AV10" s="671"/>
      <c r="AW10" s="671"/>
      <c r="AX10" s="671"/>
      <c r="AY10" s="671"/>
      <c r="AZ10" s="671"/>
      <c r="BA10" s="672"/>
      <c r="BB10" s="608" t="str">
        <f>IF(COUNT(AG11:BA11)=0,"",COUNTIF(AG10:BA10,"○")*3+COUNTIF(AG10:BA10,"△"))</f>
        <v/>
      </c>
      <c r="BC10" s="608" t="str">
        <f>IF(BB10="","",SUM(AK10:AK21)/2-SUM(AG10:AG21))</f>
        <v/>
      </c>
      <c r="BD10" s="608" t="str">
        <f>IF(BB10="","",SUM(AK10:AK21)/2)</f>
        <v/>
      </c>
      <c r="BE10" s="608" t="str">
        <f>IF(OR(BB10="",MOD(COUNT(AG10:BA10),2)=1),"",RANK(BF10,$AC$10:$AC$21))</f>
        <v/>
      </c>
    </row>
    <row r="11" spans="1:68" ht="19.5" customHeight="1" x14ac:dyDescent="0.15">
      <c r="C11" s="646"/>
      <c r="D11" s="664"/>
      <c r="E11" s="665"/>
      <c r="F11" s="665"/>
      <c r="G11" s="665"/>
      <c r="H11" s="665"/>
      <c r="I11" s="665"/>
      <c r="J11" s="666"/>
      <c r="K11" s="673"/>
      <c r="L11" s="674"/>
      <c r="M11" s="674"/>
      <c r="N11" s="674"/>
      <c r="O11" s="674"/>
      <c r="P11" s="674"/>
      <c r="Q11" s="675"/>
      <c r="R11" s="673"/>
      <c r="S11" s="674"/>
      <c r="T11" s="674"/>
      <c r="U11" s="674"/>
      <c r="V11" s="674"/>
      <c r="W11" s="674"/>
      <c r="X11" s="675"/>
      <c r="Y11" s="608"/>
      <c r="Z11" s="608"/>
      <c r="AA11" s="608"/>
      <c r="AB11" s="608"/>
      <c r="AC11" s="76"/>
      <c r="AD11" s="76"/>
      <c r="AF11" s="646"/>
      <c r="AG11" s="664"/>
      <c r="AH11" s="665"/>
      <c r="AI11" s="665"/>
      <c r="AJ11" s="665"/>
      <c r="AK11" s="665"/>
      <c r="AL11" s="665"/>
      <c r="AM11" s="666"/>
      <c r="AN11" s="673"/>
      <c r="AO11" s="674"/>
      <c r="AP11" s="674"/>
      <c r="AQ11" s="674"/>
      <c r="AR11" s="674"/>
      <c r="AS11" s="674"/>
      <c r="AT11" s="675"/>
      <c r="AU11" s="673"/>
      <c r="AV11" s="674"/>
      <c r="AW11" s="674"/>
      <c r="AX11" s="674"/>
      <c r="AY11" s="674"/>
      <c r="AZ11" s="674"/>
      <c r="BA11" s="675"/>
      <c r="BB11" s="608"/>
      <c r="BC11" s="608"/>
      <c r="BD11" s="608"/>
      <c r="BE11" s="608"/>
    </row>
    <row r="12" spans="1:68" ht="19.5" customHeight="1" x14ac:dyDescent="0.15">
      <c r="C12" s="646"/>
      <c r="D12" s="664"/>
      <c r="E12" s="665"/>
      <c r="F12" s="665"/>
      <c r="G12" s="665"/>
      <c r="H12" s="665"/>
      <c r="I12" s="665"/>
      <c r="J12" s="666"/>
      <c r="K12" s="673"/>
      <c r="L12" s="674"/>
      <c r="M12" s="674"/>
      <c r="N12" s="674"/>
      <c r="O12" s="674"/>
      <c r="P12" s="674"/>
      <c r="Q12" s="675"/>
      <c r="R12" s="673"/>
      <c r="S12" s="674"/>
      <c r="T12" s="674"/>
      <c r="U12" s="674"/>
      <c r="V12" s="674"/>
      <c r="W12" s="674"/>
      <c r="X12" s="675"/>
      <c r="Y12" s="608"/>
      <c r="Z12" s="608"/>
      <c r="AA12" s="608"/>
      <c r="AB12" s="608"/>
      <c r="AC12" s="76"/>
      <c r="AD12" s="76"/>
      <c r="AF12" s="646"/>
      <c r="AG12" s="664"/>
      <c r="AH12" s="665"/>
      <c r="AI12" s="665"/>
      <c r="AJ12" s="665"/>
      <c r="AK12" s="665"/>
      <c r="AL12" s="665"/>
      <c r="AM12" s="666"/>
      <c r="AN12" s="673"/>
      <c r="AO12" s="674"/>
      <c r="AP12" s="674"/>
      <c r="AQ12" s="674"/>
      <c r="AR12" s="674"/>
      <c r="AS12" s="674"/>
      <c r="AT12" s="675"/>
      <c r="AU12" s="673"/>
      <c r="AV12" s="674"/>
      <c r="AW12" s="674"/>
      <c r="AX12" s="674"/>
      <c r="AY12" s="674"/>
      <c r="AZ12" s="674"/>
      <c r="BA12" s="675"/>
      <c r="BB12" s="608"/>
      <c r="BC12" s="608"/>
      <c r="BD12" s="608"/>
      <c r="BE12" s="608"/>
    </row>
    <row r="13" spans="1:68" ht="3.75" customHeight="1" x14ac:dyDescent="0.15">
      <c r="C13" s="646"/>
      <c r="D13" s="667"/>
      <c r="E13" s="668"/>
      <c r="F13" s="668"/>
      <c r="G13" s="668"/>
      <c r="H13" s="668"/>
      <c r="I13" s="668"/>
      <c r="J13" s="669"/>
      <c r="K13" s="676"/>
      <c r="L13" s="677"/>
      <c r="M13" s="677"/>
      <c r="N13" s="677"/>
      <c r="O13" s="677"/>
      <c r="P13" s="677"/>
      <c r="Q13" s="678"/>
      <c r="R13" s="676"/>
      <c r="S13" s="677"/>
      <c r="T13" s="677"/>
      <c r="U13" s="677"/>
      <c r="V13" s="677"/>
      <c r="W13" s="677"/>
      <c r="X13" s="678"/>
      <c r="Y13" s="608"/>
      <c r="Z13" s="608"/>
      <c r="AA13" s="608"/>
      <c r="AB13" s="608"/>
      <c r="AC13" s="76"/>
      <c r="AD13" s="76"/>
      <c r="AF13" s="646"/>
      <c r="AG13" s="667"/>
      <c r="AH13" s="668"/>
      <c r="AI13" s="668"/>
      <c r="AJ13" s="668"/>
      <c r="AK13" s="668"/>
      <c r="AL13" s="668"/>
      <c r="AM13" s="669"/>
      <c r="AN13" s="676"/>
      <c r="AO13" s="677"/>
      <c r="AP13" s="677"/>
      <c r="AQ13" s="677"/>
      <c r="AR13" s="677"/>
      <c r="AS13" s="677"/>
      <c r="AT13" s="678"/>
      <c r="AU13" s="676"/>
      <c r="AV13" s="677"/>
      <c r="AW13" s="677"/>
      <c r="AX13" s="677"/>
      <c r="AY13" s="677"/>
      <c r="AZ13" s="677"/>
      <c r="BA13" s="678"/>
      <c r="BB13" s="608"/>
      <c r="BC13" s="608"/>
      <c r="BD13" s="608"/>
      <c r="BE13" s="608"/>
    </row>
    <row r="14" spans="1:68" ht="19.5" customHeight="1" x14ac:dyDescent="0.15">
      <c r="B14" s="62">
        <v>2</v>
      </c>
      <c r="C14" s="646" t="str">
        <f>IF(ISERROR(MATCH('能登(6時刻)'!B14,予選学校名!$H$22:$H$32,0)),"",INDEX(予選学校名!$H$22:$K$32,MATCH('能登(6時刻)'!B14,予選学校名!$H$22:$H$32,0),2))</f>
        <v>中能登</v>
      </c>
      <c r="D14" s="653" t="s">
        <v>101</v>
      </c>
      <c r="E14" s="654"/>
      <c r="F14" s="654"/>
      <c r="G14" s="654"/>
      <c r="H14" s="654"/>
      <c r="I14" s="654"/>
      <c r="J14" s="655"/>
      <c r="K14" s="662"/>
      <c r="L14" s="637"/>
      <c r="M14" s="637"/>
      <c r="N14" s="637"/>
      <c r="O14" s="637"/>
      <c r="P14" s="637"/>
      <c r="Q14" s="663"/>
      <c r="R14" s="670" t="str">
        <f>VLOOKUP(K18,$BK$1:$BP$9,6,FALSE)</f>
        <v>15日
11:00</v>
      </c>
      <c r="S14" s="671"/>
      <c r="T14" s="671"/>
      <c r="U14" s="671"/>
      <c r="V14" s="671"/>
      <c r="W14" s="671"/>
      <c r="X14" s="672"/>
      <c r="Y14" s="608" t="str">
        <f>IF(COUNT(D15:X15)=0,"",COUNTIF(D14:X14,"○")*3+COUNTIF(D14:X14,"△"))</f>
        <v/>
      </c>
      <c r="Z14" s="608" t="str">
        <f>IF(Y14="","",SUM(O10:O21)/2-SUM(K10:K21))</f>
        <v/>
      </c>
      <c r="AA14" s="608" t="str">
        <f>IF(Y14="","",SUM(O10:O21)/2)</f>
        <v/>
      </c>
      <c r="AB14" s="608" t="str">
        <f>IF(OR(Y14="",MOD(COUNT(D14:X14),2)=1),"",RANK(AC14,$AC$10:$AC$21))</f>
        <v/>
      </c>
      <c r="AC14" s="76" t="str">
        <f>IF(OR(Y14="",MOD(COUNT(D14:X14),2)=1),"",Y14*10000+Z14*100+AA14)</f>
        <v/>
      </c>
      <c r="AD14" s="76"/>
      <c r="AE14" s="62">
        <v>5</v>
      </c>
      <c r="AF14" s="646" t="str">
        <f>IF(ISERROR(MATCH('能登(6時刻)'!AE14,予選学校名!$H$22:$H$32,0)),"",INDEX(予選学校名!$H$22:$K$32,MATCH('能登(6時刻)'!AE14,予選学校名!$H$22:$H$32,0),2))</f>
        <v>七尾東部</v>
      </c>
      <c r="AG14" s="653" t="s">
        <v>105</v>
      </c>
      <c r="AH14" s="654"/>
      <c r="AI14" s="654"/>
      <c r="AJ14" s="654"/>
      <c r="AK14" s="654"/>
      <c r="AL14" s="654"/>
      <c r="AM14" s="655"/>
      <c r="AN14" s="662"/>
      <c r="AO14" s="637"/>
      <c r="AP14" s="637"/>
      <c r="AQ14" s="637"/>
      <c r="AR14" s="637"/>
      <c r="AS14" s="637"/>
      <c r="AT14" s="663"/>
      <c r="AU14" s="670" t="str">
        <f>VLOOKUP(AN18,$BK$1:$BP$9,6,FALSE)</f>
        <v>15日
11:00</v>
      </c>
      <c r="AV14" s="671"/>
      <c r="AW14" s="671"/>
      <c r="AX14" s="671"/>
      <c r="AY14" s="671"/>
      <c r="AZ14" s="671"/>
      <c r="BA14" s="672"/>
      <c r="BB14" s="608" t="str">
        <f>IF(COUNT(AG15:BA15)=0,"",COUNTIF(AG14:BA14,"○")*3+COUNTIF(AG14:BA14,"△"))</f>
        <v/>
      </c>
      <c r="BC14" s="608" t="str">
        <f>IF(BB14="","",SUM(AR10:AR21)/2-SUM(AN10:AN21))</f>
        <v/>
      </c>
      <c r="BD14" s="608" t="str">
        <f>IF(BB14="","",SUM(AR10:AR21)/2)</f>
        <v/>
      </c>
      <c r="BE14" s="608" t="str">
        <f>IF(OR(BB14="",MOD(COUNT(AG14:BA14),2)=1),"",RANK(BF14,$AC$10:$AC$21))</f>
        <v/>
      </c>
    </row>
    <row r="15" spans="1:68" ht="19.5" customHeight="1" x14ac:dyDescent="0.15">
      <c r="C15" s="646"/>
      <c r="D15" s="656"/>
      <c r="E15" s="657"/>
      <c r="F15" s="657"/>
      <c r="G15" s="657"/>
      <c r="H15" s="657"/>
      <c r="I15" s="657"/>
      <c r="J15" s="658"/>
      <c r="K15" s="664"/>
      <c r="L15" s="665"/>
      <c r="M15" s="665"/>
      <c r="N15" s="665"/>
      <c r="O15" s="665"/>
      <c r="P15" s="665"/>
      <c r="Q15" s="666"/>
      <c r="R15" s="673"/>
      <c r="S15" s="674"/>
      <c r="T15" s="674"/>
      <c r="U15" s="674"/>
      <c r="V15" s="674"/>
      <c r="W15" s="674"/>
      <c r="X15" s="675"/>
      <c r="Y15" s="608"/>
      <c r="Z15" s="608"/>
      <c r="AA15" s="608"/>
      <c r="AB15" s="608"/>
      <c r="AC15" s="76"/>
      <c r="AD15" s="76"/>
      <c r="AF15" s="646"/>
      <c r="AG15" s="656"/>
      <c r="AH15" s="657"/>
      <c r="AI15" s="657"/>
      <c r="AJ15" s="657"/>
      <c r="AK15" s="657"/>
      <c r="AL15" s="657"/>
      <c r="AM15" s="658"/>
      <c r="AN15" s="664"/>
      <c r="AO15" s="665"/>
      <c r="AP15" s="665"/>
      <c r="AQ15" s="665"/>
      <c r="AR15" s="665"/>
      <c r="AS15" s="665"/>
      <c r="AT15" s="666"/>
      <c r="AU15" s="673"/>
      <c r="AV15" s="674"/>
      <c r="AW15" s="674"/>
      <c r="AX15" s="674"/>
      <c r="AY15" s="674"/>
      <c r="AZ15" s="674"/>
      <c r="BA15" s="675"/>
      <c r="BB15" s="608"/>
      <c r="BC15" s="608"/>
      <c r="BD15" s="608"/>
      <c r="BE15" s="608"/>
    </row>
    <row r="16" spans="1:68" ht="19.5" customHeight="1" x14ac:dyDescent="0.15">
      <c r="C16" s="646"/>
      <c r="D16" s="656"/>
      <c r="E16" s="657"/>
      <c r="F16" s="657"/>
      <c r="G16" s="657"/>
      <c r="H16" s="657"/>
      <c r="I16" s="657"/>
      <c r="J16" s="658"/>
      <c r="K16" s="664"/>
      <c r="L16" s="665"/>
      <c r="M16" s="665"/>
      <c r="N16" s="665"/>
      <c r="O16" s="665"/>
      <c r="P16" s="665"/>
      <c r="Q16" s="666"/>
      <c r="R16" s="673"/>
      <c r="S16" s="674"/>
      <c r="T16" s="674"/>
      <c r="U16" s="674"/>
      <c r="V16" s="674"/>
      <c r="W16" s="674"/>
      <c r="X16" s="675"/>
      <c r="Y16" s="608"/>
      <c r="Z16" s="608"/>
      <c r="AA16" s="608"/>
      <c r="AB16" s="608"/>
      <c r="AC16" s="76"/>
      <c r="AD16" s="76"/>
      <c r="AF16" s="646"/>
      <c r="AG16" s="656"/>
      <c r="AH16" s="657"/>
      <c r="AI16" s="657"/>
      <c r="AJ16" s="657"/>
      <c r="AK16" s="657"/>
      <c r="AL16" s="657"/>
      <c r="AM16" s="658"/>
      <c r="AN16" s="664"/>
      <c r="AO16" s="665"/>
      <c r="AP16" s="665"/>
      <c r="AQ16" s="665"/>
      <c r="AR16" s="665"/>
      <c r="AS16" s="665"/>
      <c r="AT16" s="666"/>
      <c r="AU16" s="673"/>
      <c r="AV16" s="674"/>
      <c r="AW16" s="674"/>
      <c r="AX16" s="674"/>
      <c r="AY16" s="674"/>
      <c r="AZ16" s="674"/>
      <c r="BA16" s="675"/>
      <c r="BB16" s="608"/>
      <c r="BC16" s="608"/>
      <c r="BD16" s="608"/>
      <c r="BE16" s="608"/>
    </row>
    <row r="17" spans="1:89" ht="3.75" customHeight="1" x14ac:dyDescent="0.15">
      <c r="C17" s="646"/>
      <c r="D17" s="659"/>
      <c r="E17" s="660"/>
      <c r="F17" s="660"/>
      <c r="G17" s="660"/>
      <c r="H17" s="660"/>
      <c r="I17" s="660"/>
      <c r="J17" s="661"/>
      <c r="K17" s="667"/>
      <c r="L17" s="668"/>
      <c r="M17" s="668"/>
      <c r="N17" s="668"/>
      <c r="O17" s="668"/>
      <c r="P17" s="668"/>
      <c r="Q17" s="669"/>
      <c r="R17" s="676"/>
      <c r="S17" s="677"/>
      <c r="T17" s="677"/>
      <c r="U17" s="677"/>
      <c r="V17" s="677"/>
      <c r="W17" s="677"/>
      <c r="X17" s="678"/>
      <c r="Y17" s="608"/>
      <c r="Z17" s="608"/>
      <c r="AA17" s="608"/>
      <c r="AB17" s="608"/>
      <c r="AC17" s="76"/>
      <c r="AD17" s="76"/>
      <c r="AF17" s="646"/>
      <c r="AG17" s="659"/>
      <c r="AH17" s="660"/>
      <c r="AI17" s="660"/>
      <c r="AJ17" s="660"/>
      <c r="AK17" s="660"/>
      <c r="AL17" s="660"/>
      <c r="AM17" s="661"/>
      <c r="AN17" s="667"/>
      <c r="AO17" s="668"/>
      <c r="AP17" s="668"/>
      <c r="AQ17" s="668"/>
      <c r="AR17" s="668"/>
      <c r="AS17" s="668"/>
      <c r="AT17" s="669"/>
      <c r="AU17" s="676"/>
      <c r="AV17" s="677"/>
      <c r="AW17" s="677"/>
      <c r="AX17" s="677"/>
      <c r="AY17" s="677"/>
      <c r="AZ17" s="677"/>
      <c r="BA17" s="678"/>
      <c r="BB17" s="608"/>
      <c r="BC17" s="608"/>
      <c r="BD17" s="608"/>
      <c r="BE17" s="608"/>
    </row>
    <row r="18" spans="1:89" ht="19.5" customHeight="1" x14ac:dyDescent="0.15">
      <c r="B18" s="62">
        <v>3</v>
      </c>
      <c r="C18" s="646" t="str">
        <f>IF(ISERROR(MATCH('能登(6時刻)'!B18,予選学校名!$H$22:$H$32,0)),"",INDEX(予選学校名!$H$22:$K$32,MATCH('能登(6時刻)'!B18,予選学校名!$H$22:$H$32,0),2))</f>
        <v>七尾</v>
      </c>
      <c r="D18" s="653" t="s">
        <v>97</v>
      </c>
      <c r="E18" s="654"/>
      <c r="F18" s="654"/>
      <c r="G18" s="654"/>
      <c r="H18" s="654"/>
      <c r="I18" s="654"/>
      <c r="J18" s="655"/>
      <c r="K18" s="653" t="s">
        <v>99</v>
      </c>
      <c r="L18" s="654"/>
      <c r="M18" s="654"/>
      <c r="N18" s="654"/>
      <c r="O18" s="654"/>
      <c r="P18" s="654"/>
      <c r="Q18" s="655"/>
      <c r="R18" s="662"/>
      <c r="S18" s="637"/>
      <c r="T18" s="637"/>
      <c r="U18" s="637"/>
      <c r="V18" s="637"/>
      <c r="W18" s="637"/>
      <c r="X18" s="663"/>
      <c r="Y18" s="608" t="str">
        <f>IF(COUNT(D19:X19)=0,"",COUNTIF(D18:X18,"○")*3+COUNTIF(D18:X18,"△"))</f>
        <v/>
      </c>
      <c r="Z18" s="608" t="str">
        <f>IF(Y18="","",SUM(V10:V21)/2-SUM(R10:R21))</f>
        <v/>
      </c>
      <c r="AA18" s="608" t="str">
        <f>IF(Y18="","",SUM(V10:V21)/2)</f>
        <v/>
      </c>
      <c r="AB18" s="608" t="str">
        <f>IF(OR(Y18="",MOD(COUNT(D18:X18),2)=1),"",RANK(AC18,$AC$10:$AC$21))</f>
        <v/>
      </c>
      <c r="AC18" s="76" t="str">
        <f>IF(OR(Y18="",MOD(COUNT(D18:X18),2)=1),"",Y18*10000+Z18*100+AA18)</f>
        <v/>
      </c>
      <c r="AD18" s="76"/>
      <c r="AE18" s="62">
        <v>6</v>
      </c>
      <c r="AF18" s="646" t="str">
        <f>IF(ISERROR(MATCH('能登(6時刻)'!AE18,予選学校名!$H$22:$H$32,0)),"",INDEX(予選学校名!$H$22:$K$32,MATCH('能登(6時刻)'!AE18,予選学校名!$H$22:$H$32,0),2))</f>
        <v/>
      </c>
      <c r="AG18" s="653" t="s">
        <v>103</v>
      </c>
      <c r="AH18" s="654"/>
      <c r="AI18" s="654"/>
      <c r="AJ18" s="654"/>
      <c r="AK18" s="654"/>
      <c r="AL18" s="654"/>
      <c r="AM18" s="655"/>
      <c r="AN18" s="653" t="s">
        <v>680</v>
      </c>
      <c r="AO18" s="654"/>
      <c r="AP18" s="654"/>
      <c r="AQ18" s="654"/>
      <c r="AR18" s="654"/>
      <c r="AS18" s="654"/>
      <c r="AT18" s="655"/>
      <c r="AU18" s="662"/>
      <c r="AV18" s="637"/>
      <c r="AW18" s="637"/>
      <c r="AX18" s="637"/>
      <c r="AY18" s="637"/>
      <c r="AZ18" s="637"/>
      <c r="BA18" s="663"/>
      <c r="BB18" s="608" t="str">
        <f>IF(COUNT(AG19:BA19)=0,"",COUNTIF(AG18:BA18,"○")*3+COUNTIF(AG18:BA18,"△"))</f>
        <v/>
      </c>
      <c r="BC18" s="608" t="str">
        <f>IF(BB18="","",SUM(AY10:AY21)/2-SUM(AU10:AU21))</f>
        <v/>
      </c>
      <c r="BD18" s="608" t="str">
        <f>IF(BB18="","",SUM(AY10:AY21)/2)</f>
        <v/>
      </c>
      <c r="BE18" s="608" t="str">
        <f>IF(OR(BB18="",MOD(COUNT(AG18:BA18),2)=1),"",RANK(BF18,$AC$10:$AC$21))</f>
        <v/>
      </c>
    </row>
    <row r="19" spans="1:89" ht="19.5" customHeight="1" x14ac:dyDescent="0.15">
      <c r="C19" s="646"/>
      <c r="D19" s="656"/>
      <c r="E19" s="657"/>
      <c r="F19" s="657"/>
      <c r="G19" s="657"/>
      <c r="H19" s="657"/>
      <c r="I19" s="657"/>
      <c r="J19" s="658"/>
      <c r="K19" s="656"/>
      <c r="L19" s="657"/>
      <c r="M19" s="657"/>
      <c r="N19" s="657"/>
      <c r="O19" s="657"/>
      <c r="P19" s="657"/>
      <c r="Q19" s="658"/>
      <c r="R19" s="664"/>
      <c r="S19" s="665"/>
      <c r="T19" s="665"/>
      <c r="U19" s="665"/>
      <c r="V19" s="665"/>
      <c r="W19" s="665"/>
      <c r="X19" s="666"/>
      <c r="Y19" s="608"/>
      <c r="Z19" s="608"/>
      <c r="AA19" s="608"/>
      <c r="AB19" s="608"/>
      <c r="AC19" s="76"/>
      <c r="AD19" s="76"/>
      <c r="AF19" s="646"/>
      <c r="AG19" s="656"/>
      <c r="AH19" s="657"/>
      <c r="AI19" s="657"/>
      <c r="AJ19" s="657"/>
      <c r="AK19" s="657"/>
      <c r="AL19" s="657"/>
      <c r="AM19" s="658"/>
      <c r="AN19" s="656"/>
      <c r="AO19" s="657"/>
      <c r="AP19" s="657"/>
      <c r="AQ19" s="657"/>
      <c r="AR19" s="657"/>
      <c r="AS19" s="657"/>
      <c r="AT19" s="658"/>
      <c r="AU19" s="664"/>
      <c r="AV19" s="665"/>
      <c r="AW19" s="665"/>
      <c r="AX19" s="665"/>
      <c r="AY19" s="665"/>
      <c r="AZ19" s="665"/>
      <c r="BA19" s="666"/>
      <c r="BB19" s="608"/>
      <c r="BC19" s="608"/>
      <c r="BD19" s="608"/>
      <c r="BE19" s="608"/>
    </row>
    <row r="20" spans="1:89" ht="19.5" customHeight="1" x14ac:dyDescent="0.15">
      <c r="C20" s="646"/>
      <c r="D20" s="656"/>
      <c r="E20" s="657"/>
      <c r="F20" s="657"/>
      <c r="G20" s="657"/>
      <c r="H20" s="657"/>
      <c r="I20" s="657"/>
      <c r="J20" s="658"/>
      <c r="K20" s="656"/>
      <c r="L20" s="657"/>
      <c r="M20" s="657"/>
      <c r="N20" s="657"/>
      <c r="O20" s="657"/>
      <c r="P20" s="657"/>
      <c r="Q20" s="658"/>
      <c r="R20" s="664"/>
      <c r="S20" s="665"/>
      <c r="T20" s="665"/>
      <c r="U20" s="665"/>
      <c r="V20" s="665"/>
      <c r="W20" s="665"/>
      <c r="X20" s="666"/>
      <c r="Y20" s="608"/>
      <c r="Z20" s="608"/>
      <c r="AA20" s="608"/>
      <c r="AB20" s="608"/>
      <c r="AC20" s="76"/>
      <c r="AD20" s="76"/>
      <c r="AF20" s="646"/>
      <c r="AG20" s="656"/>
      <c r="AH20" s="657"/>
      <c r="AI20" s="657"/>
      <c r="AJ20" s="657"/>
      <c r="AK20" s="657"/>
      <c r="AL20" s="657"/>
      <c r="AM20" s="658"/>
      <c r="AN20" s="656"/>
      <c r="AO20" s="657"/>
      <c r="AP20" s="657"/>
      <c r="AQ20" s="657"/>
      <c r="AR20" s="657"/>
      <c r="AS20" s="657"/>
      <c r="AT20" s="658"/>
      <c r="AU20" s="664"/>
      <c r="AV20" s="665"/>
      <c r="AW20" s="665"/>
      <c r="AX20" s="665"/>
      <c r="AY20" s="665"/>
      <c r="AZ20" s="665"/>
      <c r="BA20" s="666"/>
      <c r="BB20" s="608"/>
      <c r="BC20" s="608"/>
      <c r="BD20" s="608"/>
      <c r="BE20" s="608"/>
    </row>
    <row r="21" spans="1:89" ht="3.75" customHeight="1" x14ac:dyDescent="0.15">
      <c r="C21" s="646"/>
      <c r="D21" s="659"/>
      <c r="E21" s="660"/>
      <c r="F21" s="660"/>
      <c r="G21" s="660"/>
      <c r="H21" s="660"/>
      <c r="I21" s="660"/>
      <c r="J21" s="661"/>
      <c r="K21" s="659"/>
      <c r="L21" s="660"/>
      <c r="M21" s="660"/>
      <c r="N21" s="660"/>
      <c r="O21" s="660"/>
      <c r="P21" s="660"/>
      <c r="Q21" s="661"/>
      <c r="R21" s="667"/>
      <c r="S21" s="668"/>
      <c r="T21" s="668"/>
      <c r="U21" s="668"/>
      <c r="V21" s="668"/>
      <c r="W21" s="668"/>
      <c r="X21" s="669"/>
      <c r="Y21" s="608"/>
      <c r="Z21" s="608"/>
      <c r="AA21" s="608"/>
      <c r="AB21" s="608"/>
      <c r="AC21" s="76"/>
      <c r="AD21" s="76"/>
      <c r="AF21" s="646"/>
      <c r="AG21" s="659"/>
      <c r="AH21" s="660"/>
      <c r="AI21" s="660"/>
      <c r="AJ21" s="660"/>
      <c r="AK21" s="660"/>
      <c r="AL21" s="660"/>
      <c r="AM21" s="661"/>
      <c r="AN21" s="659"/>
      <c r="AO21" s="660"/>
      <c r="AP21" s="660"/>
      <c r="AQ21" s="660"/>
      <c r="AR21" s="660"/>
      <c r="AS21" s="660"/>
      <c r="AT21" s="661"/>
      <c r="AU21" s="667"/>
      <c r="AV21" s="668"/>
      <c r="AW21" s="668"/>
      <c r="AX21" s="668"/>
      <c r="AY21" s="668"/>
      <c r="AZ21" s="668"/>
      <c r="BA21" s="669"/>
      <c r="BB21" s="608"/>
      <c r="BC21" s="608"/>
      <c r="BD21" s="608"/>
      <c r="BE21" s="608"/>
    </row>
    <row r="22" spans="1:89" ht="7.5" customHeight="1" x14ac:dyDescent="0.15">
      <c r="AG22" s="31"/>
      <c r="AH22" s="31"/>
      <c r="AI22" s="64"/>
      <c r="AJ22" s="61"/>
      <c r="AK22" s="65"/>
      <c r="AL22" s="31"/>
      <c r="AM22" s="31"/>
      <c r="AN22" s="31"/>
      <c r="AO22" s="31"/>
      <c r="AP22" s="64"/>
      <c r="AQ22" s="61"/>
      <c r="AR22" s="65"/>
      <c r="AS22" s="31"/>
      <c r="AT22" s="31"/>
      <c r="AU22" s="31"/>
      <c r="AV22" s="31"/>
      <c r="AW22" s="64"/>
      <c r="AX22" s="61"/>
      <c r="AY22" s="65"/>
      <c r="AZ22" s="31"/>
      <c r="BA22" s="31"/>
    </row>
    <row r="23" spans="1:89" s="68" customFormat="1" ht="18" x14ac:dyDescent="0.15">
      <c r="A23" s="67"/>
    </row>
    <row r="24" spans="1:89" ht="3.75" customHeight="1" x14ac:dyDescent="0.15"/>
    <row r="25" spans="1:89" ht="13.5" customHeight="1" x14ac:dyDescent="0.15">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634"/>
      <c r="AF25" s="634"/>
      <c r="AG25" s="634"/>
      <c r="AH25" s="61"/>
      <c r="AI25" s="634"/>
      <c r="AJ25" s="634"/>
      <c r="AK25" s="634"/>
      <c r="AL25" s="634"/>
      <c r="AM25" s="634"/>
      <c r="AN25" s="634"/>
      <c r="AO25" s="61"/>
      <c r="AP25" s="634"/>
      <c r="AQ25" s="634"/>
      <c r="AR25" s="634"/>
      <c r="AS25" s="634"/>
      <c r="AT25" s="634"/>
      <c r="AU25" s="634"/>
      <c r="AV25" s="61"/>
      <c r="AW25" s="634"/>
      <c r="AX25" s="634"/>
      <c r="AY25" s="634"/>
      <c r="AZ25" s="615"/>
      <c r="BA25" s="615"/>
      <c r="BB25" s="76"/>
      <c r="BC25" s="615"/>
      <c r="BD25" s="615"/>
      <c r="BE25" s="615"/>
      <c r="BJ25" s="76"/>
      <c r="BK25" s="76"/>
      <c r="BN25" s="635" t="s">
        <v>93</v>
      </c>
      <c r="BO25" s="635"/>
      <c r="BP25" s="635"/>
      <c r="BQ25" s="635"/>
      <c r="BR25" s="635"/>
      <c r="BS25" s="635"/>
      <c r="BT25" s="635"/>
      <c r="BU25" s="635"/>
      <c r="BV25" s="635"/>
      <c r="BW25" s="635"/>
      <c r="BX25" s="635"/>
      <c r="BY25" s="635"/>
      <c r="BZ25" s="635"/>
      <c r="CA25" s="635"/>
      <c r="CB25" s="635"/>
      <c r="CC25" s="635"/>
      <c r="CD25" s="635"/>
      <c r="CE25" s="635"/>
      <c r="CF25" s="635"/>
      <c r="CG25" s="635"/>
      <c r="CH25" s="635"/>
    </row>
    <row r="26" spans="1:89" ht="24" customHeight="1" x14ac:dyDescent="0.15">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31"/>
      <c r="AF26" s="31"/>
      <c r="AG26" s="64"/>
      <c r="AH26" s="61"/>
      <c r="AI26" s="65"/>
      <c r="AJ26" s="31"/>
      <c r="AK26" s="31"/>
      <c r="AL26" s="31"/>
      <c r="AM26" s="31"/>
      <c r="AN26" s="64"/>
      <c r="AO26" s="61"/>
      <c r="AP26" s="65"/>
      <c r="AQ26" s="31"/>
      <c r="AR26" s="31"/>
      <c r="AS26" s="31"/>
      <c r="AT26" s="31"/>
      <c r="AU26" s="64"/>
      <c r="AV26" s="61"/>
      <c r="AW26" s="65"/>
      <c r="AX26" s="31"/>
      <c r="AY26" s="31"/>
      <c r="BB26" s="76"/>
      <c r="BJ26" s="76"/>
      <c r="BK26" s="76"/>
      <c r="BN26" s="635"/>
      <c r="BO26" s="635"/>
      <c r="BP26" s="635"/>
      <c r="BQ26" s="635"/>
      <c r="BR26" s="635"/>
      <c r="BS26" s="635"/>
      <c r="BT26" s="635"/>
      <c r="BU26" s="635"/>
      <c r="BV26" s="635"/>
      <c r="BW26" s="635"/>
      <c r="BX26" s="635"/>
      <c r="BY26" s="635"/>
      <c r="BZ26" s="635"/>
      <c r="CA26" s="635"/>
      <c r="CB26" s="635"/>
      <c r="CC26" s="635"/>
      <c r="CD26" s="635"/>
      <c r="CE26" s="635"/>
      <c r="CF26" s="635"/>
      <c r="CG26" s="635"/>
      <c r="CH26" s="635"/>
    </row>
    <row r="27" spans="1:89" ht="24" customHeight="1" x14ac:dyDescent="0.15">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31"/>
      <c r="AF27" s="31"/>
      <c r="AG27" s="64"/>
      <c r="AH27" s="61"/>
      <c r="AI27" s="65"/>
      <c r="AJ27" s="31"/>
      <c r="AK27" s="31"/>
      <c r="AL27" s="31"/>
      <c r="AM27" s="31"/>
      <c r="AN27" s="64"/>
      <c r="AO27" s="61"/>
      <c r="AP27" s="65"/>
      <c r="AQ27" s="31"/>
      <c r="AR27" s="31"/>
      <c r="AS27" s="31"/>
      <c r="AT27" s="31"/>
      <c r="AU27" s="64"/>
      <c r="AV27" s="61"/>
      <c r="AW27" s="65"/>
      <c r="AX27" s="31"/>
      <c r="AY27" s="31"/>
      <c r="BB27" s="76"/>
      <c r="BJ27" s="76"/>
      <c r="BK27" s="76"/>
      <c r="BN27" s="635"/>
      <c r="BO27" s="635"/>
      <c r="BP27" s="635"/>
      <c r="BQ27" s="635"/>
      <c r="BR27" s="635"/>
      <c r="BS27" s="635"/>
      <c r="BT27" s="635"/>
      <c r="BU27" s="635"/>
      <c r="BV27" s="635"/>
      <c r="BW27" s="635"/>
      <c r="BX27" s="635"/>
      <c r="BY27" s="635"/>
      <c r="BZ27" s="635"/>
      <c r="CA27" s="635"/>
      <c r="CB27" s="635"/>
      <c r="CC27" s="635"/>
      <c r="CD27" s="635"/>
      <c r="CE27" s="635"/>
      <c r="CF27" s="635"/>
      <c r="CG27" s="635"/>
      <c r="CH27" s="635"/>
    </row>
    <row r="28" spans="1:89" ht="3.75" customHeight="1" x14ac:dyDescent="0.15">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31"/>
      <c r="AF28" s="31"/>
      <c r="AG28" s="64"/>
      <c r="AH28" s="61"/>
      <c r="AI28" s="65"/>
      <c r="AJ28" s="31"/>
      <c r="AK28" s="31"/>
      <c r="AL28" s="31"/>
      <c r="AM28" s="31"/>
      <c r="AN28" s="64"/>
      <c r="AO28" s="61"/>
      <c r="AP28" s="65"/>
      <c r="AQ28" s="31"/>
      <c r="AR28" s="31"/>
      <c r="AS28" s="31"/>
      <c r="AT28" s="31"/>
      <c r="AU28" s="64"/>
      <c r="AV28" s="61"/>
      <c r="AW28" s="65"/>
      <c r="AX28" s="31"/>
      <c r="AY28" s="31"/>
      <c r="BB28" s="76"/>
      <c r="BF28" s="85"/>
      <c r="BG28" s="85"/>
      <c r="BH28" s="85"/>
      <c r="BI28" s="85"/>
      <c r="BJ28" s="76"/>
      <c r="BK28" s="76"/>
    </row>
    <row r="29" spans="1:89" x14ac:dyDescent="0.15">
      <c r="D29" s="62"/>
      <c r="E29" s="62"/>
      <c r="F29" s="62"/>
      <c r="G29" s="62"/>
      <c r="H29" s="62"/>
      <c r="I29" s="62"/>
      <c r="J29" s="62"/>
      <c r="K29" s="62"/>
      <c r="L29" s="62"/>
      <c r="M29" s="62"/>
      <c r="N29" s="62"/>
      <c r="O29" s="62"/>
      <c r="P29" s="62"/>
      <c r="Q29" s="62"/>
      <c r="R29" s="62"/>
      <c r="S29" s="62"/>
      <c r="T29" s="62"/>
      <c r="U29" s="62"/>
      <c r="V29" s="62"/>
      <c r="W29" s="62"/>
      <c r="X29" s="62"/>
      <c r="AE29" s="31"/>
      <c r="AF29" s="31"/>
      <c r="AG29" s="64"/>
      <c r="AH29" s="61"/>
      <c r="AI29" s="65"/>
      <c r="AJ29" s="31"/>
      <c r="AK29" s="31"/>
      <c r="AL29" s="31"/>
      <c r="AM29" s="31"/>
      <c r="AN29" s="64"/>
      <c r="AO29" s="61"/>
      <c r="AP29" s="65"/>
      <c r="AQ29" s="31"/>
      <c r="AR29" s="31"/>
      <c r="AS29" s="31"/>
      <c r="AT29" s="31"/>
      <c r="AU29" s="64"/>
      <c r="AV29" s="61"/>
      <c r="AW29" s="65"/>
      <c r="AX29" s="31"/>
      <c r="AY29" s="31"/>
      <c r="BB29" s="76"/>
    </row>
    <row r="30" spans="1:89" ht="43.5" customHeight="1" x14ac:dyDescent="0.15">
      <c r="D30" s="62"/>
      <c r="E30" s="62"/>
      <c r="G30" s="62"/>
      <c r="H30" s="62"/>
      <c r="I30" s="62"/>
      <c r="J30" s="62"/>
      <c r="K30" s="62"/>
      <c r="L30" s="62"/>
      <c r="M30" s="62"/>
      <c r="N30" s="62"/>
      <c r="O30" s="62"/>
      <c r="P30" s="62"/>
      <c r="Q30" s="62"/>
      <c r="R30" s="62"/>
      <c r="S30" s="62"/>
      <c r="T30" s="62"/>
      <c r="U30" s="62"/>
      <c r="V30" s="62"/>
      <c r="W30" s="62"/>
      <c r="X30" s="62"/>
      <c r="AE30" s="31"/>
      <c r="AF30" s="31"/>
      <c r="AG30" s="64"/>
      <c r="AH30" s="61"/>
      <c r="AI30" s="65"/>
      <c r="AJ30" s="31"/>
      <c r="AK30" s="31"/>
      <c r="AL30" s="31"/>
      <c r="AM30" s="31"/>
      <c r="AN30" s="64"/>
      <c r="AO30" s="61"/>
      <c r="AP30" s="65"/>
      <c r="AQ30" s="31"/>
      <c r="AR30" s="31"/>
      <c r="AS30" s="31"/>
      <c r="AT30" s="31"/>
      <c r="AU30" s="64"/>
      <c r="AV30" s="61"/>
      <c r="AW30" s="65"/>
      <c r="AX30" s="31"/>
      <c r="AY30" s="31"/>
      <c r="BB30" s="76"/>
      <c r="BN30" s="86" t="str">
        <f>"【決勝トーナメント："&amp;BL5+1&amp;"日　宝達志水町民サッカー場】"</f>
        <v>【決勝トーナメント：16日　宝達志水町民サッカー場】</v>
      </c>
      <c r="CK30" s="86"/>
    </row>
    <row r="31" spans="1:89" ht="22.5" customHeight="1" x14ac:dyDescent="0.15">
      <c r="D31" s="62"/>
      <c r="E31" s="62"/>
      <c r="F31" s="62"/>
      <c r="G31" s="62"/>
      <c r="H31" s="62"/>
      <c r="I31" s="62"/>
      <c r="J31" s="62"/>
      <c r="K31" s="62"/>
      <c r="L31" s="62"/>
      <c r="M31" s="62"/>
      <c r="N31" s="62"/>
      <c r="O31" s="62"/>
      <c r="P31" s="62"/>
      <c r="Q31" s="62"/>
      <c r="R31" s="62"/>
      <c r="S31" s="62"/>
      <c r="T31" s="62"/>
      <c r="U31" s="62"/>
      <c r="V31" s="62"/>
      <c r="W31" s="62"/>
      <c r="X31" s="62"/>
      <c r="AE31" s="31"/>
      <c r="AF31" s="31"/>
      <c r="AG31" s="64"/>
      <c r="AH31" s="61"/>
      <c r="AI31" s="65"/>
      <c r="AJ31" s="31"/>
      <c r="AK31" s="31"/>
      <c r="AL31" s="31"/>
      <c r="AM31" s="31"/>
      <c r="AN31" s="64"/>
      <c r="AO31" s="61"/>
      <c r="AP31" s="65"/>
      <c r="AQ31" s="31"/>
      <c r="AR31" s="31"/>
      <c r="AS31" s="31"/>
      <c r="AT31" s="31"/>
      <c r="AU31" s="64"/>
      <c r="AV31" s="61"/>
      <c r="AW31" s="65"/>
      <c r="AX31" s="31"/>
      <c r="AY31" s="31"/>
      <c r="BB31" s="76"/>
      <c r="BQ31" s="624" t="s">
        <v>95</v>
      </c>
      <c r="BR31" s="624"/>
      <c r="BS31" s="624"/>
      <c r="BT31" s="68" t="str">
        <f>IF(I3="","",I3)</f>
        <v/>
      </c>
    </row>
    <row r="32" spans="1:89" ht="3.75" customHeight="1" x14ac:dyDescent="0.15">
      <c r="D32" s="62"/>
      <c r="E32" s="62"/>
      <c r="F32" s="62"/>
      <c r="G32" s="62"/>
      <c r="H32" s="62"/>
      <c r="I32" s="62"/>
      <c r="J32" s="62"/>
      <c r="K32" s="62"/>
      <c r="L32" s="62"/>
      <c r="M32" s="62"/>
      <c r="N32" s="62"/>
      <c r="O32" s="62"/>
      <c r="P32" s="62"/>
      <c r="Q32" s="62"/>
      <c r="R32" s="62"/>
      <c r="S32" s="62"/>
      <c r="T32" s="62"/>
      <c r="U32" s="62"/>
      <c r="V32" s="62"/>
      <c r="W32" s="62"/>
      <c r="X32" s="62"/>
      <c r="AE32" s="31"/>
      <c r="AF32" s="31"/>
      <c r="AG32" s="64"/>
      <c r="AH32" s="61"/>
      <c r="AI32" s="65"/>
      <c r="AJ32" s="31"/>
      <c r="AK32" s="31"/>
      <c r="AL32" s="31"/>
      <c r="AM32" s="31"/>
      <c r="AN32" s="64"/>
      <c r="AO32" s="61"/>
      <c r="AP32" s="65"/>
      <c r="AQ32" s="31"/>
      <c r="AR32" s="31"/>
      <c r="AS32" s="31"/>
      <c r="AT32" s="31"/>
      <c r="AU32" s="64"/>
      <c r="AV32" s="61"/>
      <c r="AW32" s="65"/>
      <c r="AX32" s="31"/>
      <c r="AY32" s="31"/>
      <c r="BB32" s="76"/>
      <c r="BQ32" s="87"/>
      <c r="BR32" s="87"/>
      <c r="BS32" s="87"/>
      <c r="BT32" s="68"/>
    </row>
    <row r="33" spans="1:98" x14ac:dyDescent="0.15">
      <c r="D33" s="62"/>
      <c r="E33" s="62"/>
      <c r="F33" s="62"/>
      <c r="G33" s="62"/>
      <c r="H33" s="62"/>
      <c r="I33" s="62"/>
      <c r="J33" s="62"/>
      <c r="K33" s="62"/>
      <c r="L33" s="62"/>
      <c r="M33" s="62"/>
      <c r="N33" s="62"/>
      <c r="O33" s="62"/>
      <c r="P33" s="62"/>
      <c r="Q33" s="62"/>
      <c r="R33" s="62"/>
      <c r="S33" s="62"/>
      <c r="T33" s="62"/>
      <c r="U33" s="62"/>
      <c r="V33" s="62"/>
      <c r="W33" s="62"/>
      <c r="X33" s="62"/>
      <c r="AE33" s="31"/>
      <c r="AF33" s="31"/>
      <c r="AG33" s="64"/>
      <c r="AH33" s="61"/>
      <c r="AI33" s="65"/>
      <c r="AJ33" s="31"/>
      <c r="AK33" s="31"/>
      <c r="AL33" s="31"/>
      <c r="AM33" s="31"/>
      <c r="AN33" s="64"/>
      <c r="AO33" s="61"/>
      <c r="AP33" s="65"/>
      <c r="AQ33" s="31"/>
      <c r="AR33" s="31"/>
      <c r="AS33" s="31"/>
      <c r="AT33" s="31"/>
      <c r="AU33" s="64"/>
      <c r="AV33" s="61"/>
      <c r="AW33" s="65"/>
      <c r="AX33" s="31"/>
      <c r="AY33" s="31"/>
      <c r="BB33" s="76"/>
      <c r="BW33" s="620"/>
    </row>
    <row r="34" spans="1:98" x14ac:dyDescent="0.15">
      <c r="D34" s="62"/>
      <c r="E34" s="62"/>
      <c r="F34" s="62"/>
      <c r="G34" s="62"/>
      <c r="H34" s="62"/>
      <c r="I34" s="62"/>
      <c r="J34" s="62"/>
      <c r="K34" s="62"/>
      <c r="L34" s="62"/>
      <c r="M34" s="62"/>
      <c r="N34" s="62"/>
      <c r="O34" s="62"/>
      <c r="P34" s="62"/>
      <c r="Q34" s="62"/>
      <c r="R34" s="62"/>
      <c r="S34" s="62"/>
      <c r="T34" s="62"/>
      <c r="U34" s="62"/>
      <c r="V34" s="62"/>
      <c r="W34" s="62"/>
      <c r="X34" s="62"/>
      <c r="AE34" s="31"/>
      <c r="AF34" s="31"/>
      <c r="AG34" s="64"/>
      <c r="AH34" s="61"/>
      <c r="AI34" s="65"/>
      <c r="AJ34" s="31"/>
      <c r="AK34" s="31"/>
      <c r="AL34" s="31"/>
      <c r="AM34" s="31"/>
      <c r="AN34" s="64"/>
      <c r="AO34" s="61"/>
      <c r="AP34" s="65"/>
      <c r="AQ34" s="31"/>
      <c r="AR34" s="31"/>
      <c r="AS34" s="31"/>
      <c r="AT34" s="31"/>
      <c r="AU34" s="64"/>
      <c r="AV34" s="61"/>
      <c r="AW34" s="65"/>
      <c r="AX34" s="31"/>
      <c r="AY34" s="31"/>
      <c r="BB34" s="76"/>
      <c r="BU34" s="624" t="str">
        <f>IF(BU37="","",SUM(BU37:BV40))</f>
        <v/>
      </c>
      <c r="BV34" s="624"/>
      <c r="BW34" s="620"/>
      <c r="BY34" s="621" t="str">
        <f>IF(BY37="","",SUM(BY37:BZ40))</f>
        <v/>
      </c>
      <c r="BZ34" s="621"/>
      <c r="CJ34" s="621"/>
      <c r="CK34" s="621"/>
    </row>
    <row r="35" spans="1:98" s="85" customFormat="1" ht="13.5" hidden="1" customHeight="1" x14ac:dyDescent="0.15">
      <c r="A35" s="31"/>
      <c r="AE35" s="88"/>
      <c r="AF35" s="88"/>
      <c r="AG35" s="89"/>
      <c r="AH35" s="90"/>
      <c r="AI35" s="91"/>
      <c r="AJ35" s="88"/>
      <c r="AK35" s="88"/>
      <c r="AL35" s="88"/>
      <c r="AM35" s="88"/>
      <c r="AN35" s="89"/>
      <c r="AO35" s="90"/>
      <c r="AP35" s="91"/>
      <c r="AQ35" s="88"/>
      <c r="AR35" s="88"/>
      <c r="AS35" s="88"/>
      <c r="AT35" s="88"/>
      <c r="AU35" s="89"/>
      <c r="AV35" s="90"/>
      <c r="AW35" s="91"/>
      <c r="AX35" s="88"/>
      <c r="AY35" s="88"/>
      <c r="BB35" s="92"/>
      <c r="BF35" s="62"/>
      <c r="BG35" s="62"/>
      <c r="BH35" s="62"/>
      <c r="BI35" s="62"/>
      <c r="BU35" s="629" t="str">
        <f>IF(BU37="","",SUM(BU37:BV41))</f>
        <v/>
      </c>
      <c r="BV35" s="629"/>
      <c r="BW35" s="620"/>
      <c r="BY35" s="630" t="str">
        <f>IF(BY37="","",SUM(BY37:BZ41))</f>
        <v/>
      </c>
      <c r="BZ35" s="630"/>
      <c r="CJ35" s="630"/>
      <c r="CK35" s="630"/>
    </row>
    <row r="36" spans="1:98" ht="7.5" customHeight="1" thickBot="1" x14ac:dyDescent="0.2">
      <c r="D36" s="62"/>
      <c r="E36" s="62"/>
      <c r="F36" s="62"/>
      <c r="G36" s="62"/>
      <c r="H36" s="62"/>
      <c r="I36" s="62"/>
      <c r="J36" s="62"/>
      <c r="K36" s="62"/>
      <c r="L36" s="62"/>
      <c r="M36" s="62"/>
      <c r="N36" s="62"/>
      <c r="O36" s="62"/>
      <c r="P36" s="62"/>
      <c r="Q36" s="62"/>
      <c r="R36" s="62"/>
      <c r="S36" s="62"/>
      <c r="T36" s="62"/>
      <c r="U36" s="62"/>
      <c r="V36" s="62"/>
      <c r="W36" s="62"/>
      <c r="X36" s="62"/>
      <c r="AE36" s="31"/>
      <c r="AF36" s="31"/>
      <c r="AG36" s="64"/>
      <c r="AH36" s="61"/>
      <c r="AI36" s="65"/>
      <c r="AJ36" s="31"/>
      <c r="AK36" s="31"/>
      <c r="AL36" s="31"/>
      <c r="AM36" s="31"/>
      <c r="AN36" s="64"/>
      <c r="AO36" s="61"/>
      <c r="AP36" s="65"/>
      <c r="AQ36" s="31"/>
      <c r="AR36" s="31"/>
      <c r="AS36" s="31"/>
      <c r="AT36" s="31"/>
      <c r="AU36" s="64"/>
      <c r="AV36" s="61"/>
      <c r="AW36" s="65"/>
      <c r="AX36" s="31"/>
      <c r="AY36" s="31"/>
      <c r="BB36" s="76"/>
      <c r="BR36" s="625"/>
      <c r="BS36" s="625"/>
      <c r="BT36" s="625"/>
      <c r="BU36" s="625"/>
      <c r="BV36" s="625"/>
      <c r="BW36" s="632"/>
      <c r="BX36" s="625"/>
      <c r="BY36" s="625"/>
      <c r="BZ36" s="625"/>
      <c r="CA36" s="625"/>
      <c r="CB36" s="625"/>
      <c r="CC36" s="625"/>
      <c r="CG36" s="652"/>
      <c r="CH36" s="652"/>
      <c r="CI36" s="652"/>
      <c r="CJ36" s="652"/>
      <c r="CK36" s="652"/>
      <c r="CL36" s="652"/>
      <c r="CM36" s="652"/>
      <c r="CN36" s="652"/>
      <c r="CO36" s="652"/>
      <c r="CP36" s="652"/>
      <c r="CQ36" s="652"/>
      <c r="CR36" s="652"/>
      <c r="CS36" s="652"/>
      <c r="CT36" s="652"/>
    </row>
    <row r="37" spans="1:98" ht="14.25" customHeight="1" thickTop="1" x14ac:dyDescent="0.15">
      <c r="D37" s="62"/>
      <c r="E37" s="62"/>
      <c r="F37" s="62"/>
      <c r="G37" s="62"/>
      <c r="H37" s="62"/>
      <c r="I37" s="62"/>
      <c r="J37" s="62"/>
      <c r="K37" s="62"/>
      <c r="L37" s="62"/>
      <c r="M37" s="62"/>
      <c r="N37" s="62"/>
      <c r="O37" s="62"/>
      <c r="P37" s="62"/>
      <c r="Q37" s="62"/>
      <c r="R37" s="62"/>
      <c r="S37" s="62"/>
      <c r="T37" s="62"/>
      <c r="U37" s="62"/>
      <c r="V37" s="62"/>
      <c r="W37" s="62"/>
      <c r="X37" s="62"/>
      <c r="AE37" s="31"/>
      <c r="AF37" s="31"/>
      <c r="AG37" s="64"/>
      <c r="AH37" s="61"/>
      <c r="AI37" s="65"/>
      <c r="AJ37" s="31"/>
      <c r="AK37" s="31"/>
      <c r="AL37" s="31"/>
      <c r="AM37" s="31"/>
      <c r="AN37" s="64"/>
      <c r="AO37" s="61"/>
      <c r="AP37" s="65"/>
      <c r="AQ37" s="31"/>
      <c r="AR37" s="31"/>
      <c r="AS37" s="31"/>
      <c r="AT37" s="31"/>
      <c r="AU37" s="64"/>
      <c r="AV37" s="61"/>
      <c r="AW37" s="65"/>
      <c r="AX37" s="31"/>
      <c r="AY37" s="31"/>
      <c r="BB37" s="76"/>
      <c r="BF37" s="85"/>
      <c r="BG37" s="85"/>
      <c r="BH37" s="85"/>
      <c r="BI37" s="85"/>
      <c r="BO37" s="631" t="str">
        <f>IF(BO43=BS43,"",IF(BS43&lt;BO43,BN51,BT51))</f>
        <v/>
      </c>
      <c r="BP37" s="631"/>
      <c r="BQ37" s="620"/>
      <c r="BU37" s="624"/>
      <c r="BV37" s="624"/>
      <c r="BW37" s="615" t="s">
        <v>92</v>
      </c>
      <c r="BX37" s="615"/>
      <c r="BY37" s="621"/>
      <c r="BZ37" s="621"/>
      <c r="CD37" s="619"/>
      <c r="CE37" s="628" t="str">
        <f>IF(CA43=CE43,"",IF(CE43&lt;CA43,BZ51,CF51))</f>
        <v/>
      </c>
      <c r="CF37" s="628"/>
      <c r="CG37" s="652"/>
      <c r="CH37" s="652"/>
      <c r="CI37" s="652"/>
      <c r="CJ37" s="652"/>
      <c r="CK37" s="652"/>
      <c r="CL37" s="652"/>
      <c r="CM37" s="652"/>
      <c r="CN37" s="652"/>
      <c r="CO37" s="652"/>
      <c r="CP37" s="652"/>
      <c r="CQ37" s="652"/>
      <c r="CR37" s="652"/>
      <c r="CS37" s="652"/>
      <c r="CT37" s="652"/>
    </row>
    <row r="38" spans="1:98" ht="13.5" customHeight="1" x14ac:dyDescent="0.15">
      <c r="D38" s="62"/>
      <c r="E38" s="62"/>
      <c r="F38" s="62"/>
      <c r="G38" s="62"/>
      <c r="H38" s="62"/>
      <c r="I38" s="62"/>
      <c r="J38" s="62"/>
      <c r="K38" s="62"/>
      <c r="L38" s="62"/>
      <c r="M38" s="62"/>
      <c r="N38" s="62"/>
      <c r="O38" s="62"/>
      <c r="P38" s="62"/>
      <c r="Q38" s="62"/>
      <c r="R38" s="62"/>
      <c r="S38" s="62"/>
      <c r="T38" s="62"/>
      <c r="U38" s="62"/>
      <c r="V38" s="62"/>
      <c r="W38" s="62"/>
      <c r="X38" s="62"/>
      <c r="AE38" s="31"/>
      <c r="AF38" s="31"/>
      <c r="AG38" s="64"/>
      <c r="AH38" s="61"/>
      <c r="AI38" s="65"/>
      <c r="AJ38" s="31"/>
      <c r="AK38" s="31"/>
      <c r="AL38" s="31"/>
      <c r="AM38" s="31"/>
      <c r="AN38" s="64"/>
      <c r="AO38" s="61"/>
      <c r="AP38" s="65"/>
      <c r="AQ38" s="31"/>
      <c r="AR38" s="31"/>
      <c r="AS38" s="31"/>
      <c r="AT38" s="31"/>
      <c r="AU38" s="64"/>
      <c r="AV38" s="61"/>
      <c r="AW38" s="65"/>
      <c r="AX38" s="31"/>
      <c r="AY38" s="31"/>
      <c r="BB38" s="76"/>
      <c r="BO38" s="631"/>
      <c r="BP38" s="631"/>
      <c r="BQ38" s="620"/>
      <c r="BU38" s="624"/>
      <c r="BV38" s="624"/>
      <c r="BW38" s="615" t="s">
        <v>92</v>
      </c>
      <c r="BX38" s="615"/>
      <c r="BY38" s="621"/>
      <c r="BZ38" s="621"/>
      <c r="CD38" s="619"/>
      <c r="CE38" s="628"/>
      <c r="CF38" s="628"/>
      <c r="CG38" s="652"/>
      <c r="CH38" s="652"/>
      <c r="CI38" s="652"/>
      <c r="CJ38" s="652"/>
      <c r="CK38" s="652"/>
      <c r="CL38" s="652"/>
      <c r="CM38" s="652"/>
      <c r="CN38" s="652"/>
      <c r="CO38" s="652"/>
      <c r="CP38" s="652"/>
      <c r="CQ38" s="652"/>
      <c r="CR38" s="652"/>
      <c r="CS38" s="652"/>
      <c r="CT38" s="652"/>
    </row>
    <row r="39" spans="1:98" ht="14.25" customHeight="1" x14ac:dyDescent="0.15">
      <c r="D39" s="62"/>
      <c r="E39" s="62"/>
      <c r="F39" s="62"/>
      <c r="G39" s="62"/>
      <c r="H39" s="62"/>
      <c r="I39" s="62"/>
      <c r="J39" s="62"/>
      <c r="K39" s="62"/>
      <c r="L39" s="62"/>
      <c r="M39" s="62"/>
      <c r="N39" s="62"/>
      <c r="O39" s="62"/>
      <c r="P39" s="62"/>
      <c r="Q39" s="62"/>
      <c r="R39" s="62"/>
      <c r="S39" s="62"/>
      <c r="T39" s="62"/>
      <c r="U39" s="62"/>
      <c r="V39" s="62"/>
      <c r="W39" s="62"/>
      <c r="X39" s="62"/>
      <c r="AE39" s="31"/>
      <c r="AF39" s="31"/>
      <c r="AG39" s="64"/>
      <c r="AH39" s="61"/>
      <c r="AI39" s="65"/>
      <c r="AJ39" s="31"/>
      <c r="AK39" s="31"/>
      <c r="AL39" s="31"/>
      <c r="AM39" s="31"/>
      <c r="AN39" s="64"/>
      <c r="AO39" s="61"/>
      <c r="AP39" s="65"/>
      <c r="AQ39" s="31"/>
      <c r="AR39" s="31"/>
      <c r="AS39" s="31"/>
      <c r="AT39" s="31"/>
      <c r="AU39" s="64"/>
      <c r="AV39" s="61"/>
      <c r="AW39" s="65"/>
      <c r="AX39" s="31"/>
      <c r="AY39" s="31"/>
      <c r="BB39" s="76"/>
      <c r="BO39" s="631"/>
      <c r="BP39" s="631"/>
      <c r="BQ39" s="620"/>
      <c r="BU39" s="624"/>
      <c r="BV39" s="624"/>
      <c r="BW39" s="615"/>
      <c r="BX39" s="615"/>
      <c r="BY39" s="621"/>
      <c r="BZ39" s="621"/>
      <c r="CD39" s="619"/>
      <c r="CE39" s="628"/>
      <c r="CF39" s="628"/>
      <c r="CG39" s="652"/>
      <c r="CH39" s="652"/>
      <c r="CI39" s="652"/>
      <c r="CJ39" s="652"/>
      <c r="CK39" s="652"/>
      <c r="CL39" s="652"/>
      <c r="CM39" s="652"/>
      <c r="CN39" s="652"/>
      <c r="CO39" s="652"/>
      <c r="CP39" s="652"/>
      <c r="CQ39" s="652"/>
      <c r="CR39" s="652"/>
      <c r="CS39" s="652"/>
      <c r="CT39" s="652"/>
    </row>
    <row r="40" spans="1:98" ht="14.25" customHeight="1" x14ac:dyDescent="0.15">
      <c r="D40" s="62"/>
      <c r="E40" s="62"/>
      <c r="F40" s="62"/>
      <c r="G40" s="62"/>
      <c r="H40" s="62"/>
      <c r="I40" s="62"/>
      <c r="J40" s="62"/>
      <c r="K40" s="62"/>
      <c r="L40" s="62"/>
      <c r="M40" s="62"/>
      <c r="N40" s="62"/>
      <c r="O40" s="62"/>
      <c r="P40" s="62"/>
      <c r="Q40" s="62"/>
      <c r="R40" s="62"/>
      <c r="S40" s="62"/>
      <c r="T40" s="62"/>
      <c r="U40" s="62"/>
      <c r="V40" s="62"/>
      <c r="W40" s="62"/>
      <c r="X40" s="62"/>
      <c r="AE40" s="31"/>
      <c r="AF40" s="31"/>
      <c r="AG40" s="64"/>
      <c r="AH40" s="61"/>
      <c r="AI40" s="65"/>
      <c r="AJ40" s="31"/>
      <c r="AK40" s="31"/>
      <c r="AL40" s="31"/>
      <c r="AM40" s="31"/>
      <c r="AN40" s="64"/>
      <c r="AO40" s="61"/>
      <c r="AP40" s="65"/>
      <c r="AQ40" s="31"/>
      <c r="AR40" s="31"/>
      <c r="AS40" s="31"/>
      <c r="AT40" s="31"/>
      <c r="AU40" s="64"/>
      <c r="AV40" s="61"/>
      <c r="AW40" s="65"/>
      <c r="AX40" s="31"/>
      <c r="AY40" s="31"/>
      <c r="BB40" s="76"/>
      <c r="BO40" s="631"/>
      <c r="BP40" s="631"/>
      <c r="BQ40" s="620"/>
      <c r="BR40" s="651">
        <v>0.5625</v>
      </c>
      <c r="BS40" s="615"/>
      <c r="BT40" s="615"/>
      <c r="BU40" s="615"/>
      <c r="BV40" s="615"/>
      <c r="BW40" s="615"/>
      <c r="BX40" s="615"/>
      <c r="BY40" s="615"/>
      <c r="BZ40" s="615"/>
      <c r="CA40" s="615"/>
      <c r="CB40" s="615"/>
      <c r="CC40" s="620"/>
      <c r="CD40" s="619"/>
      <c r="CE40" s="628"/>
      <c r="CF40" s="628"/>
      <c r="CG40" s="652"/>
      <c r="CH40" s="652"/>
      <c r="CI40" s="652"/>
      <c r="CJ40" s="652"/>
      <c r="CK40" s="652"/>
      <c r="CL40" s="652"/>
      <c r="CM40" s="652"/>
      <c r="CN40" s="652"/>
      <c r="CO40" s="652"/>
      <c r="CP40" s="652"/>
      <c r="CQ40" s="652"/>
      <c r="CR40" s="652"/>
      <c r="CS40" s="652"/>
      <c r="CT40" s="652"/>
    </row>
    <row r="41" spans="1:98" x14ac:dyDescent="0.15">
      <c r="D41" s="62"/>
      <c r="E41" s="62"/>
      <c r="F41" s="62"/>
      <c r="G41" s="62"/>
      <c r="H41" s="62"/>
      <c r="I41" s="62"/>
      <c r="J41" s="62"/>
      <c r="K41" s="62"/>
      <c r="L41" s="62"/>
      <c r="M41" s="62"/>
      <c r="N41" s="62"/>
      <c r="O41" s="62"/>
      <c r="P41" s="62"/>
      <c r="Q41" s="62"/>
      <c r="R41" s="62"/>
      <c r="S41" s="62"/>
      <c r="T41" s="62"/>
      <c r="U41" s="62"/>
      <c r="V41" s="62"/>
      <c r="W41" s="62"/>
      <c r="X41" s="62"/>
      <c r="AE41" s="31"/>
      <c r="AF41" s="31"/>
      <c r="AG41" s="64"/>
      <c r="AH41" s="61"/>
      <c r="AI41" s="65"/>
      <c r="AJ41" s="31"/>
      <c r="AK41" s="31"/>
      <c r="AL41" s="31"/>
      <c r="AM41" s="31"/>
      <c r="AN41" s="64"/>
      <c r="AO41" s="61"/>
      <c r="AP41" s="65"/>
      <c r="AQ41" s="31"/>
      <c r="AR41" s="31"/>
      <c r="AS41" s="31"/>
      <c r="AT41" s="31"/>
      <c r="AU41" s="64"/>
      <c r="AV41" s="61"/>
      <c r="AW41" s="65"/>
      <c r="AX41" s="31"/>
      <c r="AY41" s="31"/>
      <c r="BB41" s="76"/>
      <c r="BQ41" s="620"/>
      <c r="BU41" s="624"/>
      <c r="BV41" s="624"/>
      <c r="BW41" s="615"/>
      <c r="BX41" s="615"/>
      <c r="BY41" s="621"/>
      <c r="BZ41" s="621"/>
      <c r="CD41" s="619"/>
      <c r="CI41" s="76"/>
    </row>
    <row r="42" spans="1:98" x14ac:dyDescent="0.15">
      <c r="D42" s="62"/>
      <c r="E42" s="62"/>
      <c r="F42" s="62"/>
      <c r="G42" s="62"/>
      <c r="H42" s="62"/>
      <c r="I42" s="62"/>
      <c r="J42" s="62"/>
      <c r="K42" s="62"/>
      <c r="L42" s="62"/>
      <c r="M42" s="62"/>
      <c r="N42" s="62"/>
      <c r="O42" s="62"/>
      <c r="P42" s="62"/>
      <c r="Q42" s="62"/>
      <c r="R42" s="62"/>
      <c r="S42" s="62"/>
      <c r="T42" s="62"/>
      <c r="U42" s="62"/>
      <c r="V42" s="62"/>
      <c r="W42" s="62"/>
      <c r="X42" s="62"/>
      <c r="AE42" s="31"/>
      <c r="AF42" s="31"/>
      <c r="AG42" s="64"/>
      <c r="AH42" s="61"/>
      <c r="AI42" s="65"/>
      <c r="AJ42" s="31"/>
      <c r="AK42" s="31"/>
      <c r="AL42" s="31"/>
      <c r="AM42" s="31"/>
      <c r="AN42" s="64"/>
      <c r="AO42" s="61"/>
      <c r="AP42" s="65"/>
      <c r="AQ42" s="31"/>
      <c r="AR42" s="31"/>
      <c r="AS42" s="31"/>
      <c r="AT42" s="31"/>
      <c r="AU42" s="64"/>
      <c r="AV42" s="61"/>
      <c r="AW42" s="65"/>
      <c r="AX42" s="31"/>
      <c r="AY42" s="31"/>
      <c r="BB42" s="76"/>
      <c r="BO42" s="624" t="str">
        <f>IF(BO45="","",SUM(BO45:BP48))</f>
        <v/>
      </c>
      <c r="BP42" s="624"/>
      <c r="BQ42" s="620"/>
      <c r="BS42" s="621" t="str">
        <f>IF(BS45="","",SUM(BS45:BT48))</f>
        <v/>
      </c>
      <c r="BT42" s="621"/>
      <c r="BW42" s="615"/>
      <c r="BX42" s="615"/>
      <c r="CA42" s="624" t="str">
        <f>IF(CA45="","",SUM(CA45:CB48))</f>
        <v/>
      </c>
      <c r="CB42" s="624"/>
      <c r="CD42" s="619"/>
      <c r="CE42" s="621" t="str">
        <f>IF(CE45="","",SUM(CE45:CF48))</f>
        <v/>
      </c>
      <c r="CF42" s="621"/>
      <c r="CI42" s="76"/>
    </row>
    <row r="43" spans="1:98" s="85" customFormat="1" ht="13.5" hidden="1" customHeight="1" x14ac:dyDescent="0.15">
      <c r="A43" s="31"/>
      <c r="AE43" s="88"/>
      <c r="AF43" s="88"/>
      <c r="AG43" s="89"/>
      <c r="AH43" s="90"/>
      <c r="AI43" s="91"/>
      <c r="AJ43" s="88"/>
      <c r="AK43" s="88"/>
      <c r="AL43" s="88"/>
      <c r="AM43" s="88"/>
      <c r="AN43" s="89"/>
      <c r="AO43" s="90"/>
      <c r="AP43" s="91"/>
      <c r="AQ43" s="88"/>
      <c r="AR43" s="88"/>
      <c r="AS43" s="88"/>
      <c r="AT43" s="88"/>
      <c r="AU43" s="89"/>
      <c r="AV43" s="90"/>
      <c r="AW43" s="91"/>
      <c r="AX43" s="88"/>
      <c r="AY43" s="88"/>
      <c r="BB43" s="92"/>
      <c r="BF43" s="62"/>
      <c r="BG43" s="62"/>
      <c r="BH43" s="62"/>
      <c r="BI43" s="62"/>
      <c r="BO43" s="629" t="str">
        <f>IF(BO45="","",SUM(BO45:BP49))</f>
        <v/>
      </c>
      <c r="BP43" s="629"/>
      <c r="BQ43" s="620"/>
      <c r="BS43" s="630" t="str">
        <f>IF(BS45="","",SUM(BS45:BT49))</f>
        <v/>
      </c>
      <c r="BT43" s="630"/>
      <c r="CA43" s="629" t="str">
        <f>IF(CA45="","",SUM(CA45:CB49))</f>
        <v/>
      </c>
      <c r="CB43" s="629"/>
      <c r="CD43" s="619"/>
      <c r="CE43" s="630" t="str">
        <f>IF(CE45="","",SUM(CE45:CF49))</f>
        <v/>
      </c>
      <c r="CF43" s="630"/>
    </row>
    <row r="44" spans="1:98" ht="7.5" customHeight="1" thickBot="1" x14ac:dyDescent="0.2">
      <c r="D44" s="62"/>
      <c r="E44" s="62"/>
      <c r="F44" s="62"/>
      <c r="G44" s="62"/>
      <c r="H44" s="62"/>
      <c r="I44" s="62"/>
      <c r="J44" s="62"/>
      <c r="K44" s="62"/>
      <c r="L44" s="62"/>
      <c r="M44" s="62"/>
      <c r="N44" s="62"/>
      <c r="O44" s="62"/>
      <c r="P44" s="62"/>
      <c r="Q44" s="62"/>
      <c r="R44" s="62"/>
      <c r="S44" s="62"/>
      <c r="T44" s="62"/>
      <c r="U44" s="62"/>
      <c r="V44" s="62"/>
      <c r="W44" s="62"/>
      <c r="X44" s="62"/>
      <c r="AE44" s="31"/>
      <c r="AF44" s="31"/>
      <c r="AG44" s="64"/>
      <c r="AH44" s="61"/>
      <c r="AI44" s="65"/>
      <c r="AJ44" s="31"/>
      <c r="AK44" s="31"/>
      <c r="AL44" s="31"/>
      <c r="AM44" s="31"/>
      <c r="AN44" s="64"/>
      <c r="AO44" s="61"/>
      <c r="AP44" s="65"/>
      <c r="AQ44" s="31"/>
      <c r="AR44" s="31"/>
      <c r="AS44" s="31"/>
      <c r="AT44" s="31"/>
      <c r="AU44" s="64"/>
      <c r="AV44" s="61"/>
      <c r="AW44" s="65"/>
      <c r="AX44" s="31"/>
      <c r="AY44" s="31"/>
      <c r="BB44" s="76"/>
      <c r="BO44" s="625"/>
      <c r="BP44" s="625"/>
      <c r="BQ44" s="632"/>
      <c r="BR44" s="625"/>
      <c r="BS44" s="625"/>
      <c r="BT44" s="625"/>
      <c r="CA44" s="625"/>
      <c r="CB44" s="625"/>
      <c r="CC44" s="625"/>
      <c r="CD44" s="627"/>
      <c r="CE44" s="625"/>
      <c r="CF44" s="625"/>
    </row>
    <row r="45" spans="1:98" ht="15" thickTop="1" x14ac:dyDescent="0.15">
      <c r="D45" s="62"/>
      <c r="E45" s="62"/>
      <c r="F45" s="62"/>
      <c r="G45" s="62"/>
      <c r="H45" s="62"/>
      <c r="I45" s="62"/>
      <c r="J45" s="62"/>
      <c r="K45" s="62"/>
      <c r="L45" s="62"/>
      <c r="M45" s="62"/>
      <c r="N45" s="62"/>
      <c r="O45" s="62"/>
      <c r="P45" s="62"/>
      <c r="Q45" s="62"/>
      <c r="R45" s="62"/>
      <c r="S45" s="62"/>
      <c r="T45" s="62"/>
      <c r="U45" s="62"/>
      <c r="V45" s="62"/>
      <c r="W45" s="62"/>
      <c r="X45" s="62"/>
      <c r="AE45" s="31"/>
      <c r="AF45" s="31"/>
      <c r="AG45" s="64"/>
      <c r="AH45" s="61"/>
      <c r="AI45" s="65"/>
      <c r="AJ45" s="31"/>
      <c r="AK45" s="31"/>
      <c r="AL45" s="31"/>
      <c r="AM45" s="31"/>
      <c r="AN45" s="64"/>
      <c r="AO45" s="61"/>
      <c r="AP45" s="65"/>
      <c r="AQ45" s="31"/>
      <c r="AR45" s="31"/>
      <c r="AS45" s="31"/>
      <c r="AT45" s="31"/>
      <c r="AU45" s="64"/>
      <c r="AV45" s="61"/>
      <c r="AW45" s="65"/>
      <c r="AX45" s="31"/>
      <c r="AY45" s="31"/>
      <c r="BB45" s="76"/>
      <c r="BN45" s="620"/>
      <c r="BO45" s="624"/>
      <c r="BP45" s="624"/>
      <c r="BQ45" s="615" t="s">
        <v>92</v>
      </c>
      <c r="BR45" s="615"/>
      <c r="BS45" s="621"/>
      <c r="BT45" s="621"/>
      <c r="BU45" s="619"/>
      <c r="BZ45" s="620"/>
      <c r="CA45" s="624"/>
      <c r="CB45" s="624"/>
      <c r="CC45" s="615" t="s">
        <v>92</v>
      </c>
      <c r="CD45" s="615"/>
      <c r="CE45" s="621"/>
      <c r="CF45" s="621"/>
      <c r="CG45" s="619"/>
    </row>
    <row r="46" spans="1:98" x14ac:dyDescent="0.15">
      <c r="D46" s="62"/>
      <c r="E46" s="62"/>
      <c r="F46" s="62"/>
      <c r="G46" s="62"/>
      <c r="H46" s="62"/>
      <c r="I46" s="62"/>
      <c r="J46" s="62"/>
      <c r="K46" s="62"/>
      <c r="L46" s="62"/>
      <c r="M46" s="62"/>
      <c r="N46" s="62"/>
      <c r="O46" s="62"/>
      <c r="P46" s="62"/>
      <c r="Q46" s="62"/>
      <c r="R46" s="62"/>
      <c r="S46" s="62"/>
      <c r="T46" s="62"/>
      <c r="U46" s="62"/>
      <c r="V46" s="62"/>
      <c r="W46" s="62"/>
      <c r="X46" s="62"/>
      <c r="AE46" s="31"/>
      <c r="AF46" s="31"/>
      <c r="AG46" s="64"/>
      <c r="AH46" s="61"/>
      <c r="AI46" s="65"/>
      <c r="AJ46" s="31"/>
      <c r="AK46" s="31"/>
      <c r="AL46" s="31"/>
      <c r="AM46" s="31"/>
      <c r="AN46" s="64"/>
      <c r="AO46" s="61"/>
      <c r="AP46" s="65"/>
      <c r="AQ46" s="31"/>
      <c r="AR46" s="31"/>
      <c r="AS46" s="31"/>
      <c r="AT46" s="31"/>
      <c r="AU46" s="64"/>
      <c r="AV46" s="61"/>
      <c r="AW46" s="65"/>
      <c r="AX46" s="31"/>
      <c r="AY46" s="31"/>
      <c r="BB46" s="76"/>
      <c r="BN46" s="620"/>
      <c r="BO46" s="624"/>
      <c r="BP46" s="624"/>
      <c r="BQ46" s="615" t="s">
        <v>92</v>
      </c>
      <c r="BR46" s="615"/>
      <c r="BS46" s="621"/>
      <c r="BT46" s="621"/>
      <c r="BU46" s="619"/>
      <c r="BZ46" s="620"/>
      <c r="CA46" s="624"/>
      <c r="CB46" s="624"/>
      <c r="CC46" s="615" t="s">
        <v>92</v>
      </c>
      <c r="CD46" s="615"/>
      <c r="CE46" s="621"/>
      <c r="CF46" s="621"/>
      <c r="CG46" s="619"/>
    </row>
    <row r="47" spans="1:98" x14ac:dyDescent="0.15">
      <c r="A47" s="88"/>
      <c r="D47" s="62"/>
      <c r="E47" s="62"/>
      <c r="F47" s="62"/>
      <c r="G47" s="62"/>
      <c r="H47" s="62"/>
      <c r="I47" s="62"/>
      <c r="J47" s="62"/>
      <c r="K47" s="62"/>
      <c r="L47" s="62"/>
      <c r="M47" s="62"/>
      <c r="N47" s="62"/>
      <c r="O47" s="62"/>
      <c r="P47" s="62"/>
      <c r="Q47" s="62"/>
      <c r="R47" s="62"/>
      <c r="S47" s="62"/>
      <c r="T47" s="62"/>
      <c r="U47" s="62"/>
      <c r="V47" s="62"/>
      <c r="W47" s="62"/>
      <c r="X47" s="62"/>
      <c r="AE47" s="31"/>
      <c r="AF47" s="31"/>
      <c r="AG47" s="64"/>
      <c r="AH47" s="61"/>
      <c r="AI47" s="65"/>
      <c r="AJ47" s="31"/>
      <c r="AK47" s="31"/>
      <c r="AL47" s="31"/>
      <c r="AM47" s="31"/>
      <c r="AN47" s="64"/>
      <c r="AO47" s="61"/>
      <c r="AP47" s="65"/>
      <c r="AQ47" s="31"/>
      <c r="AR47" s="31"/>
      <c r="AS47" s="31"/>
      <c r="AT47" s="31"/>
      <c r="AU47" s="64"/>
      <c r="AV47" s="61"/>
      <c r="AW47" s="65"/>
      <c r="AX47" s="31"/>
      <c r="AY47" s="31"/>
      <c r="BB47" s="76"/>
      <c r="BN47" s="620"/>
      <c r="BO47" s="624"/>
      <c r="BP47" s="624"/>
      <c r="BQ47" s="615"/>
      <c r="BR47" s="615"/>
      <c r="BS47" s="621"/>
      <c r="BT47" s="621"/>
      <c r="BU47" s="619"/>
      <c r="BZ47" s="620"/>
      <c r="CA47" s="624"/>
      <c r="CB47" s="624"/>
      <c r="CC47" s="615"/>
      <c r="CD47" s="615"/>
      <c r="CE47" s="621"/>
      <c r="CF47" s="621"/>
      <c r="CG47" s="619"/>
    </row>
    <row r="48" spans="1:98" x14ac:dyDescent="0.15">
      <c r="D48" s="62"/>
      <c r="E48" s="62"/>
      <c r="F48" s="62"/>
      <c r="G48" s="62"/>
      <c r="H48" s="62"/>
      <c r="I48" s="62"/>
      <c r="J48" s="62"/>
      <c r="K48" s="62"/>
      <c r="L48" s="62"/>
      <c r="M48" s="62"/>
      <c r="N48" s="62"/>
      <c r="O48" s="62"/>
      <c r="P48" s="62"/>
      <c r="Q48" s="62"/>
      <c r="R48" s="62"/>
      <c r="S48" s="62"/>
      <c r="T48" s="62"/>
      <c r="U48" s="62"/>
      <c r="V48" s="62"/>
      <c r="W48" s="62"/>
      <c r="X48" s="62"/>
      <c r="AE48" s="31"/>
      <c r="AF48" s="31"/>
      <c r="AG48" s="64"/>
      <c r="AH48" s="61"/>
      <c r="AI48" s="65"/>
      <c r="AJ48" s="31"/>
      <c r="AK48" s="31"/>
      <c r="AL48" s="31"/>
      <c r="AM48" s="31"/>
      <c r="AN48" s="64"/>
      <c r="AO48" s="61"/>
      <c r="AP48" s="65"/>
      <c r="AQ48" s="31"/>
      <c r="AR48" s="31"/>
      <c r="AS48" s="31"/>
      <c r="AT48" s="31"/>
      <c r="AU48" s="64"/>
      <c r="AV48" s="61"/>
      <c r="AW48" s="65"/>
      <c r="AX48" s="31"/>
      <c r="AY48" s="31"/>
      <c r="BB48" s="76"/>
      <c r="BN48" s="620"/>
      <c r="BO48" s="651">
        <v>0.375</v>
      </c>
      <c r="BP48" s="615"/>
      <c r="BQ48" s="615"/>
      <c r="BR48" s="615"/>
      <c r="BS48" s="615"/>
      <c r="BT48" s="620"/>
      <c r="BU48" s="619"/>
      <c r="BZ48" s="620"/>
      <c r="CA48" s="651">
        <v>0.44444444444444442</v>
      </c>
      <c r="CB48" s="615"/>
      <c r="CC48" s="615"/>
      <c r="CD48" s="615"/>
      <c r="CE48" s="615"/>
      <c r="CF48" s="620"/>
      <c r="CG48" s="619"/>
    </row>
    <row r="49" spans="1:99" x14ac:dyDescent="0.15">
      <c r="D49" s="62"/>
      <c r="E49" s="62"/>
      <c r="F49" s="62"/>
      <c r="G49" s="62"/>
      <c r="H49" s="62"/>
      <c r="I49" s="62"/>
      <c r="J49" s="62"/>
      <c r="K49" s="62"/>
      <c r="L49" s="62"/>
      <c r="M49" s="62"/>
      <c r="N49" s="62"/>
      <c r="O49" s="62"/>
      <c r="P49" s="62"/>
      <c r="Q49" s="62"/>
      <c r="R49" s="62"/>
      <c r="S49" s="62"/>
      <c r="T49" s="62"/>
      <c r="U49" s="62"/>
      <c r="V49" s="62"/>
      <c r="W49" s="62"/>
      <c r="X49" s="62"/>
      <c r="AE49" s="31"/>
      <c r="AF49" s="31"/>
      <c r="AG49" s="64"/>
      <c r="AH49" s="61"/>
      <c r="AI49" s="65"/>
      <c r="AJ49" s="31"/>
      <c r="AK49" s="31"/>
      <c r="AL49" s="31"/>
      <c r="AM49" s="31"/>
      <c r="AN49" s="64"/>
      <c r="AO49" s="61"/>
      <c r="AP49" s="65"/>
      <c r="AQ49" s="31"/>
      <c r="AR49" s="31"/>
      <c r="AS49" s="31"/>
      <c r="AT49" s="31"/>
      <c r="AU49" s="64"/>
      <c r="AV49" s="61"/>
      <c r="AW49" s="65"/>
      <c r="AX49" s="31"/>
      <c r="AY49" s="31"/>
      <c r="BB49" s="76"/>
      <c r="BN49" s="620"/>
      <c r="BO49" s="624"/>
      <c r="BP49" s="624"/>
      <c r="BQ49" s="615"/>
      <c r="BR49" s="615"/>
      <c r="BS49" s="621"/>
      <c r="BT49" s="621"/>
      <c r="BU49" s="619"/>
      <c r="BZ49" s="620"/>
      <c r="CA49" s="624"/>
      <c r="CB49" s="624"/>
      <c r="CC49" s="615" t="str">
        <f>IF(CA49="","","PK")</f>
        <v/>
      </c>
      <c r="CD49" s="615"/>
      <c r="CE49" s="621"/>
      <c r="CF49" s="621"/>
      <c r="CG49" s="619"/>
    </row>
    <row r="50" spans="1:99" x14ac:dyDescent="0.15">
      <c r="D50" s="62"/>
      <c r="E50" s="62"/>
      <c r="F50" s="62"/>
      <c r="G50" s="62"/>
      <c r="H50" s="62"/>
      <c r="I50" s="62"/>
      <c r="J50" s="62"/>
      <c r="K50" s="62"/>
      <c r="L50" s="62"/>
      <c r="M50" s="62"/>
      <c r="N50" s="62"/>
      <c r="O50" s="62"/>
      <c r="P50" s="62"/>
      <c r="Q50" s="62"/>
      <c r="R50" s="62"/>
      <c r="S50" s="62"/>
      <c r="T50" s="62"/>
      <c r="U50" s="62"/>
      <c r="V50" s="62"/>
      <c r="W50" s="62"/>
      <c r="X50" s="62"/>
      <c r="AE50" s="31"/>
      <c r="AF50" s="31"/>
      <c r="AG50" s="64"/>
      <c r="AH50" s="61"/>
      <c r="AI50" s="65"/>
      <c r="AJ50" s="31"/>
      <c r="AK50" s="31"/>
      <c r="AL50" s="31"/>
      <c r="AM50" s="31"/>
      <c r="AN50" s="64"/>
      <c r="AO50" s="61"/>
      <c r="AP50" s="65"/>
      <c r="AQ50" s="31"/>
      <c r="AR50" s="31"/>
      <c r="AS50" s="31"/>
      <c r="AT50" s="31"/>
      <c r="AU50" s="64"/>
      <c r="AV50" s="61"/>
      <c r="AW50" s="65"/>
      <c r="AX50" s="31"/>
      <c r="AY50" s="31"/>
      <c r="BB50" s="76"/>
      <c r="BN50" s="620"/>
      <c r="BQ50" s="615"/>
      <c r="BR50" s="615"/>
      <c r="BU50" s="619"/>
      <c r="BZ50" s="620"/>
      <c r="CC50" s="615"/>
      <c r="CD50" s="615"/>
      <c r="CG50" s="619"/>
    </row>
    <row r="51" spans="1:99" s="68" customFormat="1" ht="183.75" customHeight="1" x14ac:dyDescent="0.15">
      <c r="A51" s="67" t="str">
        <f>IF(BV47=BZ47,"",IF(BP49=BB63,BH63,BB63))</f>
        <v/>
      </c>
      <c r="AE51" s="67"/>
      <c r="AF51" s="67"/>
      <c r="AG51" s="69"/>
      <c r="AH51" s="70"/>
      <c r="AI51" s="71"/>
      <c r="AJ51" s="67"/>
      <c r="AK51" s="67"/>
      <c r="AL51" s="67"/>
      <c r="AM51" s="67"/>
      <c r="AN51" s="69"/>
      <c r="AO51" s="70"/>
      <c r="AP51" s="71"/>
      <c r="AQ51" s="67"/>
      <c r="AR51" s="67"/>
      <c r="AS51" s="67"/>
      <c r="AT51" s="67"/>
      <c r="AU51" s="69"/>
      <c r="AV51" s="70"/>
      <c r="AW51" s="71"/>
      <c r="AX51" s="67"/>
      <c r="AY51" s="67"/>
      <c r="BB51" s="93"/>
      <c r="BN51" s="617" t="str">
        <f>IF(ISERROR(MATCH(1,$AB$10:$AB$21,0)),"A1位（　　　)",INDEX($C$10:$C$21,MATCH(1,$AB$10:$AB$21,0),1))</f>
        <v>A1位（　　　)</v>
      </c>
      <c r="BO51" s="617"/>
      <c r="BP51" s="94"/>
      <c r="BQ51" s="94"/>
      <c r="BR51" s="94"/>
      <c r="BS51" s="94"/>
      <c r="BT51" s="617" t="str">
        <f>IF(ISERROR(MATCH(2,#REF!,0)),"B2位（　　　)",INDEX($AF$10:$AF$21,MATCH(2,#REF!,0),1))</f>
        <v>B2位（　　　)</v>
      </c>
      <c r="BU51" s="617"/>
      <c r="BV51" s="94"/>
      <c r="BW51" s="94"/>
      <c r="BX51" s="94"/>
      <c r="BY51" s="94"/>
      <c r="BZ51" s="617" t="str">
        <f>IF(ISERROR(MATCH(2,$AB$10:$AB$21,0)),"A2位（　　　)",INDEX($C$10:$C$21,MATCH(2,$AB$10:$AB$21,0),1))</f>
        <v>A2位（　　　)</v>
      </c>
      <c r="CA51" s="617"/>
      <c r="CB51" s="94"/>
      <c r="CC51" s="94"/>
      <c r="CD51" s="94"/>
      <c r="CE51" s="94"/>
      <c r="CF51" s="617" t="str">
        <f>IF(ISERROR(MATCH(1,#REF!,0)),"B1位（　　　)",INDEX($AF$10:$AF$21,MATCH(1,#REF!,0),1))</f>
        <v>B1位（　　　)</v>
      </c>
      <c r="CG51" s="617"/>
      <c r="CH51" s="94"/>
      <c r="CI51" s="94"/>
      <c r="CJ51" s="94"/>
      <c r="CK51" s="617" t="str">
        <f>IF(BO43=BS43,"",IF(BS43&gt;BO43,BN51,BT51))</f>
        <v/>
      </c>
      <c r="CL51" s="617"/>
      <c r="CM51" s="94"/>
      <c r="CN51" s="94"/>
      <c r="CO51" s="94"/>
      <c r="CP51" s="94"/>
      <c r="CQ51" s="617" t="str">
        <f>IF(CA43=CE43,"",IF(CE43&gt;CA43,BZ51,CF51))</f>
        <v/>
      </c>
      <c r="CR51" s="617"/>
      <c r="CS51" s="93"/>
      <c r="CT51" s="93"/>
      <c r="CU51" s="93"/>
    </row>
    <row r="52" spans="1:99" x14ac:dyDescent="0.15">
      <c r="A52" s="31" t="str">
        <f>IF(BV47=BZ47,"",IF(CF49=BT63,BN63,BB63))</f>
        <v/>
      </c>
      <c r="D52" s="62"/>
      <c r="E52" s="62"/>
      <c r="F52" s="62"/>
      <c r="G52" s="62"/>
      <c r="H52" s="62"/>
      <c r="I52" s="62"/>
      <c r="J52" s="62"/>
      <c r="K52" s="62"/>
      <c r="L52" s="62"/>
      <c r="M52" s="62"/>
      <c r="N52" s="62"/>
      <c r="O52" s="62"/>
      <c r="P52" s="62"/>
      <c r="Q52" s="62"/>
      <c r="R52" s="62"/>
      <c r="S52" s="62"/>
      <c r="T52" s="62"/>
      <c r="U52" s="62"/>
      <c r="V52" s="62"/>
      <c r="W52" s="62"/>
      <c r="X52" s="62"/>
      <c r="AE52" s="31"/>
      <c r="AF52" s="31"/>
      <c r="AG52" s="64"/>
      <c r="AH52" s="61"/>
      <c r="AI52" s="65"/>
      <c r="AJ52" s="31"/>
      <c r="AK52" s="31"/>
      <c r="AL52" s="31"/>
      <c r="AM52" s="31"/>
      <c r="AN52" s="64"/>
      <c r="AO52" s="61"/>
      <c r="AP52" s="65"/>
      <c r="AQ52" s="31"/>
      <c r="AR52" s="31"/>
      <c r="AS52" s="31"/>
      <c r="AT52" s="31"/>
      <c r="AU52" s="64"/>
      <c r="AV52" s="61"/>
      <c r="AW52" s="65"/>
      <c r="AX52" s="31"/>
      <c r="AY52" s="31"/>
    </row>
    <row r="55" spans="1:99" x14ac:dyDescent="0.15">
      <c r="A55" s="88"/>
    </row>
  </sheetData>
  <mergeCells count="149">
    <mergeCell ref="I6:X6"/>
    <mergeCell ref="D9:J9"/>
    <mergeCell ref="K9:Q9"/>
    <mergeCell ref="R9:X9"/>
    <mergeCell ref="AG9:AM9"/>
    <mergeCell ref="AN9:AT9"/>
    <mergeCell ref="F3:H3"/>
    <mergeCell ref="I3:X3"/>
    <mergeCell ref="F4:H4"/>
    <mergeCell ref="I4:X4"/>
    <mergeCell ref="F5:H5"/>
    <mergeCell ref="I5:X5"/>
    <mergeCell ref="AU9:BA9"/>
    <mergeCell ref="C10:C13"/>
    <mergeCell ref="D10:J13"/>
    <mergeCell ref="K10:Q13"/>
    <mergeCell ref="R10:X13"/>
    <mergeCell ref="Y10:Y13"/>
    <mergeCell ref="Z10:Z13"/>
    <mergeCell ref="AA10:AA13"/>
    <mergeCell ref="AB10:AB13"/>
    <mergeCell ref="BC10:BC13"/>
    <mergeCell ref="BD10:BD13"/>
    <mergeCell ref="BE10:BE13"/>
    <mergeCell ref="C14:C17"/>
    <mergeCell ref="D14:J17"/>
    <mergeCell ref="K14:Q17"/>
    <mergeCell ref="R14:X17"/>
    <mergeCell ref="Y14:Y17"/>
    <mergeCell ref="Z14:Z17"/>
    <mergeCell ref="AA14:AA17"/>
    <mergeCell ref="AF10:AF13"/>
    <mergeCell ref="AG10:AM13"/>
    <mergeCell ref="AN10:AT13"/>
    <mergeCell ref="AU10:BA13"/>
    <mergeCell ref="BB10:BB13"/>
    <mergeCell ref="BB14:BB17"/>
    <mergeCell ref="BC14:BC17"/>
    <mergeCell ref="BD14:BD17"/>
    <mergeCell ref="BE14:BE17"/>
    <mergeCell ref="AN14:AT17"/>
    <mergeCell ref="AU14:BA17"/>
    <mergeCell ref="C18:C21"/>
    <mergeCell ref="D18:J21"/>
    <mergeCell ref="K18:Q21"/>
    <mergeCell ref="R18:X21"/>
    <mergeCell ref="Y18:Y21"/>
    <mergeCell ref="Z18:Z21"/>
    <mergeCell ref="AB14:AB17"/>
    <mergeCell ref="AF14:AF17"/>
    <mergeCell ref="AG14:AM17"/>
    <mergeCell ref="BB18:BB21"/>
    <mergeCell ref="BC18:BC21"/>
    <mergeCell ref="BD18:BD21"/>
    <mergeCell ref="BE18:BE21"/>
    <mergeCell ref="AA18:AA21"/>
    <mergeCell ref="AB18:AB21"/>
    <mergeCell ref="AF18:AF21"/>
    <mergeCell ref="AG18:AM21"/>
    <mergeCell ref="AN18:AT21"/>
    <mergeCell ref="AU18:BA21"/>
    <mergeCell ref="AZ25:BA25"/>
    <mergeCell ref="BC25:BE25"/>
    <mergeCell ref="BN25:CH27"/>
    <mergeCell ref="BQ31:BS31"/>
    <mergeCell ref="AE25:AG25"/>
    <mergeCell ref="AI25:AK25"/>
    <mergeCell ref="AL25:AN25"/>
    <mergeCell ref="AP25:AR25"/>
    <mergeCell ref="AS25:AU25"/>
    <mergeCell ref="AW25:AY25"/>
    <mergeCell ref="BW33:BW36"/>
    <mergeCell ref="BU34:BV34"/>
    <mergeCell ref="BY34:BZ34"/>
    <mergeCell ref="CJ34:CK34"/>
    <mergeCell ref="BU35:BV35"/>
    <mergeCell ref="BY35:BZ35"/>
    <mergeCell ref="CJ35:CK35"/>
    <mergeCell ref="BR36:BV36"/>
    <mergeCell ref="BX36:CC36"/>
    <mergeCell ref="CG36:CT40"/>
    <mergeCell ref="CE37:CF40"/>
    <mergeCell ref="BU38:BV38"/>
    <mergeCell ref="BW38:BX38"/>
    <mergeCell ref="BY38:BZ38"/>
    <mergeCell ref="BU39:BV39"/>
    <mergeCell ref="BW39:BX39"/>
    <mergeCell ref="BY39:BZ39"/>
    <mergeCell ref="BR40:CC40"/>
    <mergeCell ref="BO44:BP44"/>
    <mergeCell ref="BR44:BT44"/>
    <mergeCell ref="CE44:CF44"/>
    <mergeCell ref="BO37:BP40"/>
    <mergeCell ref="BQ37:BQ44"/>
    <mergeCell ref="BU37:BV37"/>
    <mergeCell ref="BW37:BX37"/>
    <mergeCell ref="BY37:BZ37"/>
    <mergeCell ref="CD37:CD44"/>
    <mergeCell ref="BU41:BV41"/>
    <mergeCell ref="BW41:BX41"/>
    <mergeCell ref="BY41:BZ41"/>
    <mergeCell ref="CA44:CC44"/>
    <mergeCell ref="BO43:BP43"/>
    <mergeCell ref="BS43:BT43"/>
    <mergeCell ref="CA43:CB43"/>
    <mergeCell ref="CE43:CF43"/>
    <mergeCell ref="BO42:BP42"/>
    <mergeCell ref="BS42:BT42"/>
    <mergeCell ref="BW42:BX42"/>
    <mergeCell ref="CA42:CB42"/>
    <mergeCell ref="CE42:CF42"/>
    <mergeCell ref="CA47:CB47"/>
    <mergeCell ref="CC47:CD47"/>
    <mergeCell ref="CE47:CF47"/>
    <mergeCell ref="BU45:BU50"/>
    <mergeCell ref="BZ45:BZ50"/>
    <mergeCell ref="CA45:CB45"/>
    <mergeCell ref="BO46:BP46"/>
    <mergeCell ref="BQ46:BR46"/>
    <mergeCell ref="BS46:BT46"/>
    <mergeCell ref="CA46:CB46"/>
    <mergeCell ref="CC46:CD46"/>
    <mergeCell ref="CE46:CF46"/>
    <mergeCell ref="CC45:CD45"/>
    <mergeCell ref="CE45:CF45"/>
    <mergeCell ref="BN51:BO51"/>
    <mergeCell ref="BT51:BU51"/>
    <mergeCell ref="BZ51:CA51"/>
    <mergeCell ref="CF51:CG51"/>
    <mergeCell ref="CK51:CL51"/>
    <mergeCell ref="CQ51:CR51"/>
    <mergeCell ref="BN45:BN50"/>
    <mergeCell ref="BO45:BP45"/>
    <mergeCell ref="BQ45:BR45"/>
    <mergeCell ref="BS45:BT45"/>
    <mergeCell ref="BO48:BT48"/>
    <mergeCell ref="CA48:CF48"/>
    <mergeCell ref="BO49:BP49"/>
    <mergeCell ref="BQ49:BR49"/>
    <mergeCell ref="BS49:BT49"/>
    <mergeCell ref="CA49:CB49"/>
    <mergeCell ref="CC49:CD49"/>
    <mergeCell ref="CE49:CF49"/>
    <mergeCell ref="CG45:CG50"/>
    <mergeCell ref="BQ50:BR50"/>
    <mergeCell ref="CC50:CD50"/>
    <mergeCell ref="BO47:BP47"/>
    <mergeCell ref="BQ47:BR47"/>
    <mergeCell ref="BS47:BT47"/>
  </mergeCells>
  <phoneticPr fontId="2"/>
  <conditionalFormatting sqref="BN45:BN50">
    <cfRule type="expression" dxfId="841" priority="22" stopIfTrue="1">
      <formula>$BO$43&lt;=$BS$43</formula>
    </cfRule>
  </conditionalFormatting>
  <conditionalFormatting sqref="BO44:BP44">
    <cfRule type="expression" dxfId="840" priority="20" stopIfTrue="1">
      <formula>$BO$43&lt;=$BS$43</formula>
    </cfRule>
  </conditionalFormatting>
  <conditionalFormatting sqref="BQ37:BQ44">
    <cfRule type="expression" dxfId="839" priority="16" stopIfTrue="1">
      <formula>$BO$43=$BS$43</formula>
    </cfRule>
    <cfRule type="expression" dxfId="838" priority="17" stopIfTrue="1">
      <formula>$BO$43&lt;$BS$43</formula>
    </cfRule>
  </conditionalFormatting>
  <conditionalFormatting sqref="BR44:BT44">
    <cfRule type="expression" dxfId="837" priority="19" stopIfTrue="1">
      <formula>$BS$43&lt;=$BO$43</formula>
    </cfRule>
  </conditionalFormatting>
  <conditionalFormatting sqref="BR36:BV36">
    <cfRule type="expression" dxfId="836" priority="10" stopIfTrue="1">
      <formula>$BU$35&lt;=$BY$35</formula>
    </cfRule>
  </conditionalFormatting>
  <conditionalFormatting sqref="BU45:BU50">
    <cfRule type="expression" dxfId="835" priority="18" stopIfTrue="1">
      <formula>$BS$43&lt;=$BO$43</formula>
    </cfRule>
  </conditionalFormatting>
  <conditionalFormatting sqref="BW33:BW36">
    <cfRule type="expression" dxfId="834" priority="7" stopIfTrue="1">
      <formula>$BU$35=$BY$35</formula>
    </cfRule>
    <cfRule type="expression" dxfId="833" priority="8" stopIfTrue="1">
      <formula>$BU$35&lt;$BY$35</formula>
    </cfRule>
  </conditionalFormatting>
  <conditionalFormatting sqref="BX36:CC36">
    <cfRule type="expression" dxfId="832" priority="9" stopIfTrue="1">
      <formula>$BY$35&lt;=$BU$35</formula>
    </cfRule>
  </conditionalFormatting>
  <conditionalFormatting sqref="BZ45:BZ50">
    <cfRule type="expression" dxfId="831" priority="21" stopIfTrue="1">
      <formula>$CA$43&lt;=$CE$43</formula>
    </cfRule>
  </conditionalFormatting>
  <conditionalFormatting sqref="CA44:CC44">
    <cfRule type="expression" dxfId="830" priority="15" stopIfTrue="1">
      <formula>$CA$43&lt;=$CE$43</formula>
    </cfRule>
  </conditionalFormatting>
  <conditionalFormatting sqref="CD37:CD44">
    <cfRule type="expression" dxfId="829" priority="11" stopIfTrue="1">
      <formula>$CE$43=$CA$43</formula>
    </cfRule>
    <cfRule type="expression" dxfId="828" priority="12" stopIfTrue="1">
      <formula>$CE$43&lt;$CA$43</formula>
    </cfRule>
  </conditionalFormatting>
  <conditionalFormatting sqref="CE44:CF44">
    <cfRule type="expression" dxfId="827" priority="14" stopIfTrue="1">
      <formula>$CE$43&lt;=$CA$43</formula>
    </cfRule>
  </conditionalFormatting>
  <conditionalFormatting sqref="CG45:CG50">
    <cfRule type="expression" dxfId="826" priority="13" stopIfTrue="1">
      <formula>$CE$43&lt;=$CA$43</formula>
    </cfRule>
  </conditionalFormatting>
  <printOptions horizontalCentered="1"/>
  <pageMargins left="0.39370078740157483" right="0.39370078740157483" top="0.39370078740157483" bottom="0.74803149606299213" header="0.31496062992125984" footer="0.31496062992125984"/>
  <pageSetup paperSize="9" scale="78"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pageSetUpPr fitToPage="1"/>
  </sheetPr>
  <dimension ref="A1:EU100"/>
  <sheetViews>
    <sheetView showGridLines="0" topLeftCell="B13" zoomScaleNormal="100" zoomScaleSheetLayoutView="98" workbookViewId="0">
      <selection activeCell="BR20" sqref="BR20"/>
    </sheetView>
  </sheetViews>
  <sheetFormatPr defaultColWidth="9" defaultRowHeight="14.25" x14ac:dyDescent="0.15"/>
  <cols>
    <col min="1" max="1" width="7" style="76" customWidth="1"/>
    <col min="2" max="149" width="1" style="76" customWidth="1"/>
    <col min="150" max="150" width="3.375" style="87" bestFit="1" customWidth="1"/>
    <col min="151" max="16384" width="9" style="76"/>
  </cols>
  <sheetData>
    <row r="1" spans="1:151" ht="25.5" thickBot="1" x14ac:dyDescent="0.2">
      <c r="B1" s="63" t="str">
        <f ca="1">"令和"&amp;IF(YEAR(NOW())=2019,"元",YEAR(NOW())-2018)&amp;"年度 第"&amp;YEAR(NOW())-1999&amp;"回 加賀地区中学校サッカー大会 《 北加賀ブロック 》"</f>
        <v>令和6年度 第25回 加賀地区中学校サッカー大会 《 北加賀ブロック 》</v>
      </c>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99"/>
      <c r="EU1" s="252"/>
    </row>
    <row r="2" spans="1:151" x14ac:dyDescent="0.15">
      <c r="BC2" s="101"/>
      <c r="BJ2" s="102"/>
      <c r="BK2" s="102"/>
      <c r="BL2" s="102"/>
      <c r="CE2" s="103"/>
      <c r="CK2" s="103"/>
      <c r="CL2" s="103"/>
      <c r="CM2" s="103"/>
      <c r="CN2" s="103"/>
    </row>
    <row r="3" spans="1:151" ht="18.75" customHeight="1" x14ac:dyDescent="0.15">
      <c r="A3" s="104" t="str">
        <f>IF(BV14=CB14,"",IF(BV14&gt;CB14,AI16,DL16))</f>
        <v/>
      </c>
      <c r="D3" s="721" t="s">
        <v>108</v>
      </c>
      <c r="E3" s="722"/>
      <c r="F3" s="722"/>
      <c r="G3" s="722"/>
      <c r="H3" s="722"/>
      <c r="I3" s="722"/>
      <c r="J3" s="722"/>
      <c r="K3" s="93"/>
      <c r="L3" s="723" t="str">
        <f>IF(A3="","",IF(VLOOKUP(A3,予選学校名!$C$3:$F$32,3,FALSE)="",IF(VLOOKUP(A3,予選学校名!$C$3:$F$32,4,FALSE)="","",VLOOKUP(A3,予選学校名!$C$3:$F$32,4,FALSE)),VLOOKUP(A3,予選学校名!$C$3:$F$32,3,FALSE)&amp;"立")&amp;A3&amp;"中学校")</f>
        <v/>
      </c>
      <c r="M3" s="723"/>
      <c r="N3" s="723"/>
      <c r="O3" s="723"/>
      <c r="P3" s="723"/>
      <c r="Q3" s="723"/>
      <c r="R3" s="723"/>
      <c r="S3" s="723"/>
      <c r="T3" s="723"/>
      <c r="U3" s="723"/>
      <c r="V3" s="723"/>
      <c r="W3" s="723"/>
      <c r="X3" s="723"/>
      <c r="Y3" s="723"/>
      <c r="Z3" s="723"/>
      <c r="AA3" s="723"/>
      <c r="AB3" s="723"/>
      <c r="AC3" s="723"/>
      <c r="AD3" s="723"/>
      <c r="AE3" s="723"/>
      <c r="AF3" s="723"/>
      <c r="AG3" s="723"/>
      <c r="AH3" s="723"/>
      <c r="AI3" s="723"/>
      <c r="AJ3" s="723"/>
      <c r="AK3" s="723"/>
      <c r="AL3" s="723"/>
      <c r="AM3" s="723"/>
      <c r="AN3" s="724" t="str">
        <f>IF(A3="","","("&amp;VLOOKUP(A3,予選学校名!$C$3:$F$32,2,FALSE)&amp;")")</f>
        <v/>
      </c>
      <c r="AO3" s="724"/>
      <c r="AP3" s="724"/>
      <c r="AQ3" s="724"/>
      <c r="AR3" s="724"/>
      <c r="AS3" s="724"/>
      <c r="AT3" s="724"/>
      <c r="AU3" s="724"/>
      <c r="AV3" s="724"/>
      <c r="AW3" s="724"/>
      <c r="AX3" s="724"/>
      <c r="AY3" s="724"/>
      <c r="AZ3" s="724"/>
      <c r="BA3" s="71"/>
      <c r="BB3" s="71"/>
      <c r="BC3" s="721" t="s">
        <v>109</v>
      </c>
      <c r="BD3" s="722"/>
      <c r="BE3" s="722"/>
      <c r="BF3" s="722"/>
      <c r="BG3" s="722"/>
      <c r="BH3" s="722"/>
      <c r="BI3" s="722"/>
      <c r="BJ3" s="722"/>
      <c r="BK3" s="722"/>
      <c r="BL3" s="93"/>
      <c r="BM3" s="723" t="str">
        <f>IF(A7="","",IF(VLOOKUP(A7,予選学校名!$C$3:$F$32,3,FALSE)="",IF(VLOOKUP(A7,予選学校名!$C$3:$F$32,4,FALSE)="","",VLOOKUP(A7,予選学校名!$C$3:$F$32,4,FALSE)),VLOOKUP(A7,予選学校名!$C$3:$F$32,3,FALSE)&amp;"立")&amp;A7&amp;"中学校")</f>
        <v/>
      </c>
      <c r="BN3" s="723"/>
      <c r="BO3" s="723"/>
      <c r="BP3" s="723"/>
      <c r="BQ3" s="723"/>
      <c r="BR3" s="723"/>
      <c r="BS3" s="723"/>
      <c r="BT3" s="723"/>
      <c r="BU3" s="723"/>
      <c r="BV3" s="723"/>
      <c r="BW3" s="723"/>
      <c r="BX3" s="723"/>
      <c r="BY3" s="723"/>
      <c r="BZ3" s="723"/>
      <c r="CA3" s="723"/>
      <c r="CB3" s="723"/>
      <c r="CC3" s="723"/>
      <c r="CD3" s="723"/>
      <c r="CE3" s="723"/>
      <c r="CF3" s="723"/>
      <c r="CG3" s="723"/>
      <c r="CH3" s="723"/>
      <c r="CI3" s="723"/>
      <c r="CJ3" s="723"/>
      <c r="CK3" s="723"/>
      <c r="CL3" s="723"/>
      <c r="CM3" s="723"/>
      <c r="CN3" s="723"/>
      <c r="CO3" s="724" t="str">
        <f>IF(A7="","","("&amp;VLOOKUP(A7,予選学校名!$C$3:$F$32,2,FALSE)&amp;")")</f>
        <v/>
      </c>
      <c r="CP3" s="724"/>
      <c r="CQ3" s="724"/>
      <c r="CR3" s="724"/>
      <c r="CS3" s="724"/>
      <c r="CT3" s="724"/>
      <c r="CU3" s="724"/>
      <c r="CV3" s="724"/>
      <c r="CW3" s="724"/>
      <c r="CX3" s="724"/>
      <c r="CY3" s="724"/>
      <c r="CZ3" s="724"/>
      <c r="DA3" s="724"/>
      <c r="DB3" s="105"/>
      <c r="DC3" s="105"/>
      <c r="DD3" s="106"/>
      <c r="DE3" s="62"/>
      <c r="DF3" s="62"/>
      <c r="EL3" s="87"/>
      <c r="ET3" s="76"/>
    </row>
    <row r="4" spans="1:151" ht="18.75" customHeight="1" x14ac:dyDescent="0.15">
      <c r="A4" s="104" t="str">
        <f>IF(BV14=CB14,"",IF(BV14&lt;CB14,AI16,DL16))</f>
        <v/>
      </c>
      <c r="D4" s="721" t="s">
        <v>110</v>
      </c>
      <c r="E4" s="722"/>
      <c r="F4" s="722"/>
      <c r="G4" s="722"/>
      <c r="H4" s="722"/>
      <c r="I4" s="722"/>
      <c r="J4" s="722"/>
      <c r="K4" s="93"/>
      <c r="L4" s="719" t="str">
        <f>IF(A4="","",IF(VLOOKUP(A4,予選学校名!$C$3:$F$32,3,FALSE)="",IF(VLOOKUP(A4,予選学校名!$C$3:$F$32,4,FALSE)="","",VLOOKUP(A4,予選学校名!$C$3:$F$32,4,FALSE)),VLOOKUP(A4,予選学校名!$C$3:$F$32,3,FALSE)&amp;"立")&amp;A4&amp;"中学校")</f>
        <v/>
      </c>
      <c r="M4" s="719"/>
      <c r="N4" s="719"/>
      <c r="O4" s="719"/>
      <c r="P4" s="719"/>
      <c r="Q4" s="719"/>
      <c r="R4" s="719"/>
      <c r="S4" s="719"/>
      <c r="T4" s="719"/>
      <c r="U4" s="719"/>
      <c r="V4" s="719"/>
      <c r="W4" s="719"/>
      <c r="X4" s="719"/>
      <c r="Y4" s="719"/>
      <c r="Z4" s="719"/>
      <c r="AA4" s="719"/>
      <c r="AB4" s="719"/>
      <c r="AC4" s="719"/>
      <c r="AD4" s="719"/>
      <c r="AE4" s="719"/>
      <c r="AF4" s="719"/>
      <c r="AG4" s="719"/>
      <c r="AH4" s="719"/>
      <c r="AI4" s="719"/>
      <c r="AJ4" s="719"/>
      <c r="AK4" s="719"/>
      <c r="AL4" s="719"/>
      <c r="AM4" s="719"/>
      <c r="AN4" s="720" t="str">
        <f>IF(A4="","","("&amp;VLOOKUP(A4,予選学校名!$C$3:$F$32,2,FALSE)&amp;")")</f>
        <v/>
      </c>
      <c r="AO4" s="720"/>
      <c r="AP4" s="720"/>
      <c r="AQ4" s="720"/>
      <c r="AR4" s="720"/>
      <c r="AS4" s="720"/>
      <c r="AT4" s="720"/>
      <c r="AU4" s="720"/>
      <c r="AV4" s="720"/>
      <c r="AW4" s="720"/>
      <c r="AX4" s="720"/>
      <c r="AY4" s="720"/>
      <c r="AZ4" s="720"/>
      <c r="BA4" s="71"/>
      <c r="BB4" s="71"/>
      <c r="BC4" s="71"/>
      <c r="BD4" s="71"/>
      <c r="BE4" s="71"/>
      <c r="BF4" s="93"/>
      <c r="BG4" s="93"/>
      <c r="BH4" s="93"/>
      <c r="BI4" s="93"/>
      <c r="BJ4" s="93"/>
      <c r="BK4" s="93"/>
      <c r="BL4" s="93"/>
      <c r="BM4" s="719" t="str">
        <f>IF(A8="","",IF(VLOOKUP(A8,予選学校名!$C$3:$F$32,3,FALSE)="",IF(VLOOKUP(A8,予選学校名!$C$3:$F$32,4,FALSE)="","",VLOOKUP(A8,予選学校名!$C$3:$F$32,4,FALSE)),VLOOKUP(A8,予選学校名!$C$3:$F$32,3,FALSE)&amp;"立")&amp;A8&amp;"中学校")</f>
        <v/>
      </c>
      <c r="BN4" s="719"/>
      <c r="BO4" s="719"/>
      <c r="BP4" s="719"/>
      <c r="BQ4" s="719"/>
      <c r="BR4" s="719"/>
      <c r="BS4" s="719"/>
      <c r="BT4" s="719"/>
      <c r="BU4" s="719"/>
      <c r="BV4" s="719"/>
      <c r="BW4" s="719"/>
      <c r="BX4" s="719"/>
      <c r="BY4" s="719"/>
      <c r="BZ4" s="719"/>
      <c r="CA4" s="719"/>
      <c r="CB4" s="719"/>
      <c r="CC4" s="719"/>
      <c r="CD4" s="719"/>
      <c r="CE4" s="719"/>
      <c r="CF4" s="719"/>
      <c r="CG4" s="719"/>
      <c r="CH4" s="719"/>
      <c r="CI4" s="719"/>
      <c r="CJ4" s="719"/>
      <c r="CK4" s="719"/>
      <c r="CL4" s="719"/>
      <c r="CM4" s="719"/>
      <c r="CN4" s="719"/>
      <c r="CO4" s="720" t="str">
        <f>IF(A8="","","("&amp;VLOOKUP(A8,予選学校名!$C$3:$F$32,2,FALSE)&amp;")")</f>
        <v/>
      </c>
      <c r="CP4" s="720"/>
      <c r="CQ4" s="720"/>
      <c r="CR4" s="720"/>
      <c r="CS4" s="720"/>
      <c r="CT4" s="720"/>
      <c r="CU4" s="720"/>
      <c r="CV4" s="720"/>
      <c r="CW4" s="720"/>
      <c r="CX4" s="720"/>
      <c r="CY4" s="720"/>
      <c r="CZ4" s="720"/>
      <c r="DA4" s="720"/>
      <c r="DB4" s="105"/>
      <c r="DC4" s="105"/>
      <c r="DD4" s="106"/>
      <c r="DE4" s="62"/>
      <c r="DF4" s="62"/>
      <c r="EL4" s="87"/>
      <c r="ET4" s="76"/>
    </row>
    <row r="5" spans="1:151" ht="18.75" customHeight="1" x14ac:dyDescent="0.15">
      <c r="A5" s="104" t="str">
        <f>IF(DX11&lt;&gt;"",DX11,IF(OR($A$3=N28,$A$3=BJ28),$DS$23,$EG$23))</f>
        <v/>
      </c>
      <c r="D5" s="721" t="s">
        <v>111</v>
      </c>
      <c r="E5" s="722"/>
      <c r="F5" s="722"/>
      <c r="G5" s="722"/>
      <c r="H5" s="722"/>
      <c r="I5" s="722"/>
      <c r="J5" s="722"/>
      <c r="K5" s="93"/>
      <c r="L5" s="719" t="str">
        <f>IF(A5="","",IF(VLOOKUP(A5,予選学校名!$C$3:$F$32,3,FALSE)="",IF(VLOOKUP(A5,予選学校名!$C$3:$F$32,4,FALSE)="","",VLOOKUP(A5,予選学校名!$C$3:$F$32,4,FALSE)),VLOOKUP(A5,予選学校名!$C$3:$F$32,3,FALSE)&amp;"立")&amp;A5&amp;"中学校")</f>
        <v/>
      </c>
      <c r="M5" s="719"/>
      <c r="N5" s="719"/>
      <c r="O5" s="719"/>
      <c r="P5" s="719"/>
      <c r="Q5" s="719"/>
      <c r="R5" s="719"/>
      <c r="S5" s="719"/>
      <c r="T5" s="719"/>
      <c r="U5" s="719"/>
      <c r="V5" s="719"/>
      <c r="W5" s="719"/>
      <c r="X5" s="719"/>
      <c r="Y5" s="719"/>
      <c r="Z5" s="719"/>
      <c r="AA5" s="719"/>
      <c r="AB5" s="719"/>
      <c r="AC5" s="719"/>
      <c r="AD5" s="719"/>
      <c r="AE5" s="719"/>
      <c r="AF5" s="719"/>
      <c r="AG5" s="719"/>
      <c r="AH5" s="719"/>
      <c r="AI5" s="719"/>
      <c r="AJ5" s="719"/>
      <c r="AK5" s="719"/>
      <c r="AL5" s="719"/>
      <c r="AM5" s="719"/>
      <c r="AN5" s="720" t="str">
        <f>IF(A5="","","("&amp;VLOOKUP(A5,予選学校名!$C$3:$F$32,2,FALSE)&amp;")")</f>
        <v/>
      </c>
      <c r="AO5" s="720"/>
      <c r="AP5" s="720"/>
      <c r="AQ5" s="720"/>
      <c r="AR5" s="720"/>
      <c r="AS5" s="720"/>
      <c r="AT5" s="720"/>
      <c r="AU5" s="720"/>
      <c r="AV5" s="720"/>
      <c r="AW5" s="720"/>
      <c r="AX5" s="720"/>
      <c r="AY5" s="720"/>
      <c r="AZ5" s="720"/>
      <c r="BA5" s="71"/>
      <c r="BB5" s="71"/>
      <c r="BC5" s="71"/>
      <c r="BD5" s="71"/>
      <c r="BE5" s="71"/>
      <c r="BF5" s="93"/>
      <c r="BG5" s="93"/>
      <c r="BH5" s="93"/>
      <c r="BI5" s="93"/>
      <c r="BJ5" s="93"/>
      <c r="BK5" s="93"/>
      <c r="BL5" s="93"/>
      <c r="BM5" s="719" t="str">
        <f>IF(A9="","",IF(VLOOKUP(A9,予選学校名!$C$3:$F$32,3,FALSE)="",IF(VLOOKUP(A9,予選学校名!$C$3:$F$32,4,FALSE)="","",VLOOKUP(A9,予選学校名!$C$3:$F$32,4,FALSE)),VLOOKUP(A9,予選学校名!$C$3:$F$32,3,FALSE)&amp;"立")&amp;A9&amp;"中学校")</f>
        <v/>
      </c>
      <c r="BN5" s="719"/>
      <c r="BO5" s="719"/>
      <c r="BP5" s="719"/>
      <c r="BQ5" s="719"/>
      <c r="BR5" s="719"/>
      <c r="BS5" s="719"/>
      <c r="BT5" s="719"/>
      <c r="BU5" s="719"/>
      <c r="BV5" s="719"/>
      <c r="BW5" s="719"/>
      <c r="BX5" s="719"/>
      <c r="BY5" s="719"/>
      <c r="BZ5" s="719"/>
      <c r="CA5" s="719"/>
      <c r="CB5" s="719"/>
      <c r="CC5" s="719"/>
      <c r="CD5" s="719"/>
      <c r="CE5" s="719"/>
      <c r="CF5" s="719"/>
      <c r="CG5" s="719"/>
      <c r="CH5" s="719"/>
      <c r="CI5" s="719"/>
      <c r="CJ5" s="719"/>
      <c r="CK5" s="719"/>
      <c r="CL5" s="719"/>
      <c r="CM5" s="719"/>
      <c r="CN5" s="719"/>
      <c r="CO5" s="720" t="str">
        <f>IF(A9="","","("&amp;VLOOKUP(A9,予選学校名!$C$3:$F$32,2,FALSE)&amp;")")</f>
        <v/>
      </c>
      <c r="CP5" s="720"/>
      <c r="CQ5" s="720"/>
      <c r="CR5" s="720"/>
      <c r="CS5" s="720"/>
      <c r="CT5" s="720"/>
      <c r="CU5" s="720"/>
      <c r="CV5" s="720"/>
      <c r="CW5" s="720"/>
      <c r="CX5" s="720"/>
      <c r="CY5" s="720"/>
      <c r="CZ5" s="720"/>
      <c r="DA5" s="720"/>
      <c r="DB5" s="105"/>
      <c r="DC5" s="105"/>
      <c r="DD5" s="106"/>
      <c r="DE5" s="62"/>
      <c r="DF5" s="62"/>
      <c r="EL5" s="87"/>
      <c r="ET5" s="76"/>
    </row>
    <row r="6" spans="1:151" s="61" customFormat="1" ht="18.75" customHeight="1" x14ac:dyDescent="0.15">
      <c r="A6" s="104" t="str">
        <f>IF(DX11&lt;&gt;"",IF(DX11=DS23,EG23,DS23),IF(OR($A$3=N28,$A$3=BJ28),$EG$23,$DS$23))</f>
        <v/>
      </c>
      <c r="D6" s="93"/>
      <c r="E6" s="70"/>
      <c r="F6" s="70"/>
      <c r="G6" s="70"/>
      <c r="H6" s="70"/>
      <c r="I6" s="70"/>
      <c r="J6" s="70"/>
      <c r="K6" s="70"/>
      <c r="L6" s="719" t="str">
        <f>IF(A6="","",IF(VLOOKUP(A6,予選学校名!$C$3:$F$32,3,FALSE)="",IF(VLOOKUP(A6,予選学校名!$C$3:$F$32,4,FALSE)="","",VLOOKUP(A6,予選学校名!$C$3:$F$32,4,FALSE)),VLOOKUP(A6,予選学校名!$C$3:$F$32,3,FALSE)&amp;"立")&amp;A6&amp;"中学校")</f>
        <v/>
      </c>
      <c r="M6" s="719"/>
      <c r="N6" s="719"/>
      <c r="O6" s="719"/>
      <c r="P6" s="719"/>
      <c r="Q6" s="719"/>
      <c r="R6" s="719"/>
      <c r="S6" s="719"/>
      <c r="T6" s="719"/>
      <c r="U6" s="719"/>
      <c r="V6" s="719"/>
      <c r="W6" s="719"/>
      <c r="X6" s="719"/>
      <c r="Y6" s="719"/>
      <c r="Z6" s="719"/>
      <c r="AA6" s="719"/>
      <c r="AB6" s="719"/>
      <c r="AC6" s="719"/>
      <c r="AD6" s="719"/>
      <c r="AE6" s="719"/>
      <c r="AF6" s="719"/>
      <c r="AG6" s="719"/>
      <c r="AH6" s="719"/>
      <c r="AI6" s="719"/>
      <c r="AJ6" s="719"/>
      <c r="AK6" s="719"/>
      <c r="AL6" s="719"/>
      <c r="AM6" s="719"/>
      <c r="AN6" s="720" t="str">
        <f>IF(A6="","","("&amp;VLOOKUP(A6,予選学校名!$C$3:$F$32,2,FALSE)&amp;")")</f>
        <v/>
      </c>
      <c r="AO6" s="720"/>
      <c r="AP6" s="720"/>
      <c r="AQ6" s="720"/>
      <c r="AR6" s="720"/>
      <c r="AS6" s="720"/>
      <c r="AT6" s="720"/>
      <c r="AU6" s="720"/>
      <c r="AV6" s="720"/>
      <c r="AW6" s="720"/>
      <c r="AX6" s="720"/>
      <c r="AY6" s="720"/>
      <c r="AZ6" s="720"/>
      <c r="BA6" s="71"/>
      <c r="BB6" s="71"/>
      <c r="BC6" s="71"/>
      <c r="BD6" s="71"/>
      <c r="BE6" s="71"/>
      <c r="BF6" s="70"/>
      <c r="BG6" s="70"/>
      <c r="BH6" s="70"/>
      <c r="BI6" s="70"/>
      <c r="BJ6" s="70"/>
      <c r="BK6" s="70"/>
      <c r="BL6" s="70"/>
      <c r="BM6" s="719" t="str">
        <f>IF(A10="","",IF(VLOOKUP(A10,予選学校名!$C$3:$F$32,3,FALSE)="",IF(VLOOKUP(A10,予選学校名!$C$3:$F$32,4,FALSE)="","",VLOOKUP(A10,予選学校名!$C$3:$F$32,4,FALSE)),VLOOKUP(A10,予選学校名!$C$3:$F$32,3,FALSE)&amp;"立")&amp;A10&amp;"中学校")</f>
        <v/>
      </c>
      <c r="BN6" s="719"/>
      <c r="BO6" s="719"/>
      <c r="BP6" s="719"/>
      <c r="BQ6" s="719"/>
      <c r="BR6" s="719"/>
      <c r="BS6" s="719"/>
      <c r="BT6" s="719"/>
      <c r="BU6" s="719"/>
      <c r="BV6" s="719"/>
      <c r="BW6" s="719"/>
      <c r="BX6" s="719"/>
      <c r="BY6" s="719"/>
      <c r="BZ6" s="719"/>
      <c r="CA6" s="719"/>
      <c r="CB6" s="719"/>
      <c r="CC6" s="719"/>
      <c r="CD6" s="719"/>
      <c r="CE6" s="719"/>
      <c r="CF6" s="719"/>
      <c r="CG6" s="719"/>
      <c r="CH6" s="719"/>
      <c r="CI6" s="719"/>
      <c r="CJ6" s="719"/>
      <c r="CK6" s="719"/>
      <c r="CL6" s="719"/>
      <c r="CM6" s="719"/>
      <c r="CN6" s="719"/>
      <c r="CO6" s="720" t="str">
        <f>IF(A10="","","("&amp;VLOOKUP(A10,予選学校名!$C$3:$F$32,2,FALSE)&amp;")")</f>
        <v/>
      </c>
      <c r="CP6" s="720"/>
      <c r="CQ6" s="720"/>
      <c r="CR6" s="720"/>
      <c r="CS6" s="720"/>
      <c r="CT6" s="720"/>
      <c r="CU6" s="720"/>
      <c r="CV6" s="720"/>
      <c r="CW6" s="720"/>
      <c r="CX6" s="720"/>
      <c r="CY6" s="720"/>
      <c r="CZ6" s="720"/>
      <c r="DA6" s="720"/>
      <c r="DB6" s="105"/>
      <c r="DC6" s="105"/>
      <c r="DD6" s="106"/>
      <c r="DE6" s="62"/>
      <c r="DF6" s="62"/>
      <c r="EL6" s="64"/>
    </row>
    <row r="7" spans="1:151" s="61" customFormat="1" ht="13.5" customHeight="1" x14ac:dyDescent="0.15">
      <c r="A7" s="104" t="str">
        <f>J75</f>
        <v/>
      </c>
      <c r="D7" s="76"/>
      <c r="ET7" s="64"/>
    </row>
    <row r="8" spans="1:151" s="61" customFormat="1" ht="13.5" customHeight="1" x14ac:dyDescent="0.15">
      <c r="A8" s="104" t="str">
        <f>AX75</f>
        <v/>
      </c>
      <c r="D8" s="76"/>
      <c r="ET8" s="64"/>
    </row>
    <row r="9" spans="1:151" s="61" customFormat="1" ht="13.5" customHeight="1" x14ac:dyDescent="0.15">
      <c r="A9" s="104" t="str">
        <f>CL75</f>
        <v/>
      </c>
      <c r="D9" s="76"/>
      <c r="AX9" s="725" t="s">
        <v>112</v>
      </c>
      <c r="AY9" s="725"/>
      <c r="AZ9" s="725"/>
      <c r="BA9" s="725"/>
      <c r="BB9" s="725"/>
      <c r="BC9" s="725"/>
      <c r="BD9" s="725"/>
      <c r="BE9" s="725"/>
      <c r="BF9" s="726" t="str">
        <f>IF(L3="","",L3)</f>
        <v/>
      </c>
      <c r="BG9" s="726"/>
      <c r="BH9" s="726"/>
      <c r="BI9" s="726"/>
      <c r="BJ9" s="726"/>
      <c r="BK9" s="726"/>
      <c r="BL9" s="726"/>
      <c r="BM9" s="726"/>
      <c r="BN9" s="726"/>
      <c r="BO9" s="726"/>
      <c r="BP9" s="726"/>
      <c r="BQ9" s="726"/>
      <c r="BR9" s="726"/>
      <c r="BS9" s="726"/>
      <c r="BT9" s="726"/>
      <c r="BU9" s="726"/>
      <c r="BV9" s="726"/>
      <c r="BW9" s="726"/>
      <c r="BX9" s="726"/>
      <c r="BY9" s="726"/>
      <c r="BZ9" s="726"/>
      <c r="CA9" s="726"/>
      <c r="CB9" s="726"/>
      <c r="CC9" s="726"/>
      <c r="CD9" s="726"/>
      <c r="CE9" s="726"/>
      <c r="CF9" s="726"/>
      <c r="CG9" s="726"/>
      <c r="CH9" s="726"/>
      <c r="CI9" s="726"/>
      <c r="CJ9" s="726"/>
      <c r="CK9" s="726"/>
      <c r="CL9" s="726"/>
      <c r="CM9" s="726"/>
      <c r="CN9" s="726"/>
      <c r="CO9" s="726"/>
      <c r="CP9" s="726"/>
      <c r="CQ9" s="726"/>
      <c r="CR9" s="726"/>
      <c r="CS9" s="726"/>
      <c r="CT9" s="726"/>
      <c r="CU9" s="726"/>
      <c r="DS9" s="634" t="s">
        <v>113</v>
      </c>
      <c r="DT9" s="634"/>
      <c r="DU9" s="634"/>
      <c r="DV9" s="634"/>
      <c r="DW9" s="634"/>
      <c r="DX9" s="634"/>
      <c r="DY9" s="634"/>
      <c r="DZ9" s="634"/>
      <c r="EA9" s="634"/>
      <c r="EB9" s="634"/>
      <c r="EC9" s="634"/>
      <c r="ED9" s="634"/>
      <c r="EE9" s="634"/>
      <c r="EF9" s="634"/>
      <c r="ET9" s="64"/>
    </row>
    <row r="10" spans="1:151" s="61" customFormat="1" ht="13.5" customHeight="1" x14ac:dyDescent="0.15">
      <c r="A10" s="104" t="str">
        <f>DZ75</f>
        <v/>
      </c>
      <c r="D10" s="76"/>
      <c r="AX10" s="725"/>
      <c r="AY10" s="725"/>
      <c r="AZ10" s="725"/>
      <c r="BA10" s="725"/>
      <c r="BB10" s="725"/>
      <c r="BC10" s="725"/>
      <c r="BD10" s="725"/>
      <c r="BE10" s="725"/>
      <c r="BF10" s="727"/>
      <c r="BG10" s="727"/>
      <c r="BH10" s="727"/>
      <c r="BI10" s="727"/>
      <c r="BJ10" s="727"/>
      <c r="BK10" s="727"/>
      <c r="BL10" s="727"/>
      <c r="BM10" s="727"/>
      <c r="BN10" s="727"/>
      <c r="BO10" s="727"/>
      <c r="BP10" s="727"/>
      <c r="BQ10" s="727"/>
      <c r="BR10" s="727"/>
      <c r="BS10" s="727"/>
      <c r="BT10" s="727"/>
      <c r="BU10" s="727"/>
      <c r="BV10" s="727"/>
      <c r="BW10" s="727"/>
      <c r="BX10" s="727"/>
      <c r="BY10" s="727"/>
      <c r="BZ10" s="727"/>
      <c r="CA10" s="727"/>
      <c r="CB10" s="727"/>
      <c r="CC10" s="727"/>
      <c r="CD10" s="727"/>
      <c r="CE10" s="727"/>
      <c r="CF10" s="727"/>
      <c r="CG10" s="727"/>
      <c r="CH10" s="727"/>
      <c r="CI10" s="727"/>
      <c r="CJ10" s="727"/>
      <c r="CK10" s="727"/>
      <c r="CL10" s="727"/>
      <c r="CM10" s="727"/>
      <c r="CN10" s="727"/>
      <c r="CO10" s="727"/>
      <c r="CP10" s="727"/>
      <c r="CQ10" s="727"/>
      <c r="CR10" s="727"/>
      <c r="CS10" s="727"/>
      <c r="CT10" s="727"/>
      <c r="CU10" s="727"/>
      <c r="ET10" s="64"/>
    </row>
    <row r="11" spans="1:151" s="61" customFormat="1" ht="13.5" customHeight="1" x14ac:dyDescent="0.15">
      <c r="A11" s="104"/>
      <c r="D11" s="76"/>
      <c r="BZ11" s="699"/>
      <c r="DX11" s="634" t="str">
        <f>IF(DZ14=EF14,"",IF(DZ14&gt;EF14,DS23,EG23))</f>
        <v/>
      </c>
      <c r="DY11" s="634"/>
      <c r="DZ11" s="634"/>
      <c r="EA11" s="634"/>
      <c r="EB11" s="634"/>
      <c r="EC11" s="634"/>
      <c r="ED11" s="634"/>
      <c r="EE11" s="634"/>
      <c r="EF11" s="634"/>
      <c r="EG11" s="634"/>
      <c r="EH11" s="634"/>
      <c r="EI11" s="634"/>
      <c r="EJ11" s="634"/>
      <c r="EK11" s="634"/>
      <c r="ET11" s="64"/>
    </row>
    <row r="12" spans="1:151" s="61" customFormat="1" ht="3.75" customHeight="1" x14ac:dyDescent="0.15">
      <c r="A12" s="104"/>
      <c r="D12" s="76"/>
      <c r="BZ12" s="699"/>
      <c r="ET12" s="64"/>
    </row>
    <row r="13" spans="1:151" s="61" customFormat="1" ht="13.5" customHeight="1" x14ac:dyDescent="0.15">
      <c r="A13" s="104"/>
      <c r="D13" s="76"/>
      <c r="BV13" s="695" t="str">
        <f>IF(BV16="","",SUM(BV16:BY19))</f>
        <v/>
      </c>
      <c r="BW13" s="695"/>
      <c r="BX13" s="695"/>
      <c r="BY13" s="695"/>
      <c r="BZ13" s="699"/>
      <c r="CB13" s="696" t="str">
        <f>IF(CB16="","",SUM(CB16:CE19))</f>
        <v/>
      </c>
      <c r="CC13" s="696"/>
      <c r="CD13" s="696"/>
      <c r="CE13" s="696"/>
      <c r="DQ13" s="90"/>
      <c r="DR13" s="90"/>
      <c r="DS13" s="90"/>
      <c r="DT13" s="90"/>
      <c r="DU13" s="90"/>
      <c r="DV13" s="90"/>
      <c r="DW13" s="90"/>
      <c r="DX13" s="90"/>
      <c r="DY13" s="90"/>
      <c r="DZ13" s="695" t="str">
        <f>IF(DZ16="","",SUM(DZ16:EC19))</f>
        <v/>
      </c>
      <c r="EA13" s="695"/>
      <c r="EB13" s="695"/>
      <c r="EC13" s="695"/>
      <c r="ED13" s="728"/>
      <c r="EE13" s="90"/>
      <c r="EF13" s="696" t="str">
        <f>IF(EF16="","",SUM(EF16:EI19))</f>
        <v/>
      </c>
      <c r="EG13" s="696"/>
      <c r="EH13" s="696"/>
      <c r="EI13" s="696"/>
      <c r="EJ13" s="90"/>
      <c r="EK13" s="90"/>
      <c r="EL13" s="90"/>
      <c r="EM13" s="90"/>
      <c r="EN13" s="90"/>
      <c r="EO13" s="90"/>
      <c r="EP13" s="90"/>
      <c r="EQ13" s="90"/>
      <c r="ET13" s="64"/>
    </row>
    <row r="14" spans="1:151" s="90" customFormat="1" ht="13.5" hidden="1" customHeight="1" x14ac:dyDescent="0.15">
      <c r="A14" s="107"/>
      <c r="D14" s="92"/>
      <c r="BV14" s="698">
        <f>SUM(BV16:BY23)</f>
        <v>0</v>
      </c>
      <c r="BW14" s="698"/>
      <c r="BX14" s="698"/>
      <c r="BY14" s="698"/>
      <c r="BZ14" s="699"/>
      <c r="CB14" s="697">
        <f>SUM(CB16:CE23)</f>
        <v>0</v>
      </c>
      <c r="CC14" s="697"/>
      <c r="CD14" s="697"/>
      <c r="CE14" s="697"/>
      <c r="DQ14" s="61"/>
      <c r="DR14" s="61"/>
      <c r="DS14" s="61"/>
      <c r="DT14" s="61"/>
      <c r="DU14" s="61"/>
      <c r="DV14" s="61"/>
      <c r="DW14" s="61"/>
      <c r="DX14" s="61"/>
      <c r="DY14" s="61"/>
      <c r="DZ14" s="698">
        <f>SUM(DZ16:EC20)</f>
        <v>0</v>
      </c>
      <c r="EA14" s="698"/>
      <c r="EB14" s="698"/>
      <c r="EC14" s="698"/>
      <c r="ED14" s="728"/>
      <c r="EE14" s="61"/>
      <c r="EF14" s="697">
        <f>SUM(EF16:EI20)</f>
        <v>0</v>
      </c>
      <c r="EG14" s="697"/>
      <c r="EH14" s="697"/>
      <c r="EI14" s="697"/>
      <c r="EJ14" s="61"/>
      <c r="EK14" s="61"/>
      <c r="EL14" s="61"/>
      <c r="EM14" s="61"/>
      <c r="EN14" s="61"/>
      <c r="EO14" s="61"/>
      <c r="EP14" s="61"/>
      <c r="EQ14" s="61"/>
      <c r="ET14" s="89"/>
    </row>
    <row r="15" spans="1:151" s="61" customFormat="1" ht="3.75" customHeight="1" thickBot="1" x14ac:dyDescent="0.2">
      <c r="A15" s="104"/>
      <c r="D15" s="76"/>
      <c r="AN15" s="713"/>
      <c r="AO15" s="713"/>
      <c r="AP15" s="713"/>
      <c r="AQ15" s="713"/>
      <c r="AR15" s="713"/>
      <c r="AS15" s="713"/>
      <c r="AT15" s="713"/>
      <c r="AU15" s="713"/>
      <c r="AV15" s="713"/>
      <c r="AW15" s="713"/>
      <c r="AX15" s="713"/>
      <c r="AY15" s="713"/>
      <c r="AZ15" s="713"/>
      <c r="BA15" s="713"/>
      <c r="BB15" s="713"/>
      <c r="BC15" s="713"/>
      <c r="BD15" s="713"/>
      <c r="BE15" s="713"/>
      <c r="BF15" s="713"/>
      <c r="BG15" s="713"/>
      <c r="BH15" s="713"/>
      <c r="BI15" s="713"/>
      <c r="BJ15" s="713"/>
      <c r="BK15" s="713"/>
      <c r="BL15" s="713"/>
      <c r="BM15" s="713"/>
      <c r="BN15" s="713"/>
      <c r="BO15" s="713"/>
      <c r="BP15" s="713"/>
      <c r="BQ15" s="713"/>
      <c r="BR15" s="713"/>
      <c r="BS15" s="713"/>
      <c r="BT15" s="713"/>
      <c r="BU15" s="713"/>
      <c r="BV15" s="713"/>
      <c r="BW15" s="713"/>
      <c r="BX15" s="713"/>
      <c r="BY15" s="713"/>
      <c r="BZ15" s="700"/>
      <c r="CA15" s="715"/>
      <c r="CB15" s="713"/>
      <c r="CC15" s="713"/>
      <c r="CD15" s="713"/>
      <c r="CE15" s="713"/>
      <c r="CF15" s="713"/>
      <c r="CG15" s="713"/>
      <c r="CH15" s="713"/>
      <c r="CI15" s="713"/>
      <c r="CJ15" s="713"/>
      <c r="CK15" s="713"/>
      <c r="CL15" s="713"/>
      <c r="CM15" s="713"/>
      <c r="CN15" s="713"/>
      <c r="CO15" s="713"/>
      <c r="CP15" s="713"/>
      <c r="CQ15" s="713"/>
      <c r="CR15" s="713"/>
      <c r="CS15" s="713"/>
      <c r="CT15" s="713"/>
      <c r="CU15" s="713"/>
      <c r="CV15" s="713"/>
      <c r="CW15" s="713"/>
      <c r="CX15" s="713"/>
      <c r="CY15" s="713"/>
      <c r="CZ15" s="713"/>
      <c r="DA15" s="713"/>
      <c r="DB15" s="713"/>
      <c r="DC15" s="713"/>
      <c r="DD15" s="713"/>
      <c r="DE15" s="713"/>
      <c r="DF15" s="713"/>
      <c r="DG15" s="713"/>
      <c r="DH15" s="713"/>
      <c r="DI15" s="713"/>
      <c r="DJ15" s="713"/>
      <c r="DK15" s="31"/>
      <c r="DL15" s="31"/>
      <c r="DM15" s="31"/>
      <c r="DX15" s="713"/>
      <c r="DY15" s="713"/>
      <c r="DZ15" s="713"/>
      <c r="EA15" s="713"/>
      <c r="EB15" s="713"/>
      <c r="EC15" s="713"/>
      <c r="ED15" s="729"/>
      <c r="EE15" s="713"/>
      <c r="EF15" s="713"/>
      <c r="EG15" s="713"/>
      <c r="EH15" s="713"/>
      <c r="EI15" s="713"/>
      <c r="EJ15" s="713"/>
      <c r="EK15" s="713"/>
      <c r="ET15" s="64"/>
    </row>
    <row r="16" spans="1:151" s="61" customFormat="1" ht="13.5" customHeight="1" thickTop="1" x14ac:dyDescent="0.15">
      <c r="A16" s="104"/>
      <c r="D16" s="76"/>
      <c r="AI16" s="703" t="str">
        <f>IF(AI26=AO26,"",IF(AI26&gt;AO26,N28,BJ28))</f>
        <v/>
      </c>
      <c r="AJ16" s="703"/>
      <c r="AK16" s="703"/>
      <c r="AL16" s="703"/>
      <c r="AM16" s="699"/>
      <c r="BV16" s="687"/>
      <c r="BW16" s="687"/>
      <c r="BX16" s="687"/>
      <c r="BY16" s="687"/>
      <c r="BZ16" s="634" t="s">
        <v>92</v>
      </c>
      <c r="CA16" s="634"/>
      <c r="CB16" s="688"/>
      <c r="CC16" s="688"/>
      <c r="CD16" s="688"/>
      <c r="CE16" s="688"/>
      <c r="DK16" s="686"/>
      <c r="DL16" s="714" t="str">
        <f>IF(DF26=DL26,"",IF(DF26&gt;DL26,CN28,ED28))</f>
        <v/>
      </c>
      <c r="DM16" s="714"/>
      <c r="DN16" s="714"/>
      <c r="DO16" s="714"/>
      <c r="DP16" s="160"/>
      <c r="DW16" s="699"/>
      <c r="DZ16" s="687"/>
      <c r="EA16" s="687"/>
      <c r="EB16" s="687"/>
      <c r="EC16" s="687"/>
      <c r="ED16" s="618" t="s">
        <v>114</v>
      </c>
      <c r="EE16" s="618"/>
      <c r="EF16" s="688"/>
      <c r="EG16" s="688"/>
      <c r="EH16" s="688"/>
      <c r="EI16" s="688"/>
      <c r="EL16" s="686"/>
      <c r="ET16" s="64"/>
    </row>
    <row r="17" spans="1:150" s="61" customFormat="1" ht="13.5" customHeight="1" x14ac:dyDescent="0.15">
      <c r="A17" s="104"/>
      <c r="D17" s="76"/>
      <c r="AI17" s="703"/>
      <c r="AJ17" s="703"/>
      <c r="AK17" s="703"/>
      <c r="AL17" s="703"/>
      <c r="AM17" s="699"/>
      <c r="BV17" s="687"/>
      <c r="BW17" s="687"/>
      <c r="BX17" s="687"/>
      <c r="BY17" s="687"/>
      <c r="BZ17" s="634" t="s">
        <v>92</v>
      </c>
      <c r="CA17" s="634"/>
      <c r="CB17" s="688"/>
      <c r="CC17" s="688"/>
      <c r="CD17" s="688"/>
      <c r="CE17" s="688"/>
      <c r="DK17" s="686"/>
      <c r="DL17" s="714"/>
      <c r="DM17" s="714"/>
      <c r="DN17" s="714"/>
      <c r="DO17" s="714"/>
      <c r="DP17" s="160"/>
      <c r="DW17" s="699"/>
      <c r="DZ17" s="687"/>
      <c r="EA17" s="687"/>
      <c r="EB17" s="687"/>
      <c r="EC17" s="687"/>
      <c r="ED17" s="618" t="s">
        <v>114</v>
      </c>
      <c r="EE17" s="618"/>
      <c r="EF17" s="688"/>
      <c r="EG17" s="688"/>
      <c r="EH17" s="688"/>
      <c r="EI17" s="688"/>
      <c r="EL17" s="686"/>
      <c r="ET17" s="64"/>
    </row>
    <row r="18" spans="1:150" s="61" customFormat="1" ht="13.5" customHeight="1" x14ac:dyDescent="0.15">
      <c r="A18" s="104"/>
      <c r="D18" s="76"/>
      <c r="AI18" s="703"/>
      <c r="AJ18" s="703"/>
      <c r="AK18" s="703"/>
      <c r="AL18" s="703"/>
      <c r="AM18" s="699"/>
      <c r="BV18" s="687"/>
      <c r="BW18" s="687"/>
      <c r="BX18" s="687"/>
      <c r="BY18" s="687"/>
      <c r="BZ18" s="618" t="str">
        <f>IF(BV18="","","－")</f>
        <v/>
      </c>
      <c r="CA18" s="618"/>
      <c r="CB18" s="688"/>
      <c r="CC18" s="688"/>
      <c r="CD18" s="688"/>
      <c r="CE18" s="688"/>
      <c r="DK18" s="686"/>
      <c r="DL18" s="714"/>
      <c r="DM18" s="714"/>
      <c r="DN18" s="714"/>
      <c r="DO18" s="714"/>
      <c r="DP18" s="160"/>
      <c r="DW18" s="699"/>
      <c r="DZ18" s="687"/>
      <c r="EA18" s="687"/>
      <c r="EB18" s="687"/>
      <c r="EC18" s="687"/>
      <c r="ED18" s="618" t="str">
        <f>IF(DZ18="","","－")</f>
        <v/>
      </c>
      <c r="EE18" s="618"/>
      <c r="EF18" s="688"/>
      <c r="EG18" s="688"/>
      <c r="EH18" s="688"/>
      <c r="EI18" s="688"/>
      <c r="EL18" s="686"/>
      <c r="ET18" s="64"/>
    </row>
    <row r="19" spans="1:150" s="61" customFormat="1" ht="13.5" customHeight="1" x14ac:dyDescent="0.15">
      <c r="A19" s="104"/>
      <c r="D19" s="76"/>
      <c r="AI19" s="703"/>
      <c r="AJ19" s="703"/>
      <c r="AK19" s="703"/>
      <c r="AL19" s="703"/>
      <c r="AM19" s="699"/>
      <c r="BV19" s="687"/>
      <c r="BW19" s="687"/>
      <c r="BX19" s="687"/>
      <c r="BY19" s="687"/>
      <c r="BZ19" s="618" t="str">
        <f>IF(BV19="","","－")</f>
        <v/>
      </c>
      <c r="CA19" s="618"/>
      <c r="CB19" s="688"/>
      <c r="CC19" s="688"/>
      <c r="CD19" s="688"/>
      <c r="CE19" s="688"/>
      <c r="DK19" s="686"/>
      <c r="DL19" s="714"/>
      <c r="DM19" s="714"/>
      <c r="DN19" s="714"/>
      <c r="DO19" s="714"/>
      <c r="DP19" s="160"/>
      <c r="DW19" s="699"/>
      <c r="DZ19" s="687"/>
      <c r="EA19" s="687"/>
      <c r="EB19" s="687"/>
      <c r="EC19" s="687"/>
      <c r="ED19" s="618" t="str">
        <f>IF(DZ19="","","－")</f>
        <v/>
      </c>
      <c r="EE19" s="618"/>
      <c r="EF19" s="688"/>
      <c r="EG19" s="688"/>
      <c r="EH19" s="688"/>
      <c r="EI19" s="688"/>
      <c r="EL19" s="686"/>
      <c r="ET19" s="64"/>
    </row>
    <row r="20" spans="1:150" s="61" customFormat="1" ht="13.5" customHeight="1" x14ac:dyDescent="0.2">
      <c r="A20" s="104"/>
      <c r="D20" s="76"/>
      <c r="AI20" s="703"/>
      <c r="AJ20" s="703"/>
      <c r="AK20" s="703"/>
      <c r="AL20" s="703"/>
      <c r="AM20" s="699"/>
      <c r="BV20" s="108"/>
      <c r="BW20" s="108"/>
      <c r="BX20" s="108"/>
      <c r="BY20" s="690" t="str">
        <f>IF(BV21="","","PK")</f>
        <v/>
      </c>
      <c r="BZ20" s="690"/>
      <c r="CA20" s="690"/>
      <c r="CB20" s="690"/>
      <c r="CC20" s="109"/>
      <c r="CD20" s="109"/>
      <c r="CE20" s="109"/>
      <c r="DK20" s="686"/>
      <c r="DL20" s="714"/>
      <c r="DM20" s="714"/>
      <c r="DN20" s="714"/>
      <c r="DO20" s="714"/>
      <c r="DP20" s="160"/>
      <c r="DW20" s="699"/>
      <c r="DZ20" s="31"/>
      <c r="EA20" s="31"/>
      <c r="EB20" s="31"/>
      <c r="EC20" s="690" t="str">
        <f>IF(DZ21="","","PK")</f>
        <v/>
      </c>
      <c r="ED20" s="690"/>
      <c r="EE20" s="690"/>
      <c r="EF20" s="690"/>
      <c r="EG20" s="31"/>
      <c r="EH20" s="31"/>
      <c r="EI20" s="31"/>
      <c r="EL20" s="686"/>
      <c r="ET20" s="64"/>
    </row>
    <row r="21" spans="1:150" s="61" customFormat="1" ht="13.5" customHeight="1" x14ac:dyDescent="0.15">
      <c r="A21" s="104"/>
      <c r="D21" s="76"/>
      <c r="AM21" s="699"/>
      <c r="BV21" s="687"/>
      <c r="BW21" s="687"/>
      <c r="BX21" s="687"/>
      <c r="BY21" s="687"/>
      <c r="BZ21" s="618" t="str">
        <f>IF(BV21="","","－")</f>
        <v/>
      </c>
      <c r="CA21" s="618"/>
      <c r="CB21" s="688"/>
      <c r="CC21" s="688"/>
      <c r="CD21" s="688"/>
      <c r="CE21" s="688"/>
      <c r="DK21" s="686"/>
      <c r="DL21" s="714"/>
      <c r="DM21" s="714"/>
      <c r="DN21" s="714"/>
      <c r="DO21" s="714"/>
      <c r="DW21" s="699"/>
      <c r="DZ21" s="687"/>
      <c r="EA21" s="687"/>
      <c r="EB21" s="687"/>
      <c r="EC21" s="687"/>
      <c r="ED21" s="618" t="str">
        <f>IF(DZ21="","","－")</f>
        <v/>
      </c>
      <c r="EE21" s="618"/>
      <c r="EF21" s="688"/>
      <c r="EG21" s="688"/>
      <c r="EH21" s="688"/>
      <c r="EI21" s="688"/>
      <c r="EL21" s="686"/>
      <c r="ET21" s="64"/>
    </row>
    <row r="22" spans="1:150" s="111" customFormat="1" ht="13.5" customHeight="1" x14ac:dyDescent="0.2">
      <c r="A22" s="110"/>
      <c r="D22" s="112"/>
      <c r="AM22" s="699"/>
      <c r="BV22" s="108"/>
      <c r="BW22" s="108"/>
      <c r="BX22" s="108"/>
      <c r="BY22" s="690" t="str">
        <f>IF(BV23="","","PK")</f>
        <v/>
      </c>
      <c r="BZ22" s="690"/>
      <c r="CA22" s="690"/>
      <c r="CB22" s="690"/>
      <c r="CC22" s="109"/>
      <c r="CD22" s="109"/>
      <c r="CE22" s="109"/>
      <c r="DK22" s="686"/>
      <c r="ET22" s="108"/>
    </row>
    <row r="23" spans="1:150" s="61" customFormat="1" ht="13.5" customHeight="1" x14ac:dyDescent="0.15">
      <c r="A23" s="104"/>
      <c r="D23" s="76"/>
      <c r="AM23" s="699"/>
      <c r="BV23" s="695"/>
      <c r="BW23" s="695"/>
      <c r="BX23" s="695"/>
      <c r="BY23" s="695"/>
      <c r="BZ23" s="618" t="str">
        <f>IF(BV23="","","－")</f>
        <v/>
      </c>
      <c r="CA23" s="618"/>
      <c r="CB23" s="696"/>
      <c r="CC23" s="696"/>
      <c r="CD23" s="696"/>
      <c r="CE23" s="696"/>
      <c r="DK23" s="686"/>
      <c r="DS23" s="634" t="str">
        <f>IF(AI26=AO26,"",IF(AI26&gt;AO26,BJ28,N28))</f>
        <v/>
      </c>
      <c r="DT23" s="634"/>
      <c r="DU23" s="634"/>
      <c r="DV23" s="634"/>
      <c r="DW23" s="634"/>
      <c r="DX23" s="634"/>
      <c r="DY23" s="634"/>
      <c r="DZ23" s="634"/>
      <c r="EA23" s="634"/>
      <c r="EB23" s="634"/>
      <c r="EG23" s="634" t="str">
        <f>IF(DF26=DL26,"",IF(DF26&gt;DL26,ED28,CN28))</f>
        <v/>
      </c>
      <c r="EH23" s="634"/>
      <c r="EI23" s="634"/>
      <c r="EJ23" s="634"/>
      <c r="EK23" s="634"/>
      <c r="EL23" s="634"/>
      <c r="EM23" s="634"/>
      <c r="EN23" s="634"/>
      <c r="EO23" s="634"/>
      <c r="EP23" s="634"/>
      <c r="ET23" s="64"/>
    </row>
    <row r="24" spans="1:150" s="114" customFormat="1" ht="13.5" customHeight="1" x14ac:dyDescent="0.15">
      <c r="A24" s="113"/>
      <c r="D24" s="115"/>
      <c r="AM24" s="699"/>
      <c r="BY24" s="689" t="str">
        <f>IF(BV23="","","PK")</f>
        <v/>
      </c>
      <c r="BZ24" s="689"/>
      <c r="CA24" s="689"/>
      <c r="CB24" s="689"/>
      <c r="DK24" s="686"/>
      <c r="ET24" s="116"/>
    </row>
    <row r="25" spans="1:150" s="61" customFormat="1" ht="13.5" customHeight="1" x14ac:dyDescent="0.15">
      <c r="A25" s="104"/>
      <c r="D25" s="76"/>
      <c r="AI25" s="695" t="str">
        <f>IF(AI28="","",SUM(AI28:AL31))</f>
        <v/>
      </c>
      <c r="AJ25" s="695"/>
      <c r="AK25" s="695"/>
      <c r="AL25" s="695"/>
      <c r="AM25" s="699"/>
      <c r="AO25" s="696" t="str">
        <f>IF(AO28="","",SUM(AO28:AO31))</f>
        <v/>
      </c>
      <c r="AP25" s="696"/>
      <c r="AQ25" s="696"/>
      <c r="AR25" s="696"/>
      <c r="DF25" s="695" t="str">
        <f>IF(DF28="","",SUM(DF28:DI31))</f>
        <v/>
      </c>
      <c r="DG25" s="695"/>
      <c r="DH25" s="695"/>
      <c r="DI25" s="695"/>
      <c r="DK25" s="686"/>
      <c r="DL25" s="696" t="str">
        <f>IF(DL28="","",SUM(DL28:DL31))</f>
        <v/>
      </c>
      <c r="DM25" s="696"/>
      <c r="DN25" s="696"/>
      <c r="DO25" s="696"/>
      <c r="DP25" s="31"/>
      <c r="ET25" s="64"/>
    </row>
    <row r="26" spans="1:150" s="90" customFormat="1" ht="13.5" hidden="1" customHeight="1" x14ac:dyDescent="0.15">
      <c r="A26" s="107"/>
      <c r="D26" s="92"/>
      <c r="AI26" s="698">
        <f>SUM(AI28:AI33)</f>
        <v>0</v>
      </c>
      <c r="AJ26" s="698"/>
      <c r="AK26" s="698"/>
      <c r="AL26" s="698"/>
      <c r="AM26" s="699"/>
      <c r="AO26" s="697">
        <f>SUM(AO28:AO33)</f>
        <v>0</v>
      </c>
      <c r="AP26" s="697"/>
      <c r="AQ26" s="697"/>
      <c r="AR26" s="697"/>
      <c r="DF26" s="698">
        <f>SUM(DF28:DF33)</f>
        <v>0</v>
      </c>
      <c r="DG26" s="698"/>
      <c r="DH26" s="698"/>
      <c r="DI26" s="698"/>
      <c r="DJ26" s="89"/>
      <c r="DK26" s="686"/>
      <c r="DL26" s="697">
        <f>SUM(DL28:DL33)</f>
        <v>0</v>
      </c>
      <c r="DM26" s="697"/>
      <c r="DN26" s="697"/>
      <c r="DO26" s="697"/>
      <c r="DP26" s="88"/>
      <c r="ET26" s="89"/>
    </row>
    <row r="27" spans="1:150" s="61" customFormat="1" ht="3.75" customHeight="1" thickBot="1" x14ac:dyDescent="0.2">
      <c r="A27" s="104"/>
      <c r="D27" s="76"/>
      <c r="S27" s="713"/>
      <c r="T27" s="713"/>
      <c r="U27" s="713"/>
      <c r="V27" s="713"/>
      <c r="W27" s="713"/>
      <c r="X27" s="713"/>
      <c r="Y27" s="713"/>
      <c r="Z27" s="713"/>
      <c r="AA27" s="713"/>
      <c r="AB27" s="713"/>
      <c r="AC27" s="713"/>
      <c r="AD27" s="713"/>
      <c r="AE27" s="713"/>
      <c r="AF27" s="713"/>
      <c r="AG27" s="713"/>
      <c r="AH27" s="713"/>
      <c r="AI27" s="713"/>
      <c r="AJ27" s="713"/>
      <c r="AK27" s="713"/>
      <c r="AL27" s="713"/>
      <c r="AM27" s="700"/>
      <c r="AN27" s="713"/>
      <c r="AO27" s="713"/>
      <c r="AP27" s="713"/>
      <c r="AQ27" s="713"/>
      <c r="AR27" s="713"/>
      <c r="AS27" s="713"/>
      <c r="AT27" s="713"/>
      <c r="AU27" s="713"/>
      <c r="AV27" s="713"/>
      <c r="AW27" s="713"/>
      <c r="AX27" s="713"/>
      <c r="AY27" s="713"/>
      <c r="AZ27" s="713"/>
      <c r="BA27" s="713"/>
      <c r="BB27" s="713"/>
      <c r="BC27" s="713"/>
      <c r="BD27" s="713"/>
      <c r="BE27" s="713"/>
      <c r="BF27" s="713"/>
      <c r="BG27" s="713"/>
      <c r="BH27" s="713"/>
      <c r="CS27" s="713"/>
      <c r="CT27" s="713"/>
      <c r="CU27" s="713"/>
      <c r="CV27" s="713"/>
      <c r="CW27" s="713"/>
      <c r="CX27" s="713"/>
      <c r="CY27" s="713"/>
      <c r="CZ27" s="713"/>
      <c r="DA27" s="713"/>
      <c r="DB27" s="713"/>
      <c r="DC27" s="713"/>
      <c r="DD27" s="713"/>
      <c r="DE27" s="713"/>
      <c r="DF27" s="713"/>
      <c r="DG27" s="713"/>
      <c r="DH27" s="713"/>
      <c r="DI27" s="713"/>
      <c r="DJ27" s="700"/>
      <c r="DK27" s="715"/>
      <c r="DL27" s="713"/>
      <c r="DM27" s="713"/>
      <c r="DN27" s="713"/>
      <c r="DO27" s="713"/>
      <c r="DP27" s="713"/>
      <c r="DQ27" s="713"/>
      <c r="DR27" s="713"/>
      <c r="DS27" s="713"/>
      <c r="DT27" s="713"/>
      <c r="DU27" s="713"/>
      <c r="DV27" s="713"/>
      <c r="DW27" s="713"/>
      <c r="DX27" s="713"/>
      <c r="DY27" s="713"/>
      <c r="DZ27" s="713"/>
      <c r="EA27" s="713"/>
      <c r="EB27" s="713"/>
      <c r="ET27" s="64"/>
    </row>
    <row r="28" spans="1:150" s="61" customFormat="1" ht="13.5" customHeight="1" thickTop="1" x14ac:dyDescent="0.15">
      <c r="A28" s="104"/>
      <c r="D28" s="76"/>
      <c r="N28" s="703" t="str">
        <f>IF(N36=T36,"",IF(N36&gt;T36,C38,AF38))</f>
        <v/>
      </c>
      <c r="O28" s="703"/>
      <c r="P28" s="703"/>
      <c r="Q28" s="703"/>
      <c r="R28" s="699"/>
      <c r="AI28" s="687"/>
      <c r="AJ28" s="687"/>
      <c r="AK28" s="687"/>
      <c r="AL28" s="687"/>
      <c r="AM28" s="634" t="s">
        <v>92</v>
      </c>
      <c r="AN28" s="634"/>
      <c r="AO28" s="688"/>
      <c r="AP28" s="688"/>
      <c r="AQ28" s="688"/>
      <c r="AR28" s="688"/>
      <c r="BI28" s="686"/>
      <c r="BJ28" s="714" t="str">
        <f>IF(BD36=BJ36,"",IF(BD36&gt;BJ36,AS38,BU38))</f>
        <v/>
      </c>
      <c r="BK28" s="714"/>
      <c r="BL28" s="714"/>
      <c r="BM28" s="714"/>
      <c r="CN28" s="703" t="str">
        <f>IF(CN36=CT36,"",IF(CN36&gt;CT36,CC38,DE38))</f>
        <v/>
      </c>
      <c r="CO28" s="703"/>
      <c r="CP28" s="703"/>
      <c r="CQ28" s="703"/>
      <c r="CR28" s="699"/>
      <c r="DF28" s="716"/>
      <c r="DG28" s="716"/>
      <c r="DH28" s="716"/>
      <c r="DI28" s="716"/>
      <c r="DJ28" s="717" t="s">
        <v>92</v>
      </c>
      <c r="DK28" s="717"/>
      <c r="DL28" s="718"/>
      <c r="DM28" s="718"/>
      <c r="DN28" s="718"/>
      <c r="DO28" s="718"/>
      <c r="DP28" s="250"/>
      <c r="EC28" s="686"/>
      <c r="ED28" s="714" t="str">
        <f>IF(DX36=ED36,"",IF(DX36&gt;ED36,DM38,EO38))</f>
        <v/>
      </c>
      <c r="EE28" s="714"/>
      <c r="EF28" s="714"/>
      <c r="EG28" s="714"/>
      <c r="ET28" s="64"/>
    </row>
    <row r="29" spans="1:150" s="61" customFormat="1" ht="13.5" customHeight="1" x14ac:dyDescent="0.15">
      <c r="A29" s="104"/>
      <c r="D29" s="76"/>
      <c r="N29" s="703"/>
      <c r="O29" s="703"/>
      <c r="P29" s="703"/>
      <c r="Q29" s="703"/>
      <c r="R29" s="699"/>
      <c r="AI29" s="687"/>
      <c r="AJ29" s="687"/>
      <c r="AK29" s="687"/>
      <c r="AL29" s="687"/>
      <c r="AM29" s="634" t="s">
        <v>92</v>
      </c>
      <c r="AN29" s="634"/>
      <c r="AO29" s="688"/>
      <c r="AP29" s="688"/>
      <c r="AQ29" s="688"/>
      <c r="AR29" s="688"/>
      <c r="BI29" s="686"/>
      <c r="BJ29" s="714"/>
      <c r="BK29" s="714"/>
      <c r="BL29" s="714"/>
      <c r="BM29" s="714"/>
      <c r="CN29" s="703"/>
      <c r="CO29" s="703"/>
      <c r="CP29" s="703"/>
      <c r="CQ29" s="703"/>
      <c r="CR29" s="699"/>
      <c r="DF29" s="687"/>
      <c r="DG29" s="687"/>
      <c r="DH29" s="687"/>
      <c r="DI29" s="687"/>
      <c r="DJ29" s="634" t="s">
        <v>92</v>
      </c>
      <c r="DK29" s="634"/>
      <c r="DL29" s="688"/>
      <c r="DM29" s="688"/>
      <c r="DN29" s="688"/>
      <c r="DO29" s="688"/>
      <c r="DP29" s="31"/>
      <c r="EC29" s="686"/>
      <c r="ED29" s="714"/>
      <c r="EE29" s="714"/>
      <c r="EF29" s="714"/>
      <c r="EG29" s="714"/>
      <c r="ET29" s="64"/>
    </row>
    <row r="30" spans="1:150" s="61" customFormat="1" ht="13.5" customHeight="1" x14ac:dyDescent="0.15">
      <c r="A30" s="104"/>
      <c r="D30" s="76"/>
      <c r="N30" s="703"/>
      <c r="O30" s="703"/>
      <c r="P30" s="703"/>
      <c r="Q30" s="703"/>
      <c r="R30" s="699"/>
      <c r="AI30" s="687"/>
      <c r="AJ30" s="687"/>
      <c r="AK30" s="687"/>
      <c r="AL30" s="687"/>
      <c r="AM30" s="618" t="str">
        <f>IF(AI30="","","－")</f>
        <v/>
      </c>
      <c r="AN30" s="618"/>
      <c r="AO30" s="688"/>
      <c r="AP30" s="688"/>
      <c r="AQ30" s="688"/>
      <c r="AR30" s="688"/>
      <c r="BI30" s="686"/>
      <c r="BJ30" s="714"/>
      <c r="BK30" s="714"/>
      <c r="BL30" s="714"/>
      <c r="BM30" s="714"/>
      <c r="CN30" s="703"/>
      <c r="CO30" s="703"/>
      <c r="CP30" s="703"/>
      <c r="CQ30" s="703"/>
      <c r="CR30" s="699"/>
      <c r="DF30" s="687"/>
      <c r="DG30" s="687"/>
      <c r="DH30" s="687"/>
      <c r="DI30" s="687"/>
      <c r="DJ30" s="618" t="str">
        <f>IF(DF30="","","－")</f>
        <v/>
      </c>
      <c r="DK30" s="618"/>
      <c r="DL30" s="688"/>
      <c r="DM30" s="688"/>
      <c r="DN30" s="688"/>
      <c r="DO30" s="688"/>
      <c r="DP30" s="31"/>
      <c r="EC30" s="686"/>
      <c r="ED30" s="714"/>
      <c r="EE30" s="714"/>
      <c r="EF30" s="714"/>
      <c r="EG30" s="714"/>
      <c r="ET30" s="64"/>
    </row>
    <row r="31" spans="1:150" s="61" customFormat="1" ht="13.5" customHeight="1" x14ac:dyDescent="0.15">
      <c r="A31" s="104"/>
      <c r="D31" s="76"/>
      <c r="N31" s="703"/>
      <c r="O31" s="703"/>
      <c r="P31" s="703"/>
      <c r="Q31" s="703"/>
      <c r="R31" s="699"/>
      <c r="AI31" s="687"/>
      <c r="AJ31" s="687"/>
      <c r="AK31" s="687"/>
      <c r="AL31" s="687"/>
      <c r="AM31" s="618" t="str">
        <f>IF(AI31="","","－")</f>
        <v/>
      </c>
      <c r="AN31" s="618"/>
      <c r="AO31" s="688"/>
      <c r="AP31" s="688"/>
      <c r="AQ31" s="688"/>
      <c r="AR31" s="688"/>
      <c r="BI31" s="686"/>
      <c r="BJ31" s="714"/>
      <c r="BK31" s="714"/>
      <c r="BL31" s="714"/>
      <c r="BM31" s="714"/>
      <c r="CN31" s="703"/>
      <c r="CO31" s="703"/>
      <c r="CP31" s="703"/>
      <c r="CQ31" s="703"/>
      <c r="CR31" s="699"/>
      <c r="DF31" s="687"/>
      <c r="DG31" s="687"/>
      <c r="DH31" s="687"/>
      <c r="DI31" s="687"/>
      <c r="DJ31" s="618" t="str">
        <f>IF(DF31="","","－")</f>
        <v/>
      </c>
      <c r="DK31" s="618"/>
      <c r="DL31" s="688"/>
      <c r="DM31" s="688"/>
      <c r="DN31" s="688"/>
      <c r="DO31" s="688"/>
      <c r="DP31" s="31"/>
      <c r="EC31" s="686"/>
      <c r="ED31" s="714"/>
      <c r="EE31" s="714"/>
      <c r="EF31" s="714"/>
      <c r="EG31" s="714"/>
      <c r="ET31" s="64"/>
    </row>
    <row r="32" spans="1:150" s="111" customFormat="1" ht="13.5" customHeight="1" x14ac:dyDescent="0.2">
      <c r="A32" s="110"/>
      <c r="D32" s="112"/>
      <c r="N32" s="703"/>
      <c r="O32" s="703"/>
      <c r="P32" s="703"/>
      <c r="Q32" s="703"/>
      <c r="R32" s="699"/>
      <c r="AI32" s="108"/>
      <c r="AJ32" s="108"/>
      <c r="AK32" s="108"/>
      <c r="AL32" s="690" t="str">
        <f>IF(AI33="","","PK")</f>
        <v/>
      </c>
      <c r="AM32" s="690"/>
      <c r="AN32" s="690"/>
      <c r="AO32" s="690"/>
      <c r="AP32" s="109"/>
      <c r="AQ32" s="109"/>
      <c r="AR32" s="109"/>
      <c r="BI32" s="686"/>
      <c r="BJ32" s="714"/>
      <c r="BK32" s="714"/>
      <c r="BL32" s="714"/>
      <c r="BM32" s="714"/>
      <c r="CN32" s="703"/>
      <c r="CO32" s="703"/>
      <c r="CP32" s="703"/>
      <c r="CQ32" s="703"/>
      <c r="CR32" s="699"/>
      <c r="DF32" s="108"/>
      <c r="DG32" s="108"/>
      <c r="DH32" s="108"/>
      <c r="DI32" s="690" t="str">
        <f>IF(DF33="","","PK")</f>
        <v/>
      </c>
      <c r="DJ32" s="690"/>
      <c r="DK32" s="690"/>
      <c r="DL32" s="690"/>
      <c r="DM32" s="109"/>
      <c r="DN32" s="109"/>
      <c r="DO32" s="109"/>
      <c r="DP32" s="31"/>
      <c r="EC32" s="686"/>
      <c r="ED32" s="714"/>
      <c r="EE32" s="714"/>
      <c r="EF32" s="714"/>
      <c r="EG32" s="714"/>
      <c r="ET32" s="108"/>
    </row>
    <row r="33" spans="1:150" s="61" customFormat="1" ht="13.5" customHeight="1" x14ac:dyDescent="0.15">
      <c r="A33" s="104"/>
      <c r="D33" s="76"/>
      <c r="N33" s="703"/>
      <c r="O33" s="703"/>
      <c r="P33" s="703"/>
      <c r="Q33" s="703"/>
      <c r="R33" s="699"/>
      <c r="AI33" s="687"/>
      <c r="AJ33" s="687"/>
      <c r="AK33" s="687"/>
      <c r="AL33" s="687"/>
      <c r="AM33" s="618" t="str">
        <f>IF(AI33="","","－")</f>
        <v/>
      </c>
      <c r="AN33" s="618"/>
      <c r="AO33" s="688"/>
      <c r="AP33" s="688"/>
      <c r="AQ33" s="688"/>
      <c r="AR33" s="688"/>
      <c r="BI33" s="686"/>
      <c r="BJ33" s="714"/>
      <c r="BK33" s="714"/>
      <c r="BL33" s="714"/>
      <c r="BM33" s="714"/>
      <c r="CN33" s="703"/>
      <c r="CO33" s="703"/>
      <c r="CP33" s="703"/>
      <c r="CQ33" s="703"/>
      <c r="CR33" s="699"/>
      <c r="DF33" s="687"/>
      <c r="DG33" s="687"/>
      <c r="DH33" s="687"/>
      <c r="DI33" s="687"/>
      <c r="DJ33" s="618" t="str">
        <f>IF(DF33="","","－")</f>
        <v/>
      </c>
      <c r="DK33" s="618"/>
      <c r="DL33" s="688"/>
      <c r="DM33" s="688"/>
      <c r="DN33" s="688"/>
      <c r="DO33" s="688"/>
      <c r="DP33" s="31"/>
      <c r="EC33" s="686"/>
      <c r="ED33" s="714"/>
      <c r="EE33" s="714"/>
      <c r="EF33" s="714"/>
      <c r="EG33" s="714"/>
      <c r="ET33" s="64"/>
    </row>
    <row r="34" spans="1:150" s="114" customFormat="1" ht="13.5" customHeight="1" x14ac:dyDescent="0.15">
      <c r="A34" s="113"/>
      <c r="D34" s="115"/>
      <c r="R34" s="699"/>
      <c r="AI34" s="687"/>
      <c r="AJ34" s="687"/>
      <c r="AK34" s="687"/>
      <c r="AL34" s="687"/>
      <c r="AM34" s="618"/>
      <c r="AN34" s="618"/>
      <c r="AO34" s="688"/>
      <c r="AP34" s="688"/>
      <c r="AQ34" s="688"/>
      <c r="AR34" s="688"/>
      <c r="BI34" s="686"/>
      <c r="CR34" s="699"/>
      <c r="DF34" s="687"/>
      <c r="DG34" s="687"/>
      <c r="DH34" s="687"/>
      <c r="DI34" s="687"/>
      <c r="DJ34" s="618"/>
      <c r="DK34" s="618"/>
      <c r="DL34" s="688"/>
      <c r="DM34" s="688"/>
      <c r="DN34" s="688"/>
      <c r="DO34" s="688"/>
      <c r="DP34" s="31"/>
      <c r="EC34" s="686"/>
      <c r="ET34" s="116"/>
    </row>
    <row r="35" spans="1:150" s="61" customFormat="1" ht="13.5" customHeight="1" x14ac:dyDescent="0.15">
      <c r="A35" s="104"/>
      <c r="D35" s="76"/>
      <c r="N35" s="695" t="str">
        <f>IF(N38="","",SUM(N38:Q41))</f>
        <v/>
      </c>
      <c r="O35" s="695"/>
      <c r="P35" s="695"/>
      <c r="Q35" s="695"/>
      <c r="R35" s="699"/>
      <c r="T35" s="696" t="str">
        <f>IF(T38="","",SUM(T38:U41))</f>
        <v/>
      </c>
      <c r="U35" s="696"/>
      <c r="V35" s="696"/>
      <c r="W35" s="696"/>
      <c r="BD35" s="695" t="str">
        <f>IF(BD38="","",SUM(BD38:BG41))</f>
        <v/>
      </c>
      <c r="BE35" s="695"/>
      <c r="BF35" s="695"/>
      <c r="BG35" s="695"/>
      <c r="BI35" s="686"/>
      <c r="BJ35" s="696" t="str">
        <f>IF(BJ38="","",SUM(BJ38:BK41))</f>
        <v/>
      </c>
      <c r="BK35" s="696"/>
      <c r="BL35" s="696"/>
      <c r="BM35" s="696"/>
      <c r="CN35" s="695" t="str">
        <f>IF(CN38="","",SUM(CN38:CQ41))</f>
        <v/>
      </c>
      <c r="CO35" s="695"/>
      <c r="CP35" s="695"/>
      <c r="CQ35" s="695"/>
      <c r="CR35" s="699"/>
      <c r="CT35" s="696" t="str">
        <f>IF(CT38="","",SUM(CT38:CU41))</f>
        <v/>
      </c>
      <c r="CU35" s="696"/>
      <c r="CV35" s="696"/>
      <c r="CW35" s="696"/>
      <c r="DP35" s="31"/>
      <c r="DX35" s="695" t="str">
        <f>IF(DX38="","",SUM(DX38:EA41))</f>
        <v/>
      </c>
      <c r="DY35" s="695"/>
      <c r="DZ35" s="695"/>
      <c r="EA35" s="695"/>
      <c r="EC35" s="686"/>
      <c r="ED35" s="696" t="str">
        <f>IF(ED38="","",SUM(ED38:EE41))</f>
        <v/>
      </c>
      <c r="EE35" s="696"/>
      <c r="EF35" s="696"/>
      <c r="EG35" s="696"/>
      <c r="ET35" s="64"/>
    </row>
    <row r="36" spans="1:150" s="90" customFormat="1" ht="13.5" hidden="1" customHeight="1" x14ac:dyDescent="0.15">
      <c r="A36" s="107"/>
      <c r="D36" s="92"/>
      <c r="N36" s="698">
        <f>SUM(N38:Q43)</f>
        <v>0</v>
      </c>
      <c r="O36" s="698"/>
      <c r="P36" s="698"/>
      <c r="Q36" s="698"/>
      <c r="R36" s="699"/>
      <c r="T36" s="697">
        <f>SUM(T38:U43)</f>
        <v>0</v>
      </c>
      <c r="U36" s="697"/>
      <c r="V36" s="697"/>
      <c r="W36" s="697"/>
      <c r="BD36" s="698">
        <f>SUM(BD38:BG43)</f>
        <v>0</v>
      </c>
      <c r="BE36" s="698"/>
      <c r="BF36" s="698"/>
      <c r="BG36" s="698"/>
      <c r="BI36" s="686"/>
      <c r="BJ36" s="697">
        <f>SUM(BJ38:BK43)</f>
        <v>0</v>
      </c>
      <c r="BK36" s="697"/>
      <c r="BL36" s="697"/>
      <c r="BM36" s="697"/>
      <c r="CN36" s="698">
        <f>SUM(CN38:CQ43)</f>
        <v>0</v>
      </c>
      <c r="CO36" s="698"/>
      <c r="CP36" s="698"/>
      <c r="CQ36" s="698"/>
      <c r="CR36" s="699"/>
      <c r="CT36" s="697">
        <f>SUM(CT38:CU43)</f>
        <v>0</v>
      </c>
      <c r="CU36" s="697"/>
      <c r="CV36" s="697"/>
      <c r="CW36" s="697"/>
      <c r="DX36" s="698">
        <f>SUM(DX38:EA43)</f>
        <v>0</v>
      </c>
      <c r="DY36" s="698"/>
      <c r="DZ36" s="698"/>
      <c r="EA36" s="698"/>
      <c r="EC36" s="686"/>
      <c r="ED36" s="697">
        <f>SUM(ED38:EE43)</f>
        <v>0</v>
      </c>
      <c r="EE36" s="697"/>
      <c r="EF36" s="697"/>
      <c r="EG36" s="697"/>
      <c r="ET36" s="89"/>
    </row>
    <row r="37" spans="1:150" s="61" customFormat="1" ht="3.75" customHeight="1" thickBot="1" x14ac:dyDescent="0.2">
      <c r="A37" s="104"/>
      <c r="D37" s="76"/>
      <c r="H37" s="713"/>
      <c r="I37" s="713"/>
      <c r="J37" s="713"/>
      <c r="K37" s="713"/>
      <c r="L37" s="713"/>
      <c r="M37" s="713"/>
      <c r="N37" s="713"/>
      <c r="O37" s="713"/>
      <c r="P37" s="713"/>
      <c r="Q37" s="713"/>
      <c r="R37" s="700"/>
      <c r="S37" s="713"/>
      <c r="T37" s="713"/>
      <c r="U37" s="713"/>
      <c r="V37" s="713"/>
      <c r="W37" s="713"/>
      <c r="X37" s="713"/>
      <c r="Y37" s="713"/>
      <c r="Z37" s="713"/>
      <c r="AA37" s="713"/>
      <c r="AB37" s="713"/>
      <c r="AC37" s="713"/>
      <c r="AD37" s="713"/>
      <c r="AX37" s="713"/>
      <c r="AY37" s="713"/>
      <c r="AZ37" s="713"/>
      <c r="BA37" s="713"/>
      <c r="BB37" s="713"/>
      <c r="BC37" s="713"/>
      <c r="BD37" s="713"/>
      <c r="BE37" s="713"/>
      <c r="BF37" s="713"/>
      <c r="BG37" s="713"/>
      <c r="BH37" s="713"/>
      <c r="BI37" s="715"/>
      <c r="BJ37" s="713"/>
      <c r="BK37" s="713"/>
      <c r="BL37" s="713"/>
      <c r="BM37" s="713"/>
      <c r="BN37" s="713"/>
      <c r="BO37" s="713"/>
      <c r="BP37" s="713"/>
      <c r="BQ37" s="713"/>
      <c r="BR37" s="713"/>
      <c r="BS37" s="713"/>
      <c r="CH37" s="713"/>
      <c r="CI37" s="713"/>
      <c r="CJ37" s="713"/>
      <c r="CK37" s="713"/>
      <c r="CL37" s="713"/>
      <c r="CM37" s="713"/>
      <c r="CN37" s="713"/>
      <c r="CO37" s="713"/>
      <c r="CP37" s="713"/>
      <c r="CQ37" s="713"/>
      <c r="CR37" s="700"/>
      <c r="CS37" s="713"/>
      <c r="CT37" s="713"/>
      <c r="CU37" s="713"/>
      <c r="CV37" s="713"/>
      <c r="CW37" s="713"/>
      <c r="CX37" s="713"/>
      <c r="CY37" s="713"/>
      <c r="CZ37" s="713"/>
      <c r="DA37" s="713"/>
      <c r="DB37" s="713"/>
      <c r="DC37" s="713"/>
      <c r="DQ37" s="31"/>
      <c r="DR37" s="713"/>
      <c r="DS37" s="713"/>
      <c r="DT37" s="713"/>
      <c r="DU37" s="713"/>
      <c r="DV37" s="713"/>
      <c r="DW37" s="713"/>
      <c r="DX37" s="713"/>
      <c r="DY37" s="713"/>
      <c r="DZ37" s="713"/>
      <c r="EA37" s="713"/>
      <c r="EB37" s="700"/>
      <c r="EC37" s="715"/>
      <c r="ED37" s="713"/>
      <c r="EE37" s="713"/>
      <c r="EF37" s="713"/>
      <c r="EG37" s="713"/>
      <c r="EH37" s="713"/>
      <c r="EI37" s="713"/>
      <c r="EJ37" s="713"/>
      <c r="EK37" s="713"/>
      <c r="EL37" s="713"/>
      <c r="EM37" s="713"/>
      <c r="ET37" s="64"/>
    </row>
    <row r="38" spans="1:150" s="61" customFormat="1" ht="13.5" customHeight="1" thickTop="1" x14ac:dyDescent="0.15">
      <c r="A38" s="104"/>
      <c r="C38" s="703" t="str">
        <f>IF(C46=I46,"",IF(C46&gt;I46,B66,N48))</f>
        <v/>
      </c>
      <c r="D38" s="703"/>
      <c r="E38" s="703"/>
      <c r="F38" s="703"/>
      <c r="G38" s="699"/>
      <c r="N38" s="687"/>
      <c r="O38" s="687"/>
      <c r="P38" s="687"/>
      <c r="Q38" s="687"/>
      <c r="R38" s="634" t="s">
        <v>92</v>
      </c>
      <c r="S38" s="634"/>
      <c r="T38" s="688"/>
      <c r="U38" s="688"/>
      <c r="V38" s="688"/>
      <c r="W38" s="688"/>
      <c r="AE38" s="686"/>
      <c r="AF38" s="714" t="str">
        <f>IF(Z46=AF46,"",IF(Z46&gt;AF46,T48,AL48))</f>
        <v/>
      </c>
      <c r="AG38" s="714"/>
      <c r="AH38" s="714"/>
      <c r="AI38" s="714"/>
      <c r="AS38" s="703" t="str">
        <f>IF(AS46=AY46,"",IF(AS46&gt;AY46,AR66,BD48))</f>
        <v/>
      </c>
      <c r="AT38" s="703"/>
      <c r="AU38" s="703"/>
      <c r="AV38" s="703"/>
      <c r="AW38" s="699"/>
      <c r="BD38" s="687"/>
      <c r="BE38" s="687"/>
      <c r="BF38" s="687"/>
      <c r="BG38" s="687"/>
      <c r="BH38" s="634" t="s">
        <v>92</v>
      </c>
      <c r="BI38" s="634"/>
      <c r="BJ38" s="688"/>
      <c r="BK38" s="688"/>
      <c r="BL38" s="688"/>
      <c r="BM38" s="688"/>
      <c r="BT38" s="686"/>
      <c r="BU38" s="714" t="str">
        <f>IF(BO46=BU46,"",IF(BO46&gt;BU46,BJ48,BV66))</f>
        <v/>
      </c>
      <c r="BV38" s="714"/>
      <c r="BW38" s="714"/>
      <c r="BX38" s="714"/>
      <c r="CC38" s="703" t="str">
        <f>IF(CC46=CI46,"",IF(CC46&gt;CI46,CB66,CN48))</f>
        <v/>
      </c>
      <c r="CD38" s="703"/>
      <c r="CE38" s="703"/>
      <c r="CF38" s="703"/>
      <c r="CG38" s="699"/>
      <c r="CN38" s="687"/>
      <c r="CO38" s="687"/>
      <c r="CP38" s="687"/>
      <c r="CQ38" s="687"/>
      <c r="CR38" s="634" t="s">
        <v>92</v>
      </c>
      <c r="CS38" s="634"/>
      <c r="CT38" s="688"/>
      <c r="CU38" s="688"/>
      <c r="CV38" s="688"/>
      <c r="CW38" s="688"/>
      <c r="DD38" s="686"/>
      <c r="DE38" s="714" t="str">
        <f>IF(CY46=DE46,"",IF(CY46&gt;DE46,CT48,DF66))</f>
        <v/>
      </c>
      <c r="DF38" s="714"/>
      <c r="DG38" s="714"/>
      <c r="DH38" s="714"/>
      <c r="DM38" s="703" t="str">
        <f>IF(DM46=DS46,"",IF(DM46&gt;DS46,DL66,DX48))</f>
        <v/>
      </c>
      <c r="DN38" s="703"/>
      <c r="DO38" s="703"/>
      <c r="DP38" s="703"/>
      <c r="DQ38" s="699"/>
      <c r="DR38" s="245"/>
      <c r="DS38" s="246"/>
      <c r="DT38" s="246"/>
      <c r="DU38" s="246"/>
      <c r="DV38" s="246"/>
      <c r="DW38" s="246"/>
      <c r="DX38" s="716"/>
      <c r="DY38" s="716"/>
      <c r="DZ38" s="716"/>
      <c r="EA38" s="716"/>
      <c r="EB38" s="717" t="s">
        <v>92</v>
      </c>
      <c r="EC38" s="717"/>
      <c r="ED38" s="718"/>
      <c r="EE38" s="718"/>
      <c r="EF38" s="718"/>
      <c r="EG38" s="718"/>
      <c r="EH38" s="246"/>
      <c r="EI38" s="246"/>
      <c r="EJ38" s="246"/>
      <c r="EK38" s="246"/>
      <c r="EL38" s="246"/>
      <c r="EM38" s="247"/>
      <c r="EN38" s="686"/>
      <c r="EO38" s="714" t="str">
        <f>IF(EI46=EO46,"",IF(EI46&gt;EO46,ED48,EP66))</f>
        <v/>
      </c>
      <c r="EP38" s="714"/>
      <c r="EQ38" s="714"/>
      <c r="ER38" s="714"/>
      <c r="ET38" s="64"/>
    </row>
    <row r="39" spans="1:150" s="61" customFormat="1" ht="13.5" customHeight="1" x14ac:dyDescent="0.15">
      <c r="A39" s="104"/>
      <c r="C39" s="703"/>
      <c r="D39" s="703"/>
      <c r="E39" s="703"/>
      <c r="F39" s="703"/>
      <c r="G39" s="699"/>
      <c r="N39" s="687"/>
      <c r="O39" s="687"/>
      <c r="P39" s="687"/>
      <c r="Q39" s="687"/>
      <c r="R39" s="634" t="s">
        <v>92</v>
      </c>
      <c r="S39" s="634"/>
      <c r="T39" s="688"/>
      <c r="U39" s="688"/>
      <c r="V39" s="688"/>
      <c r="W39" s="688"/>
      <c r="AE39" s="686"/>
      <c r="AF39" s="714"/>
      <c r="AG39" s="714"/>
      <c r="AH39" s="714"/>
      <c r="AI39" s="714"/>
      <c r="AS39" s="703"/>
      <c r="AT39" s="703"/>
      <c r="AU39" s="703"/>
      <c r="AV39" s="703"/>
      <c r="AW39" s="699"/>
      <c r="BD39" s="687"/>
      <c r="BE39" s="687"/>
      <c r="BF39" s="687"/>
      <c r="BG39" s="687"/>
      <c r="BH39" s="634" t="s">
        <v>92</v>
      </c>
      <c r="BI39" s="634"/>
      <c r="BJ39" s="688"/>
      <c r="BK39" s="688"/>
      <c r="BL39" s="688"/>
      <c r="BM39" s="688"/>
      <c r="BT39" s="686"/>
      <c r="BU39" s="714"/>
      <c r="BV39" s="714"/>
      <c r="BW39" s="714"/>
      <c r="BX39" s="714"/>
      <c r="CC39" s="703"/>
      <c r="CD39" s="703"/>
      <c r="CE39" s="703"/>
      <c r="CF39" s="703"/>
      <c r="CG39" s="699"/>
      <c r="CN39" s="687"/>
      <c r="CO39" s="687"/>
      <c r="CP39" s="687"/>
      <c r="CQ39" s="687"/>
      <c r="CR39" s="634" t="s">
        <v>92</v>
      </c>
      <c r="CS39" s="634"/>
      <c r="CT39" s="688"/>
      <c r="CU39" s="688"/>
      <c r="CV39" s="688"/>
      <c r="CW39" s="688"/>
      <c r="DD39" s="686"/>
      <c r="DE39" s="714"/>
      <c r="DF39" s="714"/>
      <c r="DG39" s="714"/>
      <c r="DH39" s="714"/>
      <c r="DM39" s="703"/>
      <c r="DN39" s="703"/>
      <c r="DO39" s="703"/>
      <c r="DP39" s="703"/>
      <c r="DQ39" s="699"/>
      <c r="DR39" s="217"/>
      <c r="DX39" s="687"/>
      <c r="DY39" s="687"/>
      <c r="DZ39" s="687"/>
      <c r="EA39" s="687"/>
      <c r="EB39" s="634" t="s">
        <v>92</v>
      </c>
      <c r="EC39" s="634"/>
      <c r="ED39" s="688"/>
      <c r="EE39" s="688"/>
      <c r="EF39" s="688"/>
      <c r="EG39" s="688"/>
      <c r="EM39" s="216"/>
      <c r="EN39" s="686"/>
      <c r="EO39" s="714"/>
      <c r="EP39" s="714"/>
      <c r="EQ39" s="714"/>
      <c r="ER39" s="714"/>
      <c r="ET39" s="64"/>
    </row>
    <row r="40" spans="1:150" s="61" customFormat="1" ht="13.5" customHeight="1" x14ac:dyDescent="0.15">
      <c r="A40" s="104"/>
      <c r="C40" s="703"/>
      <c r="D40" s="703"/>
      <c r="E40" s="703"/>
      <c r="F40" s="703"/>
      <c r="G40" s="699"/>
      <c r="N40" s="687"/>
      <c r="O40" s="687"/>
      <c r="P40" s="687"/>
      <c r="Q40" s="687"/>
      <c r="R40" s="618" t="str">
        <f>IF(N40="","","－")</f>
        <v/>
      </c>
      <c r="S40" s="618"/>
      <c r="T40" s="688"/>
      <c r="U40" s="688"/>
      <c r="V40" s="688"/>
      <c r="W40" s="688"/>
      <c r="AE40" s="686"/>
      <c r="AF40" s="714"/>
      <c r="AG40" s="714"/>
      <c r="AH40" s="714"/>
      <c r="AI40" s="714"/>
      <c r="AS40" s="703"/>
      <c r="AT40" s="703"/>
      <c r="AU40" s="703"/>
      <c r="AV40" s="703"/>
      <c r="AW40" s="699"/>
      <c r="BD40" s="687"/>
      <c r="BE40" s="687"/>
      <c r="BF40" s="687"/>
      <c r="BG40" s="687"/>
      <c r="BH40" s="618" t="str">
        <f>IF(BD40="","","－")</f>
        <v/>
      </c>
      <c r="BI40" s="618"/>
      <c r="BJ40" s="688"/>
      <c r="BK40" s="688"/>
      <c r="BL40" s="688"/>
      <c r="BM40" s="688"/>
      <c r="BT40" s="686"/>
      <c r="BU40" s="714"/>
      <c r="BV40" s="714"/>
      <c r="BW40" s="714"/>
      <c r="BX40" s="714"/>
      <c r="CC40" s="703"/>
      <c r="CD40" s="703"/>
      <c r="CE40" s="703"/>
      <c r="CF40" s="703"/>
      <c r="CG40" s="699"/>
      <c r="CN40" s="687"/>
      <c r="CO40" s="687"/>
      <c r="CP40" s="687"/>
      <c r="CQ40" s="687"/>
      <c r="CR40" s="618" t="str">
        <f>IF(CN40="","","－")</f>
        <v/>
      </c>
      <c r="CS40" s="618"/>
      <c r="CT40" s="688"/>
      <c r="CU40" s="688"/>
      <c r="CV40" s="688"/>
      <c r="CW40" s="688"/>
      <c r="DD40" s="686"/>
      <c r="DE40" s="714"/>
      <c r="DF40" s="714"/>
      <c r="DG40" s="714"/>
      <c r="DH40" s="714"/>
      <c r="DM40" s="703"/>
      <c r="DN40" s="703"/>
      <c r="DO40" s="703"/>
      <c r="DP40" s="703"/>
      <c r="DQ40" s="699"/>
      <c r="DX40" s="687"/>
      <c r="DY40" s="687"/>
      <c r="DZ40" s="687"/>
      <c r="EA40" s="687"/>
      <c r="EB40" s="618" t="str">
        <f>IF(DX40="","","－")</f>
        <v/>
      </c>
      <c r="EC40" s="618"/>
      <c r="ED40" s="688"/>
      <c r="EE40" s="688"/>
      <c r="EF40" s="688"/>
      <c r="EG40" s="688"/>
      <c r="EN40" s="686"/>
      <c r="EO40" s="714"/>
      <c r="EP40" s="714"/>
      <c r="EQ40" s="714"/>
      <c r="ER40" s="714"/>
      <c r="ET40" s="64"/>
    </row>
    <row r="41" spans="1:150" s="61" customFormat="1" ht="13.5" customHeight="1" x14ac:dyDescent="0.15">
      <c r="A41" s="104"/>
      <c r="C41" s="703"/>
      <c r="D41" s="703"/>
      <c r="E41" s="703"/>
      <c r="F41" s="703"/>
      <c r="G41" s="699"/>
      <c r="N41" s="687"/>
      <c r="O41" s="687"/>
      <c r="P41" s="687"/>
      <c r="Q41" s="687"/>
      <c r="R41" s="618" t="str">
        <f>IF(N41="","","－")</f>
        <v/>
      </c>
      <c r="S41" s="618"/>
      <c r="T41" s="688"/>
      <c r="U41" s="688"/>
      <c r="V41" s="688"/>
      <c r="W41" s="688"/>
      <c r="AE41" s="686"/>
      <c r="AF41" s="714"/>
      <c r="AG41" s="714"/>
      <c r="AH41" s="714"/>
      <c r="AI41" s="714"/>
      <c r="AS41" s="703"/>
      <c r="AT41" s="703"/>
      <c r="AU41" s="703"/>
      <c r="AV41" s="703"/>
      <c r="AW41" s="699"/>
      <c r="BD41" s="687"/>
      <c r="BE41" s="687"/>
      <c r="BF41" s="687"/>
      <c r="BG41" s="687"/>
      <c r="BH41" s="618" t="str">
        <f>IF(BD41="","","－")</f>
        <v/>
      </c>
      <c r="BI41" s="618"/>
      <c r="BJ41" s="688"/>
      <c r="BK41" s="688"/>
      <c r="BL41" s="688"/>
      <c r="BM41" s="688"/>
      <c r="BT41" s="686"/>
      <c r="BU41" s="714"/>
      <c r="BV41" s="714"/>
      <c r="BW41" s="714"/>
      <c r="BX41" s="714"/>
      <c r="CC41" s="703"/>
      <c r="CD41" s="703"/>
      <c r="CE41" s="703"/>
      <c r="CF41" s="703"/>
      <c r="CG41" s="699"/>
      <c r="CN41" s="687"/>
      <c r="CO41" s="687"/>
      <c r="CP41" s="687"/>
      <c r="CQ41" s="687"/>
      <c r="CR41" s="618" t="str">
        <f>IF(CN41="","","－")</f>
        <v/>
      </c>
      <c r="CS41" s="618"/>
      <c r="CT41" s="688"/>
      <c r="CU41" s="688"/>
      <c r="CV41" s="688"/>
      <c r="CW41" s="688"/>
      <c r="DD41" s="686"/>
      <c r="DE41" s="714"/>
      <c r="DF41" s="714"/>
      <c r="DG41" s="714"/>
      <c r="DH41" s="714"/>
      <c r="DM41" s="703"/>
      <c r="DN41" s="703"/>
      <c r="DO41" s="703"/>
      <c r="DP41" s="703"/>
      <c r="DQ41" s="699"/>
      <c r="DX41" s="687"/>
      <c r="DY41" s="687"/>
      <c r="DZ41" s="687"/>
      <c r="EA41" s="687"/>
      <c r="EB41" s="618" t="str">
        <f>IF(DX41="","","－")</f>
        <v/>
      </c>
      <c r="EC41" s="618"/>
      <c r="ED41" s="688"/>
      <c r="EE41" s="688"/>
      <c r="EF41" s="688"/>
      <c r="EG41" s="688"/>
      <c r="EN41" s="686"/>
      <c r="EO41" s="714"/>
      <c r="EP41" s="714"/>
      <c r="EQ41" s="714"/>
      <c r="ER41" s="714"/>
      <c r="ET41" s="64"/>
    </row>
    <row r="42" spans="1:150" s="111" customFormat="1" ht="13.5" customHeight="1" x14ac:dyDescent="0.2">
      <c r="A42" s="110"/>
      <c r="C42" s="703"/>
      <c r="D42" s="703"/>
      <c r="E42" s="703"/>
      <c r="F42" s="703"/>
      <c r="G42" s="699"/>
      <c r="N42" s="108"/>
      <c r="O42" s="108"/>
      <c r="P42" s="108"/>
      <c r="Q42" s="690" t="str">
        <f>IF(N43="","","PK")</f>
        <v/>
      </c>
      <c r="R42" s="690"/>
      <c r="S42" s="690"/>
      <c r="T42" s="690"/>
      <c r="U42" s="109"/>
      <c r="V42" s="109"/>
      <c r="W42" s="109"/>
      <c r="AE42" s="686"/>
      <c r="AF42" s="714"/>
      <c r="AG42" s="714"/>
      <c r="AH42" s="714"/>
      <c r="AI42" s="714"/>
      <c r="AS42" s="703"/>
      <c r="AT42" s="703"/>
      <c r="AU42" s="703"/>
      <c r="AV42" s="703"/>
      <c r="AW42" s="699"/>
      <c r="BD42" s="108"/>
      <c r="BE42" s="108"/>
      <c r="BF42" s="108"/>
      <c r="BG42" s="690" t="str">
        <f>IF(BD43="","","PK")</f>
        <v/>
      </c>
      <c r="BH42" s="690"/>
      <c r="BI42" s="690"/>
      <c r="BJ42" s="690"/>
      <c r="BK42" s="109"/>
      <c r="BL42" s="109"/>
      <c r="BM42" s="109"/>
      <c r="BT42" s="686"/>
      <c r="BU42" s="714"/>
      <c r="BV42" s="714"/>
      <c r="BW42" s="714"/>
      <c r="BX42" s="714"/>
      <c r="CC42" s="703"/>
      <c r="CD42" s="703"/>
      <c r="CE42" s="703"/>
      <c r="CF42" s="703"/>
      <c r="CG42" s="699"/>
      <c r="CN42" s="108"/>
      <c r="CO42" s="108"/>
      <c r="CP42" s="108"/>
      <c r="CQ42" s="690" t="str">
        <f>IF(CN43="","","PK")</f>
        <v/>
      </c>
      <c r="CR42" s="690"/>
      <c r="CS42" s="690"/>
      <c r="CT42" s="690"/>
      <c r="CU42" s="109"/>
      <c r="CV42" s="109"/>
      <c r="CW42" s="109"/>
      <c r="DD42" s="686"/>
      <c r="DE42" s="714"/>
      <c r="DF42" s="714"/>
      <c r="DG42" s="714"/>
      <c r="DH42" s="714"/>
      <c r="DM42" s="703"/>
      <c r="DN42" s="703"/>
      <c r="DO42" s="703"/>
      <c r="DP42" s="703"/>
      <c r="DQ42" s="699"/>
      <c r="DX42" s="108"/>
      <c r="DY42" s="108"/>
      <c r="DZ42" s="108"/>
      <c r="EA42" s="690" t="str">
        <f>IF(DX43="","","PK")</f>
        <v/>
      </c>
      <c r="EB42" s="690"/>
      <c r="EC42" s="690"/>
      <c r="ED42" s="690"/>
      <c r="EE42" s="109"/>
      <c r="EF42" s="109"/>
      <c r="EG42" s="109"/>
      <c r="EN42" s="686"/>
      <c r="EO42" s="714"/>
      <c r="EP42" s="714"/>
      <c r="EQ42" s="714"/>
      <c r="ER42" s="714"/>
      <c r="ET42" s="108"/>
    </row>
    <row r="43" spans="1:150" s="61" customFormat="1" ht="13.5" customHeight="1" x14ac:dyDescent="0.15">
      <c r="A43" s="104"/>
      <c r="C43" s="703"/>
      <c r="D43" s="703"/>
      <c r="E43" s="703"/>
      <c r="F43" s="703"/>
      <c r="G43" s="699"/>
      <c r="N43" s="687"/>
      <c r="O43" s="687"/>
      <c r="P43" s="687"/>
      <c r="Q43" s="687"/>
      <c r="R43" s="618" t="str">
        <f>IF(N43="","","－")</f>
        <v/>
      </c>
      <c r="S43" s="618"/>
      <c r="T43" s="688"/>
      <c r="U43" s="688"/>
      <c r="V43" s="688"/>
      <c r="W43" s="688"/>
      <c r="AE43" s="686"/>
      <c r="AF43" s="714"/>
      <c r="AG43" s="714"/>
      <c r="AH43" s="714"/>
      <c r="AI43" s="714"/>
      <c r="AS43" s="703"/>
      <c r="AT43" s="703"/>
      <c r="AU43" s="703"/>
      <c r="AV43" s="703"/>
      <c r="AW43" s="699"/>
      <c r="BD43" s="687"/>
      <c r="BE43" s="687"/>
      <c r="BF43" s="687"/>
      <c r="BG43" s="687"/>
      <c r="BH43" s="618" t="str">
        <f>IF(BD43="","","－")</f>
        <v/>
      </c>
      <c r="BI43" s="618"/>
      <c r="BJ43" s="688"/>
      <c r="BK43" s="688"/>
      <c r="BL43" s="688"/>
      <c r="BM43" s="688"/>
      <c r="BT43" s="686"/>
      <c r="BU43" s="714"/>
      <c r="BV43" s="714"/>
      <c r="BW43" s="714"/>
      <c r="BX43" s="714"/>
      <c r="CC43" s="703"/>
      <c r="CD43" s="703"/>
      <c r="CE43" s="703"/>
      <c r="CF43" s="703"/>
      <c r="CG43" s="699"/>
      <c r="CN43" s="687"/>
      <c r="CO43" s="687"/>
      <c r="CP43" s="687"/>
      <c r="CQ43" s="687"/>
      <c r="CR43" s="618" t="str">
        <f>IF(CN43="","","－")</f>
        <v/>
      </c>
      <c r="CS43" s="618"/>
      <c r="CT43" s="688"/>
      <c r="CU43" s="688"/>
      <c r="CV43" s="688"/>
      <c r="CW43" s="688"/>
      <c r="DD43" s="686"/>
      <c r="DE43" s="714"/>
      <c r="DF43" s="714"/>
      <c r="DG43" s="714"/>
      <c r="DH43" s="714"/>
      <c r="DM43" s="703"/>
      <c r="DN43" s="703"/>
      <c r="DO43" s="703"/>
      <c r="DP43" s="703"/>
      <c r="DQ43" s="699"/>
      <c r="DX43" s="687"/>
      <c r="DY43" s="687"/>
      <c r="DZ43" s="687"/>
      <c r="EA43" s="687"/>
      <c r="EB43" s="618" t="str">
        <f>IF(DX43="","","－")</f>
        <v/>
      </c>
      <c r="EC43" s="618"/>
      <c r="ED43" s="688"/>
      <c r="EE43" s="688"/>
      <c r="EF43" s="688"/>
      <c r="EG43" s="688"/>
      <c r="EN43" s="686"/>
      <c r="EO43" s="714"/>
      <c r="EP43" s="714"/>
      <c r="EQ43" s="714"/>
      <c r="ER43" s="714"/>
      <c r="ET43" s="64"/>
    </row>
    <row r="44" spans="1:150" s="114" customFormat="1" ht="13.5" customHeight="1" x14ac:dyDescent="0.15">
      <c r="A44" s="113"/>
      <c r="D44" s="115"/>
      <c r="G44" s="699"/>
      <c r="Q44" s="689" t="str">
        <f>IF(N43="","","PK")</f>
        <v/>
      </c>
      <c r="R44" s="689"/>
      <c r="S44" s="689"/>
      <c r="T44" s="689"/>
      <c r="AE44" s="686"/>
      <c r="AW44" s="699"/>
      <c r="BG44" s="689" t="str">
        <f>IF(BD43="","","PK")</f>
        <v/>
      </c>
      <c r="BH44" s="689"/>
      <c r="BI44" s="689"/>
      <c r="BJ44" s="689"/>
      <c r="BT44" s="686"/>
      <c r="CG44" s="699"/>
      <c r="CQ44" s="689" t="str">
        <f>IF(CN43="","","PK")</f>
        <v/>
      </c>
      <c r="CR44" s="689"/>
      <c r="CS44" s="689"/>
      <c r="CT44" s="689"/>
      <c r="DD44" s="686"/>
      <c r="DQ44" s="699"/>
      <c r="EA44" s="689" t="str">
        <f>IF(DX43="","","PK")</f>
        <v/>
      </c>
      <c r="EB44" s="689"/>
      <c r="EC44" s="689"/>
      <c r="ED44" s="689"/>
      <c r="EN44" s="686"/>
      <c r="ET44" s="116"/>
    </row>
    <row r="45" spans="1:150" s="61" customFormat="1" ht="13.5" customHeight="1" x14ac:dyDescent="0.15">
      <c r="A45" s="104"/>
      <c r="C45" s="695" t="str">
        <f>IF(D48="","",SUM(D48:F51))</f>
        <v/>
      </c>
      <c r="D45" s="695"/>
      <c r="E45" s="695"/>
      <c r="F45" s="695"/>
      <c r="G45" s="699"/>
      <c r="I45" s="696" t="str">
        <f>IF(I48="","",SUM(I48:J51))</f>
        <v/>
      </c>
      <c r="J45" s="696"/>
      <c r="K45" s="696"/>
      <c r="L45" s="696"/>
      <c r="Z45" s="695" t="str">
        <f>IF(Z48="","",SUM(Z48:AC51))</f>
        <v/>
      </c>
      <c r="AA45" s="695"/>
      <c r="AB45" s="695"/>
      <c r="AC45" s="695"/>
      <c r="AE45" s="686"/>
      <c r="AF45" s="696" t="str">
        <f>IF(AF48="","",SUM(AF48:AG51))</f>
        <v/>
      </c>
      <c r="AG45" s="696"/>
      <c r="AH45" s="696"/>
      <c r="AI45" s="696"/>
      <c r="AS45" s="695" t="str">
        <f>IF(AT48="","",SUM(AT48:AV51))</f>
        <v/>
      </c>
      <c r="AT45" s="695"/>
      <c r="AU45" s="695"/>
      <c r="AV45" s="695"/>
      <c r="AW45" s="699"/>
      <c r="AY45" s="696" t="str">
        <f>IF(AY48="","",SUM(AY48:BB51))</f>
        <v/>
      </c>
      <c r="AZ45" s="696"/>
      <c r="BA45" s="696"/>
      <c r="BB45" s="696"/>
      <c r="BO45" s="695" t="str">
        <f>IF(BO48="","",SUM(BO48:BR51))</f>
        <v/>
      </c>
      <c r="BP45" s="695"/>
      <c r="BQ45" s="695"/>
      <c r="BR45" s="695"/>
      <c r="BT45" s="686"/>
      <c r="BU45" s="696" t="str">
        <f>IF(BU48="","",SUM(BU48:BW51))</f>
        <v/>
      </c>
      <c r="BV45" s="696"/>
      <c r="BW45" s="696"/>
      <c r="BX45" s="696"/>
      <c r="CC45" s="695" t="str">
        <f>IF(CD48="","",SUM(CD48:CF51))</f>
        <v/>
      </c>
      <c r="CD45" s="695"/>
      <c r="CE45" s="695"/>
      <c r="CF45" s="695"/>
      <c r="CG45" s="699"/>
      <c r="CI45" s="696" t="str">
        <f>IF(CI48="","",SUM(CI48:CL51))</f>
        <v/>
      </c>
      <c r="CJ45" s="696"/>
      <c r="CK45" s="696"/>
      <c r="CL45" s="696"/>
      <c r="CY45" s="695" t="str">
        <f>IF(CY48="","",SUM(CY48:DB51))</f>
        <v/>
      </c>
      <c r="CZ45" s="695"/>
      <c r="DA45" s="695"/>
      <c r="DB45" s="695"/>
      <c r="DD45" s="686"/>
      <c r="DE45" s="696" t="str">
        <f>IF(DE48="","",SUM(DE48:DG51))</f>
        <v/>
      </c>
      <c r="DF45" s="696"/>
      <c r="DG45" s="696"/>
      <c r="DH45" s="696"/>
      <c r="DM45" s="695" t="str">
        <f>IF(DN48="","",SUM(DN48:DP51))</f>
        <v/>
      </c>
      <c r="DN45" s="695"/>
      <c r="DO45" s="695"/>
      <c r="DP45" s="695"/>
      <c r="DQ45" s="699"/>
      <c r="DS45" s="696" t="str">
        <f>IF(DS48="","",SUM(DS48:DV51))</f>
        <v/>
      </c>
      <c r="DT45" s="696"/>
      <c r="DU45" s="696"/>
      <c r="DV45" s="696"/>
      <c r="EI45" s="695" t="str">
        <f>IF(EI48="","",SUM(EI48:EL51))</f>
        <v/>
      </c>
      <c r="EJ45" s="695"/>
      <c r="EK45" s="695"/>
      <c r="EL45" s="695"/>
      <c r="EN45" s="686"/>
      <c r="EO45" s="696" t="str">
        <f>IF(EO48="","",SUM(EO48:EQ51))</f>
        <v/>
      </c>
      <c r="EP45" s="696"/>
      <c r="EQ45" s="696"/>
      <c r="ER45" s="696"/>
      <c r="ET45" s="64"/>
    </row>
    <row r="46" spans="1:150" s="90" customFormat="1" ht="13.5" hidden="1" customHeight="1" x14ac:dyDescent="0.15">
      <c r="A46" s="107"/>
      <c r="C46" s="698">
        <f>SUM(D48:F53)</f>
        <v>0</v>
      </c>
      <c r="D46" s="698"/>
      <c r="E46" s="698"/>
      <c r="F46" s="698"/>
      <c r="G46" s="699"/>
      <c r="I46" s="697">
        <f>SUM(I48:J53)</f>
        <v>0</v>
      </c>
      <c r="J46" s="697"/>
      <c r="K46" s="697"/>
      <c r="L46" s="697"/>
      <c r="Z46" s="698">
        <f>SUM(Z48:AC53)</f>
        <v>0</v>
      </c>
      <c r="AA46" s="698"/>
      <c r="AB46" s="698"/>
      <c r="AC46" s="698"/>
      <c r="AE46" s="686"/>
      <c r="AF46" s="697">
        <f>SUM(AF48:AG53)</f>
        <v>0</v>
      </c>
      <c r="AG46" s="697"/>
      <c r="AH46" s="697"/>
      <c r="AI46" s="697"/>
      <c r="AS46" s="698">
        <f>SUM(AS48:AV53)</f>
        <v>0</v>
      </c>
      <c r="AT46" s="698"/>
      <c r="AU46" s="698"/>
      <c r="AV46" s="698"/>
      <c r="AW46" s="699"/>
      <c r="AY46" s="697">
        <f>SUM(AY48:AZ53)</f>
        <v>0</v>
      </c>
      <c r="AZ46" s="697"/>
      <c r="BA46" s="697"/>
      <c r="BB46" s="697"/>
      <c r="BO46" s="698">
        <f>SUM(BO48:BR53)</f>
        <v>0</v>
      </c>
      <c r="BP46" s="698"/>
      <c r="BQ46" s="698"/>
      <c r="BR46" s="698"/>
      <c r="BT46" s="686"/>
      <c r="BU46" s="697">
        <f>SUM(BU48:BW53)</f>
        <v>0</v>
      </c>
      <c r="BV46" s="697"/>
      <c r="BW46" s="697"/>
      <c r="BX46" s="697"/>
      <c r="CC46" s="698">
        <f>SUM(CC48:CF53)</f>
        <v>0</v>
      </c>
      <c r="CD46" s="698"/>
      <c r="CE46" s="698"/>
      <c r="CF46" s="698"/>
      <c r="CG46" s="699"/>
      <c r="CI46" s="697">
        <f>SUM(CI48:CL53)</f>
        <v>0</v>
      </c>
      <c r="CJ46" s="697"/>
      <c r="CK46" s="697"/>
      <c r="CL46" s="697"/>
      <c r="CY46" s="698">
        <f>SUM(CY48:DB53)</f>
        <v>0</v>
      </c>
      <c r="CZ46" s="698"/>
      <c r="DA46" s="698"/>
      <c r="DB46" s="698"/>
      <c r="DD46" s="686"/>
      <c r="DE46" s="697">
        <f>SUM(DE48:DG53)</f>
        <v>0</v>
      </c>
      <c r="DF46" s="697"/>
      <c r="DG46" s="697"/>
      <c r="DH46" s="697"/>
      <c r="DM46" s="698">
        <f>SUM(DM48:DP53)</f>
        <v>0</v>
      </c>
      <c r="DN46" s="698"/>
      <c r="DO46" s="698"/>
      <c r="DP46" s="698"/>
      <c r="DQ46" s="699"/>
      <c r="DS46" s="697">
        <f>SUM(DS48:DT53)</f>
        <v>0</v>
      </c>
      <c r="DT46" s="697"/>
      <c r="DU46" s="697"/>
      <c r="DV46" s="697"/>
      <c r="EI46" s="698">
        <f>SUM(EI48:EL53)</f>
        <v>0</v>
      </c>
      <c r="EJ46" s="698"/>
      <c r="EK46" s="698"/>
      <c r="EL46" s="698"/>
      <c r="EN46" s="686"/>
      <c r="EO46" s="697">
        <f>SUM(EO48:EQ53)</f>
        <v>0</v>
      </c>
      <c r="EP46" s="697"/>
      <c r="EQ46" s="697"/>
      <c r="ER46" s="697"/>
      <c r="ET46" s="89"/>
    </row>
    <row r="47" spans="1:150" s="61" customFormat="1" ht="3.75" customHeight="1" thickBot="1" x14ac:dyDescent="0.2">
      <c r="A47" s="104"/>
      <c r="D47" s="713"/>
      <c r="E47" s="713"/>
      <c r="F47" s="713"/>
      <c r="G47" s="700"/>
      <c r="H47" s="713"/>
      <c r="I47" s="713"/>
      <c r="J47" s="713"/>
      <c r="K47" s="713"/>
      <c r="L47" s="713"/>
      <c r="Y47" s="713"/>
      <c r="Z47" s="713"/>
      <c r="AA47" s="713"/>
      <c r="AB47" s="713"/>
      <c r="AC47" s="713"/>
      <c r="AD47" s="713"/>
      <c r="AE47" s="715"/>
      <c r="AF47" s="713"/>
      <c r="AG47" s="713"/>
      <c r="AH47" s="713"/>
      <c r="AI47" s="713"/>
      <c r="AJ47" s="713"/>
      <c r="AT47" s="713"/>
      <c r="AU47" s="713"/>
      <c r="AV47" s="713"/>
      <c r="AW47" s="700"/>
      <c r="AX47" s="713"/>
      <c r="AY47" s="713"/>
      <c r="AZ47" s="713"/>
      <c r="BA47" s="713"/>
      <c r="BB47" s="713"/>
      <c r="BO47" s="713"/>
      <c r="BP47" s="713"/>
      <c r="BQ47" s="713"/>
      <c r="BR47" s="713"/>
      <c r="BS47" s="713"/>
      <c r="BT47" s="715"/>
      <c r="BU47" s="713"/>
      <c r="BV47" s="713"/>
      <c r="BW47" s="713"/>
      <c r="CD47" s="713"/>
      <c r="CE47" s="713"/>
      <c r="CF47" s="713"/>
      <c r="CG47" s="700"/>
      <c r="CH47" s="713"/>
      <c r="CI47" s="713"/>
      <c r="CJ47" s="713"/>
      <c r="CK47" s="713"/>
      <c r="CL47" s="713"/>
      <c r="CY47" s="713"/>
      <c r="CZ47" s="713"/>
      <c r="DA47" s="713"/>
      <c r="DB47" s="713"/>
      <c r="DC47" s="713"/>
      <c r="DD47" s="715"/>
      <c r="DE47" s="713"/>
      <c r="DF47" s="713"/>
      <c r="DG47" s="713"/>
      <c r="DN47" s="713"/>
      <c r="DO47" s="713"/>
      <c r="DP47" s="713"/>
      <c r="DQ47" s="700"/>
      <c r="DR47" s="713"/>
      <c r="DS47" s="713"/>
      <c r="DT47" s="713"/>
      <c r="DU47" s="713"/>
      <c r="DV47" s="713"/>
      <c r="EI47" s="713"/>
      <c r="EJ47" s="713"/>
      <c r="EK47" s="713"/>
      <c r="EL47" s="713"/>
      <c r="EM47" s="713"/>
      <c r="EN47" s="715"/>
      <c r="EO47" s="713"/>
      <c r="EP47" s="713"/>
      <c r="EQ47" s="713"/>
      <c r="ET47" s="64"/>
    </row>
    <row r="48" spans="1:150" s="61" customFormat="1" ht="13.5" customHeight="1" thickTop="1" x14ac:dyDescent="0.15">
      <c r="A48" s="104"/>
      <c r="C48" s="699"/>
      <c r="D48" s="614"/>
      <c r="E48" s="614"/>
      <c r="F48" s="614"/>
      <c r="G48" s="634" t="s">
        <v>92</v>
      </c>
      <c r="H48" s="634"/>
      <c r="I48" s="688"/>
      <c r="J48" s="688"/>
      <c r="K48" s="688"/>
      <c r="L48" s="688"/>
      <c r="M48" s="686"/>
      <c r="N48" s="714" t="str">
        <f>IF(H56=N56,"",IF(H56&gt;N56,H66,N66))</f>
        <v/>
      </c>
      <c r="O48" s="714"/>
      <c r="P48" s="714"/>
      <c r="Q48" s="714"/>
      <c r="T48" s="703" t="str">
        <f>IF(T56=Z56,"",IF(T56&gt;Z56,T66,Z66))</f>
        <v/>
      </c>
      <c r="U48" s="703"/>
      <c r="V48" s="703"/>
      <c r="W48" s="703"/>
      <c r="X48" s="699"/>
      <c r="Z48" s="687"/>
      <c r="AA48" s="687"/>
      <c r="AB48" s="687"/>
      <c r="AC48" s="687"/>
      <c r="AD48" s="634" t="s">
        <v>92</v>
      </c>
      <c r="AE48" s="634"/>
      <c r="AF48" s="688"/>
      <c r="AG48" s="688"/>
      <c r="AH48" s="688"/>
      <c r="AI48" s="688"/>
      <c r="AK48" s="686"/>
      <c r="AL48" s="714" t="str">
        <f>IF(AF56=AL56,"",IF(AF56&gt;AL56,AF66,AL66))</f>
        <v/>
      </c>
      <c r="AM48" s="714"/>
      <c r="AN48" s="714"/>
      <c r="AO48" s="714"/>
      <c r="AS48" s="699"/>
      <c r="AT48" s="614"/>
      <c r="AU48" s="614"/>
      <c r="AV48" s="614"/>
      <c r="AW48" s="634" t="s">
        <v>92</v>
      </c>
      <c r="AX48" s="634"/>
      <c r="AY48" s="688"/>
      <c r="AZ48" s="688"/>
      <c r="BA48" s="688"/>
      <c r="BB48" s="688"/>
      <c r="BC48" s="686"/>
      <c r="BD48" s="714" t="str">
        <f>IF(AX56=BD56,"",IF(AX56&gt;BD56,AX66,BD66))</f>
        <v/>
      </c>
      <c r="BE48" s="714"/>
      <c r="BF48" s="714"/>
      <c r="BG48" s="714"/>
      <c r="BJ48" s="703" t="str">
        <f>IF(BJ56=BP56,"",IF(BJ56&gt;BP56,BJ66,BP66))</f>
        <v/>
      </c>
      <c r="BK48" s="703"/>
      <c r="BL48" s="703"/>
      <c r="BM48" s="703"/>
      <c r="BN48" s="699"/>
      <c r="BO48" s="687"/>
      <c r="BP48" s="687"/>
      <c r="BQ48" s="687"/>
      <c r="BR48" s="687"/>
      <c r="BS48" s="634" t="s">
        <v>92</v>
      </c>
      <c r="BT48" s="634"/>
      <c r="BU48" s="688"/>
      <c r="BV48" s="688"/>
      <c r="BW48" s="688"/>
      <c r="BX48" s="686"/>
      <c r="CC48" s="699"/>
      <c r="CD48" s="614"/>
      <c r="CE48" s="614"/>
      <c r="CF48" s="614"/>
      <c r="CG48" s="634" t="s">
        <v>92</v>
      </c>
      <c r="CH48" s="634"/>
      <c r="CI48" s="688"/>
      <c r="CJ48" s="688"/>
      <c r="CK48" s="688"/>
      <c r="CL48" s="688"/>
      <c r="CM48" s="686"/>
      <c r="CN48" s="714" t="str">
        <f>IF(CH56=CN56,"",IF(CH56&gt;CN56,CH66,CN66))</f>
        <v/>
      </c>
      <c r="CO48" s="714"/>
      <c r="CP48" s="714"/>
      <c r="CQ48" s="714"/>
      <c r="CT48" s="703" t="str">
        <f>IF(CT56=CZ56,"",IF(CT56&gt;CZ56,CT66,CZ66))</f>
        <v/>
      </c>
      <c r="CU48" s="703"/>
      <c r="CV48" s="703"/>
      <c r="CW48" s="703"/>
      <c r="CX48" s="699"/>
      <c r="CY48" s="687"/>
      <c r="CZ48" s="687"/>
      <c r="DA48" s="687"/>
      <c r="DB48" s="687"/>
      <c r="DC48" s="634" t="s">
        <v>92</v>
      </c>
      <c r="DD48" s="634"/>
      <c r="DE48" s="688"/>
      <c r="DF48" s="688"/>
      <c r="DG48" s="688"/>
      <c r="DH48" s="686"/>
      <c r="DM48" s="699"/>
      <c r="DN48" s="614"/>
      <c r="DO48" s="614"/>
      <c r="DP48" s="614"/>
      <c r="DQ48" s="634" t="s">
        <v>92</v>
      </c>
      <c r="DR48" s="634"/>
      <c r="DS48" s="688"/>
      <c r="DT48" s="688"/>
      <c r="DU48" s="688"/>
      <c r="DV48" s="688"/>
      <c r="DW48" s="686"/>
      <c r="DX48" s="714" t="str">
        <f>IF(DR56=DX56,"",IF(DR56&gt;DX56,DR66,DX66))</f>
        <v/>
      </c>
      <c r="DY48" s="714"/>
      <c r="DZ48" s="714"/>
      <c r="EA48" s="714"/>
      <c r="ED48" s="703" t="str">
        <f>IF(ED56=EJ56,"",IF(ED56&gt;EJ56,ED66,EJ66))</f>
        <v/>
      </c>
      <c r="EE48" s="703"/>
      <c r="EF48" s="703"/>
      <c r="EG48" s="703"/>
      <c r="EH48" s="699"/>
      <c r="EI48" s="687"/>
      <c r="EJ48" s="687"/>
      <c r="EK48" s="687"/>
      <c r="EL48" s="687"/>
      <c r="EM48" s="634" t="s">
        <v>92</v>
      </c>
      <c r="EN48" s="634"/>
      <c r="EO48" s="688"/>
      <c r="EP48" s="688"/>
      <c r="EQ48" s="688"/>
      <c r="ER48" s="686"/>
      <c r="ET48" s="64"/>
    </row>
    <row r="49" spans="1:150" s="61" customFormat="1" ht="13.5" customHeight="1" x14ac:dyDescent="0.15">
      <c r="A49" s="104"/>
      <c r="C49" s="699"/>
      <c r="D49" s="614"/>
      <c r="E49" s="614"/>
      <c r="F49" s="614"/>
      <c r="G49" s="634" t="s">
        <v>92</v>
      </c>
      <c r="H49" s="634"/>
      <c r="I49" s="688"/>
      <c r="J49" s="688"/>
      <c r="K49" s="688"/>
      <c r="L49" s="688"/>
      <c r="M49" s="686"/>
      <c r="N49" s="714"/>
      <c r="O49" s="714"/>
      <c r="P49" s="714"/>
      <c r="Q49" s="714"/>
      <c r="T49" s="703"/>
      <c r="U49" s="703"/>
      <c r="V49" s="703"/>
      <c r="W49" s="703"/>
      <c r="X49" s="699"/>
      <c r="Z49" s="687"/>
      <c r="AA49" s="687"/>
      <c r="AB49" s="687"/>
      <c r="AC49" s="687"/>
      <c r="AD49" s="634" t="s">
        <v>92</v>
      </c>
      <c r="AE49" s="634"/>
      <c r="AF49" s="688"/>
      <c r="AG49" s="688"/>
      <c r="AH49" s="688"/>
      <c r="AI49" s="688"/>
      <c r="AK49" s="686"/>
      <c r="AL49" s="714"/>
      <c r="AM49" s="714"/>
      <c r="AN49" s="714"/>
      <c r="AO49" s="714"/>
      <c r="AS49" s="699"/>
      <c r="AT49" s="614"/>
      <c r="AU49" s="614"/>
      <c r="AV49" s="614"/>
      <c r="AW49" s="634" t="s">
        <v>92</v>
      </c>
      <c r="AX49" s="634"/>
      <c r="AY49" s="688"/>
      <c r="AZ49" s="688"/>
      <c r="BA49" s="688"/>
      <c r="BB49" s="688"/>
      <c r="BC49" s="686"/>
      <c r="BD49" s="714"/>
      <c r="BE49" s="714"/>
      <c r="BF49" s="714"/>
      <c r="BG49" s="714"/>
      <c r="BJ49" s="703"/>
      <c r="BK49" s="703"/>
      <c r="BL49" s="703"/>
      <c r="BM49" s="703"/>
      <c r="BN49" s="699"/>
      <c r="BO49" s="687"/>
      <c r="BP49" s="687"/>
      <c r="BQ49" s="687"/>
      <c r="BR49" s="687"/>
      <c r="BS49" s="634" t="s">
        <v>92</v>
      </c>
      <c r="BT49" s="634"/>
      <c r="BU49" s="688"/>
      <c r="BV49" s="688"/>
      <c r="BW49" s="688"/>
      <c r="BX49" s="686"/>
      <c r="CC49" s="699"/>
      <c r="CD49" s="614"/>
      <c r="CE49" s="614"/>
      <c r="CF49" s="614"/>
      <c r="CG49" s="634" t="s">
        <v>92</v>
      </c>
      <c r="CH49" s="634"/>
      <c r="CI49" s="688"/>
      <c r="CJ49" s="688"/>
      <c r="CK49" s="688"/>
      <c r="CL49" s="688"/>
      <c r="CM49" s="686"/>
      <c r="CN49" s="714"/>
      <c r="CO49" s="714"/>
      <c r="CP49" s="714"/>
      <c r="CQ49" s="714"/>
      <c r="CT49" s="703"/>
      <c r="CU49" s="703"/>
      <c r="CV49" s="703"/>
      <c r="CW49" s="703"/>
      <c r="CX49" s="699"/>
      <c r="CY49" s="687"/>
      <c r="CZ49" s="687"/>
      <c r="DA49" s="687"/>
      <c r="DB49" s="687"/>
      <c r="DC49" s="634" t="s">
        <v>92</v>
      </c>
      <c r="DD49" s="634"/>
      <c r="DE49" s="688"/>
      <c r="DF49" s="688"/>
      <c r="DG49" s="688"/>
      <c r="DH49" s="686"/>
      <c r="DM49" s="699"/>
      <c r="DN49" s="614"/>
      <c r="DO49" s="614"/>
      <c r="DP49" s="614"/>
      <c r="DQ49" s="634" t="s">
        <v>92</v>
      </c>
      <c r="DR49" s="634"/>
      <c r="DS49" s="688"/>
      <c r="DT49" s="688"/>
      <c r="DU49" s="688"/>
      <c r="DV49" s="688"/>
      <c r="DW49" s="686"/>
      <c r="DX49" s="714"/>
      <c r="DY49" s="714"/>
      <c r="DZ49" s="714"/>
      <c r="EA49" s="714"/>
      <c r="ED49" s="703"/>
      <c r="EE49" s="703"/>
      <c r="EF49" s="703"/>
      <c r="EG49" s="703"/>
      <c r="EH49" s="699"/>
      <c r="EI49" s="687"/>
      <c r="EJ49" s="687"/>
      <c r="EK49" s="687"/>
      <c r="EL49" s="687"/>
      <c r="EM49" s="634" t="s">
        <v>92</v>
      </c>
      <c r="EN49" s="634"/>
      <c r="EO49" s="688"/>
      <c r="EP49" s="688"/>
      <c r="EQ49" s="688"/>
      <c r="ER49" s="686"/>
      <c r="ET49" s="64"/>
    </row>
    <row r="50" spans="1:150" s="61" customFormat="1" ht="13.5" customHeight="1" x14ac:dyDescent="0.15">
      <c r="A50" s="104"/>
      <c r="C50" s="699"/>
      <c r="D50" s="614"/>
      <c r="E50" s="614"/>
      <c r="F50" s="614"/>
      <c r="G50" s="618" t="str">
        <f>IF(D50="","","－")</f>
        <v/>
      </c>
      <c r="H50" s="618"/>
      <c r="I50" s="688"/>
      <c r="J50" s="688"/>
      <c r="K50" s="688"/>
      <c r="L50" s="688"/>
      <c r="M50" s="686"/>
      <c r="N50" s="714"/>
      <c r="O50" s="714"/>
      <c r="P50" s="714"/>
      <c r="Q50" s="714"/>
      <c r="T50" s="703"/>
      <c r="U50" s="703"/>
      <c r="V50" s="703"/>
      <c r="W50" s="703"/>
      <c r="X50" s="699"/>
      <c r="Z50" s="687"/>
      <c r="AA50" s="687"/>
      <c r="AB50" s="687"/>
      <c r="AC50" s="687"/>
      <c r="AD50" s="618" t="str">
        <f>IF(Z50="","","－")</f>
        <v/>
      </c>
      <c r="AE50" s="618"/>
      <c r="AF50" s="688"/>
      <c r="AG50" s="688"/>
      <c r="AH50" s="688"/>
      <c r="AI50" s="688"/>
      <c r="AK50" s="686"/>
      <c r="AL50" s="714"/>
      <c r="AM50" s="714"/>
      <c r="AN50" s="714"/>
      <c r="AO50" s="714"/>
      <c r="AS50" s="699"/>
      <c r="AT50" s="614"/>
      <c r="AU50" s="614"/>
      <c r="AV50" s="614"/>
      <c r="AW50" s="618" t="str">
        <f>IF(AT50="","","－")</f>
        <v/>
      </c>
      <c r="AX50" s="618"/>
      <c r="AY50" s="688"/>
      <c r="AZ50" s="688"/>
      <c r="BA50" s="688"/>
      <c r="BB50" s="688"/>
      <c r="BC50" s="686"/>
      <c r="BD50" s="714"/>
      <c r="BE50" s="714"/>
      <c r="BF50" s="714"/>
      <c r="BG50" s="714"/>
      <c r="BJ50" s="703"/>
      <c r="BK50" s="703"/>
      <c r="BL50" s="703"/>
      <c r="BM50" s="703"/>
      <c r="BN50" s="699"/>
      <c r="BO50" s="687"/>
      <c r="BP50" s="687"/>
      <c r="BQ50" s="687"/>
      <c r="BR50" s="687"/>
      <c r="BS50" s="618" t="str">
        <f>IF(BO50="","","－")</f>
        <v/>
      </c>
      <c r="BT50" s="618"/>
      <c r="BU50" s="688"/>
      <c r="BV50" s="688"/>
      <c r="BW50" s="688"/>
      <c r="BX50" s="686"/>
      <c r="CC50" s="699"/>
      <c r="CD50" s="614"/>
      <c r="CE50" s="614"/>
      <c r="CF50" s="614"/>
      <c r="CG50" s="618" t="str">
        <f>IF(CD50="","","－")</f>
        <v/>
      </c>
      <c r="CH50" s="618"/>
      <c r="CI50" s="688"/>
      <c r="CJ50" s="688"/>
      <c r="CK50" s="688"/>
      <c r="CL50" s="688"/>
      <c r="CM50" s="686"/>
      <c r="CN50" s="714"/>
      <c r="CO50" s="714"/>
      <c r="CP50" s="714"/>
      <c r="CQ50" s="714"/>
      <c r="CT50" s="703"/>
      <c r="CU50" s="703"/>
      <c r="CV50" s="703"/>
      <c r="CW50" s="703"/>
      <c r="CX50" s="699"/>
      <c r="CY50" s="687"/>
      <c r="CZ50" s="687"/>
      <c r="DA50" s="687"/>
      <c r="DB50" s="687"/>
      <c r="DC50" s="618" t="str">
        <f>IF(CY50="","","－")</f>
        <v/>
      </c>
      <c r="DD50" s="618"/>
      <c r="DE50" s="688"/>
      <c r="DF50" s="688"/>
      <c r="DG50" s="688"/>
      <c r="DH50" s="686"/>
      <c r="DM50" s="699"/>
      <c r="DN50" s="614"/>
      <c r="DO50" s="614"/>
      <c r="DP50" s="614"/>
      <c r="DQ50" s="618" t="str">
        <f>IF(DN50="","","－")</f>
        <v/>
      </c>
      <c r="DR50" s="618"/>
      <c r="DS50" s="688"/>
      <c r="DT50" s="688"/>
      <c r="DU50" s="688"/>
      <c r="DV50" s="688"/>
      <c r="DW50" s="686"/>
      <c r="DX50" s="714"/>
      <c r="DY50" s="714"/>
      <c r="DZ50" s="714"/>
      <c r="EA50" s="714"/>
      <c r="ED50" s="703"/>
      <c r="EE50" s="703"/>
      <c r="EF50" s="703"/>
      <c r="EG50" s="703"/>
      <c r="EH50" s="699"/>
      <c r="EI50" s="687"/>
      <c r="EJ50" s="687"/>
      <c r="EK50" s="687"/>
      <c r="EL50" s="687"/>
      <c r="EM50" s="618" t="str">
        <f>IF(EI50="","","－")</f>
        <v/>
      </c>
      <c r="EN50" s="618"/>
      <c r="EO50" s="688"/>
      <c r="EP50" s="688"/>
      <c r="EQ50" s="688"/>
      <c r="ER50" s="686"/>
      <c r="ET50" s="64"/>
    </row>
    <row r="51" spans="1:150" s="61" customFormat="1" ht="13.5" customHeight="1" x14ac:dyDescent="0.15">
      <c r="A51" s="104"/>
      <c r="C51" s="699"/>
      <c r="D51" s="614"/>
      <c r="E51" s="614"/>
      <c r="F51" s="614"/>
      <c r="G51" s="618" t="str">
        <f>IF(D51="","","－")</f>
        <v/>
      </c>
      <c r="H51" s="618"/>
      <c r="I51" s="688"/>
      <c r="J51" s="688"/>
      <c r="K51" s="688"/>
      <c r="L51" s="688"/>
      <c r="M51" s="686"/>
      <c r="N51" s="714"/>
      <c r="O51" s="714"/>
      <c r="P51" s="714"/>
      <c r="Q51" s="714"/>
      <c r="T51" s="703"/>
      <c r="U51" s="703"/>
      <c r="V51" s="703"/>
      <c r="W51" s="703"/>
      <c r="X51" s="699"/>
      <c r="Z51" s="687"/>
      <c r="AA51" s="687"/>
      <c r="AB51" s="687"/>
      <c r="AC51" s="687"/>
      <c r="AD51" s="618" t="str">
        <f>IF(Z51="","","－")</f>
        <v/>
      </c>
      <c r="AE51" s="618"/>
      <c r="AF51" s="688"/>
      <c r="AG51" s="688"/>
      <c r="AH51" s="688"/>
      <c r="AI51" s="688"/>
      <c r="AK51" s="686"/>
      <c r="AL51" s="714"/>
      <c r="AM51" s="714"/>
      <c r="AN51" s="714"/>
      <c r="AO51" s="714"/>
      <c r="AS51" s="699"/>
      <c r="AT51" s="614"/>
      <c r="AU51" s="614"/>
      <c r="AV51" s="614"/>
      <c r="AW51" s="618" t="str">
        <f>IF(AT51="","","－")</f>
        <v/>
      </c>
      <c r="AX51" s="618"/>
      <c r="AY51" s="688"/>
      <c r="AZ51" s="688"/>
      <c r="BA51" s="688"/>
      <c r="BB51" s="688"/>
      <c r="BC51" s="686"/>
      <c r="BD51" s="714"/>
      <c r="BE51" s="714"/>
      <c r="BF51" s="714"/>
      <c r="BG51" s="714"/>
      <c r="BJ51" s="703"/>
      <c r="BK51" s="703"/>
      <c r="BL51" s="703"/>
      <c r="BM51" s="703"/>
      <c r="BN51" s="699"/>
      <c r="BO51" s="687"/>
      <c r="BP51" s="687"/>
      <c r="BQ51" s="687"/>
      <c r="BR51" s="687"/>
      <c r="BS51" s="618" t="str">
        <f>IF(BO51="","","－")</f>
        <v/>
      </c>
      <c r="BT51" s="618"/>
      <c r="BU51" s="688"/>
      <c r="BV51" s="688"/>
      <c r="BW51" s="688"/>
      <c r="BX51" s="686"/>
      <c r="CC51" s="699"/>
      <c r="CD51" s="614"/>
      <c r="CE51" s="614"/>
      <c r="CF51" s="614"/>
      <c r="CG51" s="618" t="str">
        <f>IF(CD51="","","－")</f>
        <v/>
      </c>
      <c r="CH51" s="618"/>
      <c r="CI51" s="688"/>
      <c r="CJ51" s="688"/>
      <c r="CK51" s="688"/>
      <c r="CL51" s="688"/>
      <c r="CM51" s="686"/>
      <c r="CN51" s="714"/>
      <c r="CO51" s="714"/>
      <c r="CP51" s="714"/>
      <c r="CQ51" s="714"/>
      <c r="CT51" s="703"/>
      <c r="CU51" s="703"/>
      <c r="CV51" s="703"/>
      <c r="CW51" s="703"/>
      <c r="CX51" s="699"/>
      <c r="CY51" s="687"/>
      <c r="CZ51" s="687"/>
      <c r="DA51" s="687"/>
      <c r="DB51" s="687"/>
      <c r="DC51" s="618" t="str">
        <f>IF(CY51="","","－")</f>
        <v/>
      </c>
      <c r="DD51" s="618"/>
      <c r="DE51" s="688"/>
      <c r="DF51" s="688"/>
      <c r="DG51" s="688"/>
      <c r="DH51" s="686"/>
      <c r="DM51" s="699"/>
      <c r="DN51" s="614"/>
      <c r="DO51" s="614"/>
      <c r="DP51" s="614"/>
      <c r="DQ51" s="618" t="str">
        <f>IF(DN51="","","－")</f>
        <v/>
      </c>
      <c r="DR51" s="618"/>
      <c r="DS51" s="688"/>
      <c r="DT51" s="688"/>
      <c r="DU51" s="688"/>
      <c r="DV51" s="688"/>
      <c r="DW51" s="686"/>
      <c r="DX51" s="714"/>
      <c r="DY51" s="714"/>
      <c r="DZ51" s="714"/>
      <c r="EA51" s="714"/>
      <c r="ED51" s="703"/>
      <c r="EE51" s="703"/>
      <c r="EF51" s="703"/>
      <c r="EG51" s="703"/>
      <c r="EH51" s="699"/>
      <c r="EI51" s="687"/>
      <c r="EJ51" s="687"/>
      <c r="EK51" s="687"/>
      <c r="EL51" s="687"/>
      <c r="EM51" s="618" t="str">
        <f>IF(EI51="","","－")</f>
        <v/>
      </c>
      <c r="EN51" s="618"/>
      <c r="EO51" s="688"/>
      <c r="EP51" s="688"/>
      <c r="EQ51" s="688"/>
      <c r="ER51" s="686"/>
      <c r="ET51" s="64"/>
    </row>
    <row r="52" spans="1:150" s="111" customFormat="1" ht="13.5" customHeight="1" x14ac:dyDescent="0.2">
      <c r="A52" s="110"/>
      <c r="C52" s="699"/>
      <c r="D52" s="117"/>
      <c r="E52" s="117"/>
      <c r="F52" s="690" t="str">
        <f>IF(D53="","","PK")</f>
        <v/>
      </c>
      <c r="G52" s="690"/>
      <c r="H52" s="690"/>
      <c r="I52" s="690"/>
      <c r="J52" s="109"/>
      <c r="K52" s="109"/>
      <c r="L52" s="109"/>
      <c r="M52" s="686"/>
      <c r="N52" s="714"/>
      <c r="O52" s="714"/>
      <c r="P52" s="714"/>
      <c r="Q52" s="714"/>
      <c r="T52" s="703"/>
      <c r="U52" s="703"/>
      <c r="V52" s="703"/>
      <c r="W52" s="703"/>
      <c r="X52" s="699"/>
      <c r="Z52" s="108"/>
      <c r="AA52" s="108"/>
      <c r="AB52" s="108"/>
      <c r="AC52" s="690" t="str">
        <f>IF(Z53="","","PK")</f>
        <v/>
      </c>
      <c r="AD52" s="690"/>
      <c r="AE52" s="690"/>
      <c r="AF52" s="690"/>
      <c r="AG52" s="109"/>
      <c r="AH52" s="109"/>
      <c r="AI52" s="109"/>
      <c r="AK52" s="686"/>
      <c r="AL52" s="714"/>
      <c r="AM52" s="714"/>
      <c r="AN52" s="714"/>
      <c r="AO52" s="714"/>
      <c r="AS52" s="699"/>
      <c r="AT52" s="117"/>
      <c r="AU52" s="117"/>
      <c r="AV52" s="690" t="str">
        <f>IF(AT53="","","PK")</f>
        <v/>
      </c>
      <c r="AW52" s="690"/>
      <c r="AX52" s="690"/>
      <c r="AY52" s="690"/>
      <c r="AZ52" s="109"/>
      <c r="BA52" s="109"/>
      <c r="BB52" s="109"/>
      <c r="BC52" s="686"/>
      <c r="BD52" s="714"/>
      <c r="BE52" s="714"/>
      <c r="BF52" s="714"/>
      <c r="BG52" s="714"/>
      <c r="BJ52" s="703"/>
      <c r="BK52" s="703"/>
      <c r="BL52" s="703"/>
      <c r="BM52" s="703"/>
      <c r="BN52" s="699"/>
      <c r="BO52" s="108"/>
      <c r="BP52" s="108"/>
      <c r="BQ52" s="108"/>
      <c r="BR52" s="690" t="str">
        <f>IF(BO53="","","PK")</f>
        <v/>
      </c>
      <c r="BS52" s="690"/>
      <c r="BT52" s="690"/>
      <c r="BU52" s="690"/>
      <c r="BV52" s="109"/>
      <c r="BW52" s="109"/>
      <c r="BX52" s="686"/>
      <c r="CC52" s="699"/>
      <c r="CD52" s="117"/>
      <c r="CE52" s="117"/>
      <c r="CF52" s="690" t="str">
        <f>IF(CD53="","","PK")</f>
        <v/>
      </c>
      <c r="CG52" s="690"/>
      <c r="CH52" s="690"/>
      <c r="CI52" s="690"/>
      <c r="CJ52" s="109"/>
      <c r="CK52" s="109"/>
      <c r="CL52" s="109"/>
      <c r="CM52" s="686"/>
      <c r="CN52" s="714"/>
      <c r="CO52" s="714"/>
      <c r="CP52" s="714"/>
      <c r="CQ52" s="714"/>
      <c r="CT52" s="703"/>
      <c r="CU52" s="703"/>
      <c r="CV52" s="703"/>
      <c r="CW52" s="703"/>
      <c r="CX52" s="699"/>
      <c r="CY52" s="108"/>
      <c r="CZ52" s="108"/>
      <c r="DA52" s="108"/>
      <c r="DB52" s="690" t="str">
        <f>IF(CY53="","","PK")</f>
        <v/>
      </c>
      <c r="DC52" s="690"/>
      <c r="DD52" s="690"/>
      <c r="DE52" s="690"/>
      <c r="DF52" s="109"/>
      <c r="DG52" s="109"/>
      <c r="DH52" s="686"/>
      <c r="DM52" s="699"/>
      <c r="DN52" s="117"/>
      <c r="DO52" s="117"/>
      <c r="DP52" s="690" t="str">
        <f>IF(DN53="","","PK")</f>
        <v/>
      </c>
      <c r="DQ52" s="690"/>
      <c r="DR52" s="690"/>
      <c r="DS52" s="690"/>
      <c r="DT52" s="109"/>
      <c r="DU52" s="109"/>
      <c r="DV52" s="109"/>
      <c r="DW52" s="686"/>
      <c r="DX52" s="714"/>
      <c r="DY52" s="714"/>
      <c r="DZ52" s="714"/>
      <c r="EA52" s="714"/>
      <c r="ED52" s="703"/>
      <c r="EE52" s="703"/>
      <c r="EF52" s="703"/>
      <c r="EG52" s="703"/>
      <c r="EH52" s="699"/>
      <c r="EI52" s="108"/>
      <c r="EJ52" s="108"/>
      <c r="EK52" s="108"/>
      <c r="EL52" s="690" t="str">
        <f>IF(EI53="","","PK")</f>
        <v/>
      </c>
      <c r="EM52" s="690"/>
      <c r="EN52" s="690"/>
      <c r="EO52" s="690"/>
      <c r="EP52" s="109"/>
      <c r="EQ52" s="109"/>
      <c r="ER52" s="686"/>
      <c r="ET52" s="108"/>
    </row>
    <row r="53" spans="1:150" s="61" customFormat="1" ht="13.5" customHeight="1" x14ac:dyDescent="0.15">
      <c r="A53" s="104"/>
      <c r="C53" s="699"/>
      <c r="D53" s="614"/>
      <c r="E53" s="614"/>
      <c r="F53" s="614"/>
      <c r="G53" s="618" t="str">
        <f>IF(D53="","","－")</f>
        <v/>
      </c>
      <c r="H53" s="618"/>
      <c r="I53" s="688"/>
      <c r="J53" s="688"/>
      <c r="K53" s="688"/>
      <c r="L53" s="688"/>
      <c r="M53" s="686"/>
      <c r="N53" s="714"/>
      <c r="O53" s="714"/>
      <c r="P53" s="714"/>
      <c r="Q53" s="714"/>
      <c r="T53" s="703"/>
      <c r="U53" s="703"/>
      <c r="V53" s="703"/>
      <c r="W53" s="703"/>
      <c r="X53" s="699"/>
      <c r="Z53" s="687"/>
      <c r="AA53" s="687"/>
      <c r="AB53" s="687"/>
      <c r="AC53" s="687"/>
      <c r="AD53" s="618" t="str">
        <f>IF(Z53="","","－")</f>
        <v/>
      </c>
      <c r="AE53" s="618"/>
      <c r="AF53" s="688"/>
      <c r="AG53" s="688"/>
      <c r="AH53" s="688"/>
      <c r="AI53" s="688"/>
      <c r="AK53" s="686"/>
      <c r="AL53" s="714"/>
      <c r="AM53" s="714"/>
      <c r="AN53" s="714"/>
      <c r="AO53" s="714"/>
      <c r="AS53" s="699"/>
      <c r="AT53" s="614"/>
      <c r="AU53" s="614"/>
      <c r="AV53" s="614"/>
      <c r="AW53" s="618" t="str">
        <f>IF(AT53="","","－")</f>
        <v/>
      </c>
      <c r="AX53" s="618"/>
      <c r="AY53" s="688"/>
      <c r="AZ53" s="688"/>
      <c r="BA53" s="688"/>
      <c r="BB53" s="688"/>
      <c r="BC53" s="686"/>
      <c r="BD53" s="714"/>
      <c r="BE53" s="714"/>
      <c r="BF53" s="714"/>
      <c r="BG53" s="714"/>
      <c r="BJ53" s="703"/>
      <c r="BK53" s="703"/>
      <c r="BL53" s="703"/>
      <c r="BM53" s="703"/>
      <c r="BN53" s="699"/>
      <c r="BO53" s="687"/>
      <c r="BP53" s="687"/>
      <c r="BQ53" s="687"/>
      <c r="BR53" s="687"/>
      <c r="BS53" s="618" t="str">
        <f>IF(BO53="","","－")</f>
        <v/>
      </c>
      <c r="BT53" s="618"/>
      <c r="BU53" s="688"/>
      <c r="BV53" s="688"/>
      <c r="BW53" s="688"/>
      <c r="BX53" s="686"/>
      <c r="CC53" s="699"/>
      <c r="CD53" s="614"/>
      <c r="CE53" s="614"/>
      <c r="CF53" s="614"/>
      <c r="CG53" s="618" t="str">
        <f>IF(CD53="","","－")</f>
        <v/>
      </c>
      <c r="CH53" s="618"/>
      <c r="CI53" s="688"/>
      <c r="CJ53" s="688"/>
      <c r="CK53" s="688"/>
      <c r="CL53" s="688"/>
      <c r="CM53" s="686"/>
      <c r="CN53" s="714"/>
      <c r="CO53" s="714"/>
      <c r="CP53" s="714"/>
      <c r="CQ53" s="714"/>
      <c r="CT53" s="703"/>
      <c r="CU53" s="703"/>
      <c r="CV53" s="703"/>
      <c r="CW53" s="703"/>
      <c r="CX53" s="699"/>
      <c r="CY53" s="687"/>
      <c r="CZ53" s="687"/>
      <c r="DA53" s="687"/>
      <c r="DB53" s="687"/>
      <c r="DC53" s="618" t="str">
        <f>IF(CY53="","","－")</f>
        <v/>
      </c>
      <c r="DD53" s="618"/>
      <c r="DE53" s="688"/>
      <c r="DF53" s="688"/>
      <c r="DG53" s="688"/>
      <c r="DH53" s="686"/>
      <c r="DM53" s="699"/>
      <c r="DN53" s="614"/>
      <c r="DO53" s="614"/>
      <c r="DP53" s="614"/>
      <c r="DQ53" s="618" t="str">
        <f>IF(DN53="","","－")</f>
        <v/>
      </c>
      <c r="DR53" s="618"/>
      <c r="DS53" s="688"/>
      <c r="DT53" s="688"/>
      <c r="DU53" s="688"/>
      <c r="DV53" s="688"/>
      <c r="DW53" s="686"/>
      <c r="DX53" s="714"/>
      <c r="DY53" s="714"/>
      <c r="DZ53" s="714"/>
      <c r="EA53" s="714"/>
      <c r="ED53" s="703"/>
      <c r="EE53" s="703"/>
      <c r="EF53" s="703"/>
      <c r="EG53" s="703"/>
      <c r="EH53" s="699"/>
      <c r="EI53" s="687"/>
      <c r="EJ53" s="687"/>
      <c r="EK53" s="687"/>
      <c r="EL53" s="687"/>
      <c r="EM53" s="618" t="str">
        <f>IF(EI53="","","－")</f>
        <v/>
      </c>
      <c r="EN53" s="618"/>
      <c r="EO53" s="688"/>
      <c r="EP53" s="688"/>
      <c r="EQ53" s="688"/>
      <c r="ER53" s="686"/>
      <c r="ET53" s="64"/>
    </row>
    <row r="54" spans="1:150" s="114" customFormat="1" ht="13.5" customHeight="1" x14ac:dyDescent="0.15">
      <c r="A54" s="113"/>
      <c r="C54" s="699"/>
      <c r="D54" s="115"/>
      <c r="F54" s="689" t="str">
        <f>IF(D53="","","PK")</f>
        <v/>
      </c>
      <c r="G54" s="689"/>
      <c r="H54" s="689"/>
      <c r="I54" s="689"/>
      <c r="M54" s="686"/>
      <c r="X54" s="699"/>
      <c r="AC54" s="689" t="str">
        <f>IF(Z53="","","PK")</f>
        <v/>
      </c>
      <c r="AD54" s="689"/>
      <c r="AE54" s="689"/>
      <c r="AF54" s="689"/>
      <c r="AK54" s="686"/>
      <c r="AS54" s="699"/>
      <c r="AT54" s="115"/>
      <c r="AV54" s="689" t="str">
        <f>IF(AT53="","","PK")</f>
        <v/>
      </c>
      <c r="AW54" s="689"/>
      <c r="AX54" s="689"/>
      <c r="AY54" s="689"/>
      <c r="BC54" s="686"/>
      <c r="BN54" s="699"/>
      <c r="BR54" s="689" t="str">
        <f>IF(BO53="","","PK")</f>
        <v/>
      </c>
      <c r="BS54" s="689"/>
      <c r="BT54" s="689"/>
      <c r="BU54" s="689"/>
      <c r="BX54" s="686"/>
      <c r="CC54" s="699"/>
      <c r="CD54" s="115"/>
      <c r="CF54" s="689" t="str">
        <f>IF(CD53="","","PK")</f>
        <v/>
      </c>
      <c r="CG54" s="689"/>
      <c r="CH54" s="689"/>
      <c r="CI54" s="689"/>
      <c r="CM54" s="686"/>
      <c r="CX54" s="699"/>
      <c r="DB54" s="689" t="str">
        <f>IF(CY53="","","PK")</f>
        <v/>
      </c>
      <c r="DC54" s="689"/>
      <c r="DD54" s="689"/>
      <c r="DE54" s="689"/>
      <c r="DH54" s="686"/>
      <c r="DM54" s="699"/>
      <c r="DN54" s="115"/>
      <c r="DP54" s="689" t="str">
        <f>IF(DN53="","","PK")</f>
        <v/>
      </c>
      <c r="DQ54" s="689"/>
      <c r="DR54" s="689"/>
      <c r="DS54" s="689"/>
      <c r="DW54" s="686"/>
      <c r="EH54" s="699"/>
      <c r="EL54" s="689" t="str">
        <f>IF(EI53="","","PK")</f>
        <v/>
      </c>
      <c r="EM54" s="689"/>
      <c r="EN54" s="689"/>
      <c r="EO54" s="689"/>
      <c r="ER54" s="686"/>
      <c r="ET54" s="116"/>
    </row>
    <row r="55" spans="1:150" s="61" customFormat="1" ht="13.5" customHeight="1" x14ac:dyDescent="0.15">
      <c r="A55" s="104"/>
      <c r="C55" s="699"/>
      <c r="D55" s="76"/>
      <c r="H55" s="695" t="str">
        <f>IF(J58="","",SUM(J58:K61))</f>
        <v/>
      </c>
      <c r="I55" s="695"/>
      <c r="J55" s="695"/>
      <c r="K55" s="695"/>
      <c r="M55" s="686"/>
      <c r="N55" s="696" t="str">
        <f>IF(N58="","",SUM(N58:O61))</f>
        <v/>
      </c>
      <c r="O55" s="696"/>
      <c r="P55" s="696"/>
      <c r="Q55" s="696"/>
      <c r="T55" s="695" t="str">
        <f>IF(V58="","",SUM(V58:W61))</f>
        <v/>
      </c>
      <c r="U55" s="695"/>
      <c r="V55" s="695"/>
      <c r="W55" s="695"/>
      <c r="X55" s="699"/>
      <c r="Z55" s="696" t="str">
        <f>IF(Z58="","",SUM(Z58:AA61))</f>
        <v/>
      </c>
      <c r="AA55" s="696"/>
      <c r="AB55" s="696"/>
      <c r="AC55" s="696"/>
      <c r="AF55" s="695" t="str">
        <f>IF(AH58="","",SUM(AH58:AI61))</f>
        <v/>
      </c>
      <c r="AG55" s="695"/>
      <c r="AH55" s="695"/>
      <c r="AI55" s="695"/>
      <c r="AK55" s="686"/>
      <c r="AL55" s="696" t="str">
        <f>IF(AL58="","",SUM(AL58:AM61))</f>
        <v/>
      </c>
      <c r="AM55" s="696"/>
      <c r="AN55" s="696"/>
      <c r="AO55" s="696"/>
      <c r="AS55" s="699"/>
      <c r="AT55" s="76"/>
      <c r="AX55" s="695" t="str">
        <f>IF(AZ58="","",SUM(AZ58:BA61))</f>
        <v/>
      </c>
      <c r="AY55" s="695"/>
      <c r="AZ55" s="695"/>
      <c r="BA55" s="695"/>
      <c r="BC55" s="686"/>
      <c r="BD55" s="696" t="str">
        <f>IF(BD58="","",SUM(BD58:BE61))</f>
        <v/>
      </c>
      <c r="BE55" s="696"/>
      <c r="BF55" s="696"/>
      <c r="BG55" s="696"/>
      <c r="BJ55" s="695" t="str">
        <f>IF(BL58="","",SUM(BL58:BM61))</f>
        <v/>
      </c>
      <c r="BK55" s="695"/>
      <c r="BL55" s="695"/>
      <c r="BM55" s="695"/>
      <c r="BN55" s="699"/>
      <c r="BP55" s="696" t="str">
        <f>IF(BP58="","",SUM(BP58:BQ61))</f>
        <v/>
      </c>
      <c r="BQ55" s="696"/>
      <c r="BR55" s="696"/>
      <c r="BS55" s="696"/>
      <c r="BX55" s="686"/>
      <c r="CC55" s="699"/>
      <c r="CD55" s="76"/>
      <c r="CH55" s="695" t="str">
        <f>IF(CJ58="","",SUM(CJ58:CK61))</f>
        <v/>
      </c>
      <c r="CI55" s="695"/>
      <c r="CJ55" s="695"/>
      <c r="CK55" s="695"/>
      <c r="CM55" s="686"/>
      <c r="CN55" s="696" t="str">
        <f>IF(CN58="","",SUM(CN58:CO61))</f>
        <v/>
      </c>
      <c r="CO55" s="696"/>
      <c r="CP55" s="696"/>
      <c r="CQ55" s="696"/>
      <c r="CT55" s="695" t="str">
        <f>IF(CV58="","",SUM(CV58:CW61))</f>
        <v/>
      </c>
      <c r="CU55" s="695"/>
      <c r="CV55" s="695"/>
      <c r="CW55" s="695"/>
      <c r="CX55" s="699"/>
      <c r="CZ55" s="696" t="str">
        <f>IF(CZ58="","",SUM(CZ58:DA61))</f>
        <v/>
      </c>
      <c r="DA55" s="696"/>
      <c r="DB55" s="696"/>
      <c r="DC55" s="696"/>
      <c r="DH55" s="686"/>
      <c r="DM55" s="699"/>
      <c r="DN55" s="76"/>
      <c r="DR55" s="695" t="str">
        <f>IF(DT58="","",SUM(DT58:DU61))</f>
        <v/>
      </c>
      <c r="DS55" s="695"/>
      <c r="DT55" s="695"/>
      <c r="DU55" s="695"/>
      <c r="DW55" s="686"/>
      <c r="DX55" s="696" t="str">
        <f>IF(DX58="","",SUM(DX58:DY61))</f>
        <v/>
      </c>
      <c r="DY55" s="696"/>
      <c r="DZ55" s="696"/>
      <c r="EA55" s="696"/>
      <c r="ED55" s="695" t="str">
        <f>IF(EF58="","",SUM(EF58:EG61))</f>
        <v/>
      </c>
      <c r="EE55" s="695"/>
      <c r="EF55" s="695"/>
      <c r="EG55" s="695"/>
      <c r="EH55" s="699"/>
      <c r="EJ55" s="696" t="str">
        <f>IF(EJ58="","",SUM(EJ58:EK61))</f>
        <v/>
      </c>
      <c r="EK55" s="696"/>
      <c r="EL55" s="696"/>
      <c r="EM55" s="696"/>
      <c r="ER55" s="686"/>
      <c r="ET55" s="64"/>
    </row>
    <row r="56" spans="1:150" s="90" customFormat="1" ht="13.5" hidden="1" customHeight="1" x14ac:dyDescent="0.15">
      <c r="A56" s="107"/>
      <c r="C56" s="699"/>
      <c r="D56" s="92"/>
      <c r="H56" s="698">
        <f>SUM(J58:K63)</f>
        <v>0</v>
      </c>
      <c r="I56" s="698"/>
      <c r="J56" s="698"/>
      <c r="K56" s="698"/>
      <c r="M56" s="686"/>
      <c r="N56" s="697">
        <f>SUM(N58:O63)</f>
        <v>0</v>
      </c>
      <c r="O56" s="697"/>
      <c r="P56" s="697"/>
      <c r="Q56" s="697"/>
      <c r="T56" s="698">
        <f>SUM(V58:W63)</f>
        <v>0</v>
      </c>
      <c r="U56" s="698"/>
      <c r="V56" s="698"/>
      <c r="W56" s="698"/>
      <c r="X56" s="699"/>
      <c r="Z56" s="697">
        <f>SUM(Z58:AA63)</f>
        <v>0</v>
      </c>
      <c r="AA56" s="697"/>
      <c r="AB56" s="697"/>
      <c r="AC56" s="697"/>
      <c r="AF56" s="698">
        <f>SUM(AH58:AI63)</f>
        <v>0</v>
      </c>
      <c r="AG56" s="698"/>
      <c r="AH56" s="698"/>
      <c r="AI56" s="698"/>
      <c r="AK56" s="686"/>
      <c r="AL56" s="697">
        <f>SUM(AL58:AM63)</f>
        <v>0</v>
      </c>
      <c r="AM56" s="697"/>
      <c r="AN56" s="697"/>
      <c r="AO56" s="697"/>
      <c r="AS56" s="699"/>
      <c r="AT56" s="92"/>
      <c r="AX56" s="698">
        <f>SUM(AZ58:BA63)</f>
        <v>0</v>
      </c>
      <c r="AY56" s="698"/>
      <c r="AZ56" s="698"/>
      <c r="BA56" s="698"/>
      <c r="BC56" s="686"/>
      <c r="BD56" s="697">
        <f>SUM(BD58:BE63)</f>
        <v>0</v>
      </c>
      <c r="BE56" s="697"/>
      <c r="BF56" s="697"/>
      <c r="BG56" s="697"/>
      <c r="BJ56" s="698">
        <f>SUM(BL58:BM63)</f>
        <v>0</v>
      </c>
      <c r="BK56" s="698"/>
      <c r="BL56" s="698"/>
      <c r="BM56" s="698"/>
      <c r="BN56" s="699"/>
      <c r="BP56" s="697">
        <f>SUM(BP58:BQ63)</f>
        <v>0</v>
      </c>
      <c r="BQ56" s="697"/>
      <c r="BR56" s="697"/>
      <c r="BS56" s="697"/>
      <c r="BX56" s="686"/>
      <c r="CC56" s="699"/>
      <c r="CD56" s="92"/>
      <c r="CH56" s="698">
        <f>SUM(CJ58:CK63)</f>
        <v>0</v>
      </c>
      <c r="CI56" s="698"/>
      <c r="CJ56" s="698"/>
      <c r="CK56" s="698"/>
      <c r="CM56" s="686"/>
      <c r="CN56" s="697">
        <f>SUM(CN58:CO63)</f>
        <v>0</v>
      </c>
      <c r="CO56" s="697"/>
      <c r="CP56" s="697"/>
      <c r="CQ56" s="697"/>
      <c r="CT56" s="698">
        <f>SUM(CV58:CW63)</f>
        <v>0</v>
      </c>
      <c r="CU56" s="698"/>
      <c r="CV56" s="698"/>
      <c r="CW56" s="698"/>
      <c r="CX56" s="699"/>
      <c r="CZ56" s="697">
        <f>SUM(CZ58:DA63)</f>
        <v>0</v>
      </c>
      <c r="DA56" s="697"/>
      <c r="DB56" s="697"/>
      <c r="DC56" s="697"/>
      <c r="DH56" s="686"/>
      <c r="DM56" s="699"/>
      <c r="DN56" s="92"/>
      <c r="DR56" s="698">
        <f>SUM(DT58:DU63)</f>
        <v>0</v>
      </c>
      <c r="DS56" s="698"/>
      <c r="DT56" s="698"/>
      <c r="DU56" s="698"/>
      <c r="DW56" s="686"/>
      <c r="DX56" s="697">
        <f>SUM(DX58:DY63)</f>
        <v>0</v>
      </c>
      <c r="DY56" s="697"/>
      <c r="DZ56" s="697"/>
      <c r="EA56" s="697"/>
      <c r="ED56" s="698">
        <f>SUM(EF58:EG63)</f>
        <v>0</v>
      </c>
      <c r="EE56" s="698"/>
      <c r="EF56" s="698"/>
      <c r="EG56" s="698"/>
      <c r="EH56" s="699"/>
      <c r="EJ56" s="697">
        <f>SUM(EJ58:EK63)</f>
        <v>0</v>
      </c>
      <c r="EK56" s="697"/>
      <c r="EL56" s="697"/>
      <c r="EM56" s="697"/>
      <c r="ER56" s="686"/>
      <c r="ET56" s="89"/>
    </row>
    <row r="57" spans="1:150" s="61" customFormat="1" ht="3.75" customHeight="1" thickBot="1" x14ac:dyDescent="0.2">
      <c r="A57" s="104"/>
      <c r="C57" s="699"/>
      <c r="D57" s="76"/>
      <c r="J57" s="713"/>
      <c r="K57" s="713"/>
      <c r="L57" s="713"/>
      <c r="M57" s="715"/>
      <c r="N57" s="713"/>
      <c r="O57" s="713"/>
      <c r="V57" s="713"/>
      <c r="W57" s="713"/>
      <c r="X57" s="700"/>
      <c r="Y57" s="713"/>
      <c r="Z57" s="713"/>
      <c r="AA57" s="713"/>
      <c r="AH57" s="713"/>
      <c r="AI57" s="713"/>
      <c r="AJ57" s="713"/>
      <c r="AK57" s="715"/>
      <c r="AL57" s="713"/>
      <c r="AM57" s="713"/>
      <c r="AS57" s="699"/>
      <c r="AT57" s="76"/>
      <c r="AZ57" s="713"/>
      <c r="BA57" s="713"/>
      <c r="BB57" s="713"/>
      <c r="BC57" s="715"/>
      <c r="BD57" s="713"/>
      <c r="BE57" s="713"/>
      <c r="BL57" s="713"/>
      <c r="BM57" s="713"/>
      <c r="BN57" s="700"/>
      <c r="BO57" s="713"/>
      <c r="BP57" s="713"/>
      <c r="BQ57" s="713"/>
      <c r="BX57" s="686"/>
      <c r="CC57" s="699"/>
      <c r="CD57" s="76"/>
      <c r="CJ57" s="713"/>
      <c r="CK57" s="713"/>
      <c r="CL57" s="713"/>
      <c r="CM57" s="715"/>
      <c r="CN57" s="713"/>
      <c r="CO57" s="713"/>
      <c r="CV57" s="713"/>
      <c r="CW57" s="713"/>
      <c r="CX57" s="700"/>
      <c r="CY57" s="713"/>
      <c r="CZ57" s="713"/>
      <c r="DA57" s="713"/>
      <c r="DH57" s="686"/>
      <c r="DM57" s="699"/>
      <c r="DN57" s="76"/>
      <c r="DT57" s="713"/>
      <c r="DU57" s="713"/>
      <c r="DV57" s="713"/>
      <c r="DW57" s="715"/>
      <c r="DX57" s="713"/>
      <c r="DY57" s="713"/>
      <c r="EF57" s="713"/>
      <c r="EG57" s="713"/>
      <c r="EH57" s="700"/>
      <c r="EI57" s="713"/>
      <c r="EJ57" s="713"/>
      <c r="EK57" s="713"/>
      <c r="ER57" s="686"/>
      <c r="ET57" s="64"/>
    </row>
    <row r="58" spans="1:150" s="61" customFormat="1" ht="13.5" customHeight="1" thickTop="1" x14ac:dyDescent="0.15">
      <c r="A58" s="104"/>
      <c r="C58" s="699"/>
      <c r="D58" s="76"/>
      <c r="I58" s="699"/>
      <c r="J58" s="687"/>
      <c r="K58" s="687"/>
      <c r="L58" s="634" t="s">
        <v>92</v>
      </c>
      <c r="M58" s="634"/>
      <c r="N58" s="688"/>
      <c r="O58" s="688"/>
      <c r="P58" s="686"/>
      <c r="U58" s="699"/>
      <c r="V58" s="687"/>
      <c r="W58" s="687"/>
      <c r="X58" s="634" t="s">
        <v>92</v>
      </c>
      <c r="Y58" s="634"/>
      <c r="Z58" s="688"/>
      <c r="AA58" s="688"/>
      <c r="AB58" s="686"/>
      <c r="AG58" s="699"/>
      <c r="AH58" s="687"/>
      <c r="AI58" s="687"/>
      <c r="AJ58" s="634" t="s">
        <v>92</v>
      </c>
      <c r="AK58" s="634"/>
      <c r="AL58" s="688"/>
      <c r="AM58" s="688"/>
      <c r="AN58" s="686"/>
      <c r="AS58" s="699"/>
      <c r="AY58" s="699"/>
      <c r="AZ58" s="687"/>
      <c r="BA58" s="687"/>
      <c r="BB58" s="634" t="s">
        <v>92</v>
      </c>
      <c r="BC58" s="634"/>
      <c r="BD58" s="688"/>
      <c r="BE58" s="688"/>
      <c r="BF58" s="686"/>
      <c r="BK58" s="699"/>
      <c r="BL58" s="687"/>
      <c r="BM58" s="687"/>
      <c r="BN58" s="634" t="s">
        <v>92</v>
      </c>
      <c r="BO58" s="634"/>
      <c r="BP58" s="688"/>
      <c r="BQ58" s="688"/>
      <c r="BR58" s="686"/>
      <c r="BX58" s="686"/>
      <c r="CC58" s="699"/>
      <c r="CI58" s="699"/>
      <c r="CJ58" s="687"/>
      <c r="CK58" s="687"/>
      <c r="CL58" s="634" t="s">
        <v>92</v>
      </c>
      <c r="CM58" s="634"/>
      <c r="CN58" s="688"/>
      <c r="CO58" s="688"/>
      <c r="CP58" s="686"/>
      <c r="CU58" s="699"/>
      <c r="CV58" s="687"/>
      <c r="CW58" s="687"/>
      <c r="CX58" s="634" t="s">
        <v>92</v>
      </c>
      <c r="CY58" s="634"/>
      <c r="CZ58" s="688"/>
      <c r="DA58" s="688"/>
      <c r="DB58" s="686"/>
      <c r="DH58" s="686"/>
      <c r="DM58" s="699"/>
      <c r="DS58" s="699"/>
      <c r="DT58" s="687"/>
      <c r="DU58" s="687"/>
      <c r="DV58" s="634" t="s">
        <v>92</v>
      </c>
      <c r="DW58" s="634"/>
      <c r="DX58" s="688"/>
      <c r="DY58" s="688"/>
      <c r="DZ58" s="686"/>
      <c r="EE58" s="699"/>
      <c r="EF58" s="687"/>
      <c r="EG58" s="687"/>
      <c r="EH58" s="634" t="s">
        <v>92</v>
      </c>
      <c r="EI58" s="634"/>
      <c r="EJ58" s="688"/>
      <c r="EK58" s="688"/>
      <c r="EL58" s="686"/>
      <c r="ER58" s="686"/>
      <c r="ET58" s="64"/>
    </row>
    <row r="59" spans="1:150" s="61" customFormat="1" ht="13.5" customHeight="1" x14ac:dyDescent="0.15">
      <c r="A59" s="104"/>
      <c r="C59" s="699"/>
      <c r="D59" s="76"/>
      <c r="I59" s="699"/>
      <c r="J59" s="687"/>
      <c r="K59" s="687"/>
      <c r="L59" s="634" t="s">
        <v>92</v>
      </c>
      <c r="M59" s="634"/>
      <c r="N59" s="688"/>
      <c r="O59" s="688"/>
      <c r="P59" s="686"/>
      <c r="U59" s="699"/>
      <c r="V59" s="687"/>
      <c r="W59" s="687"/>
      <c r="X59" s="634" t="s">
        <v>92</v>
      </c>
      <c r="Y59" s="634"/>
      <c r="Z59" s="688"/>
      <c r="AA59" s="688"/>
      <c r="AB59" s="686"/>
      <c r="AG59" s="699"/>
      <c r="AH59" s="687"/>
      <c r="AI59" s="687"/>
      <c r="AJ59" s="634" t="s">
        <v>92</v>
      </c>
      <c r="AK59" s="634"/>
      <c r="AL59" s="688"/>
      <c r="AM59" s="688"/>
      <c r="AN59" s="686"/>
      <c r="AS59" s="699"/>
      <c r="AY59" s="699"/>
      <c r="AZ59" s="687"/>
      <c r="BA59" s="687"/>
      <c r="BB59" s="634" t="s">
        <v>92</v>
      </c>
      <c r="BC59" s="634"/>
      <c r="BD59" s="688"/>
      <c r="BE59" s="688"/>
      <c r="BF59" s="686"/>
      <c r="BK59" s="699"/>
      <c r="BL59" s="687"/>
      <c r="BM59" s="687"/>
      <c r="BN59" s="634" t="s">
        <v>92</v>
      </c>
      <c r="BO59" s="634"/>
      <c r="BP59" s="688"/>
      <c r="BQ59" s="688"/>
      <c r="BR59" s="686"/>
      <c r="BX59" s="686"/>
      <c r="CC59" s="699"/>
      <c r="CI59" s="699"/>
      <c r="CJ59" s="687"/>
      <c r="CK59" s="687"/>
      <c r="CL59" s="634" t="s">
        <v>92</v>
      </c>
      <c r="CM59" s="634"/>
      <c r="CN59" s="688"/>
      <c r="CO59" s="688"/>
      <c r="CP59" s="686"/>
      <c r="CU59" s="699"/>
      <c r="CV59" s="687"/>
      <c r="CW59" s="687"/>
      <c r="CX59" s="634" t="s">
        <v>92</v>
      </c>
      <c r="CY59" s="634"/>
      <c r="CZ59" s="688"/>
      <c r="DA59" s="688"/>
      <c r="DB59" s="686"/>
      <c r="DH59" s="686"/>
      <c r="DM59" s="699"/>
      <c r="DS59" s="699"/>
      <c r="DT59" s="687"/>
      <c r="DU59" s="687"/>
      <c r="DV59" s="634" t="s">
        <v>92</v>
      </c>
      <c r="DW59" s="634"/>
      <c r="DX59" s="688"/>
      <c r="DY59" s="688"/>
      <c r="DZ59" s="686"/>
      <c r="EE59" s="699"/>
      <c r="EF59" s="687"/>
      <c r="EG59" s="687"/>
      <c r="EH59" s="634" t="s">
        <v>92</v>
      </c>
      <c r="EI59" s="634"/>
      <c r="EJ59" s="688"/>
      <c r="EK59" s="688"/>
      <c r="EL59" s="686"/>
      <c r="ER59" s="686"/>
      <c r="ET59" s="64"/>
    </row>
    <row r="60" spans="1:150" s="61" customFormat="1" ht="13.5" customHeight="1" x14ac:dyDescent="0.15">
      <c r="A60" s="104"/>
      <c r="C60" s="699"/>
      <c r="D60" s="76"/>
      <c r="I60" s="699"/>
      <c r="J60" s="687"/>
      <c r="K60" s="687"/>
      <c r="L60" s="618" t="str">
        <f>IF(J60="","","－")</f>
        <v/>
      </c>
      <c r="M60" s="618"/>
      <c r="N60" s="688"/>
      <c r="O60" s="688"/>
      <c r="P60" s="686"/>
      <c r="U60" s="699"/>
      <c r="V60" s="687"/>
      <c r="W60" s="687"/>
      <c r="X60" s="618" t="str">
        <f>IF(V60="","","－")</f>
        <v/>
      </c>
      <c r="Y60" s="618"/>
      <c r="Z60" s="688"/>
      <c r="AA60" s="688"/>
      <c r="AB60" s="686"/>
      <c r="AG60" s="699"/>
      <c r="AH60" s="687"/>
      <c r="AI60" s="687"/>
      <c r="AJ60" s="618" t="str">
        <f>IF(AH60="","","－")</f>
        <v/>
      </c>
      <c r="AK60" s="618"/>
      <c r="AL60" s="688"/>
      <c r="AM60" s="688"/>
      <c r="AN60" s="686"/>
      <c r="AS60" s="699"/>
      <c r="AY60" s="699"/>
      <c r="AZ60" s="687"/>
      <c r="BA60" s="687"/>
      <c r="BB60" s="618"/>
      <c r="BC60" s="618"/>
      <c r="BD60" s="688"/>
      <c r="BE60" s="688"/>
      <c r="BF60" s="686"/>
      <c r="BK60" s="699"/>
      <c r="BL60" s="687"/>
      <c r="BM60" s="687"/>
      <c r="BN60" s="618" t="str">
        <f>IF(BL60="","","－")</f>
        <v/>
      </c>
      <c r="BO60" s="618"/>
      <c r="BP60" s="688"/>
      <c r="BQ60" s="688"/>
      <c r="BR60" s="686"/>
      <c r="BX60" s="686"/>
      <c r="CC60" s="699"/>
      <c r="CI60" s="699"/>
      <c r="CJ60" s="687"/>
      <c r="CK60" s="687"/>
      <c r="CL60" s="618" t="str">
        <f>IF(CJ60="","","－")</f>
        <v/>
      </c>
      <c r="CM60" s="618"/>
      <c r="CN60" s="688"/>
      <c r="CO60" s="688"/>
      <c r="CP60" s="686"/>
      <c r="CU60" s="699"/>
      <c r="CV60" s="687"/>
      <c r="CW60" s="687"/>
      <c r="CX60" s="618" t="str">
        <f>IF(CV60="","","－")</f>
        <v/>
      </c>
      <c r="CY60" s="618"/>
      <c r="CZ60" s="688"/>
      <c r="DA60" s="688"/>
      <c r="DB60" s="686"/>
      <c r="DH60" s="686"/>
      <c r="DM60" s="699"/>
      <c r="DS60" s="699"/>
      <c r="DT60" s="687"/>
      <c r="DU60" s="687"/>
      <c r="DV60" s="618"/>
      <c r="DW60" s="618"/>
      <c r="DX60" s="688"/>
      <c r="DY60" s="688"/>
      <c r="DZ60" s="686"/>
      <c r="EE60" s="699"/>
      <c r="EF60" s="687"/>
      <c r="EG60" s="687"/>
      <c r="EH60" s="618" t="str">
        <f>IF(EF60="","","－")</f>
        <v/>
      </c>
      <c r="EI60" s="618"/>
      <c r="EJ60" s="688"/>
      <c r="EK60" s="688"/>
      <c r="EL60" s="686"/>
      <c r="ER60" s="686"/>
      <c r="ET60" s="64"/>
    </row>
    <row r="61" spans="1:150" s="61" customFormat="1" ht="13.5" customHeight="1" x14ac:dyDescent="0.15">
      <c r="A61" s="104"/>
      <c r="C61" s="699"/>
      <c r="D61" s="76"/>
      <c r="I61" s="699"/>
      <c r="J61" s="687"/>
      <c r="K61" s="687"/>
      <c r="L61" s="618" t="str">
        <f>IF(J61="","","－")</f>
        <v/>
      </c>
      <c r="M61" s="618"/>
      <c r="N61" s="688"/>
      <c r="O61" s="688"/>
      <c r="P61" s="686"/>
      <c r="U61" s="699"/>
      <c r="V61" s="687"/>
      <c r="W61" s="687"/>
      <c r="X61" s="618" t="str">
        <f>IF(V61="","","－")</f>
        <v/>
      </c>
      <c r="Y61" s="618"/>
      <c r="Z61" s="688"/>
      <c r="AA61" s="688"/>
      <c r="AB61" s="686"/>
      <c r="AG61" s="699"/>
      <c r="AH61" s="687"/>
      <c r="AI61" s="687"/>
      <c r="AJ61" s="618" t="str">
        <f>IF(AH61="","","－")</f>
        <v/>
      </c>
      <c r="AK61" s="618"/>
      <c r="AL61" s="688"/>
      <c r="AM61" s="688"/>
      <c r="AN61" s="686"/>
      <c r="AS61" s="699"/>
      <c r="AY61" s="699"/>
      <c r="AZ61" s="687"/>
      <c r="BA61" s="687"/>
      <c r="BB61" s="618" t="str">
        <f>IF(AZ61="","","－")</f>
        <v/>
      </c>
      <c r="BC61" s="618"/>
      <c r="BD61" s="688"/>
      <c r="BE61" s="688"/>
      <c r="BF61" s="686"/>
      <c r="BK61" s="699"/>
      <c r="BL61" s="687"/>
      <c r="BM61" s="687"/>
      <c r="BN61" s="618" t="str">
        <f>IF(BL61="","","－")</f>
        <v/>
      </c>
      <c r="BO61" s="618"/>
      <c r="BP61" s="688"/>
      <c r="BQ61" s="688"/>
      <c r="BR61" s="686"/>
      <c r="BX61" s="686"/>
      <c r="CC61" s="699"/>
      <c r="CI61" s="699"/>
      <c r="CJ61" s="687"/>
      <c r="CK61" s="687"/>
      <c r="CL61" s="618" t="str">
        <f>IF(CJ61="","","－")</f>
        <v/>
      </c>
      <c r="CM61" s="618"/>
      <c r="CN61" s="688"/>
      <c r="CO61" s="688"/>
      <c r="CP61" s="686"/>
      <c r="CU61" s="699"/>
      <c r="CV61" s="687"/>
      <c r="CW61" s="687"/>
      <c r="CX61" s="618" t="str">
        <f>IF(CV61="","","－")</f>
        <v/>
      </c>
      <c r="CY61" s="618"/>
      <c r="CZ61" s="688"/>
      <c r="DA61" s="688"/>
      <c r="DB61" s="686"/>
      <c r="DH61" s="686"/>
      <c r="DM61" s="699"/>
      <c r="DS61" s="699"/>
      <c r="DT61" s="687"/>
      <c r="DU61" s="687"/>
      <c r="DV61" s="618" t="str">
        <f>IF(DT61="","","－")</f>
        <v/>
      </c>
      <c r="DW61" s="618"/>
      <c r="DX61" s="688"/>
      <c r="DY61" s="688"/>
      <c r="DZ61" s="686"/>
      <c r="EE61" s="699"/>
      <c r="EF61" s="687"/>
      <c r="EG61" s="687"/>
      <c r="EH61" s="618" t="str">
        <f>IF(EF61="","","－")</f>
        <v/>
      </c>
      <c r="EI61" s="618"/>
      <c r="EJ61" s="688"/>
      <c r="EK61" s="688"/>
      <c r="EL61" s="686"/>
      <c r="ER61" s="686"/>
      <c r="ET61" s="64"/>
    </row>
    <row r="62" spans="1:150" s="111" customFormat="1" ht="13.5" customHeight="1" x14ac:dyDescent="0.2">
      <c r="A62" s="110"/>
      <c r="C62" s="699"/>
      <c r="D62" s="112"/>
      <c r="I62" s="699"/>
      <c r="J62" s="108"/>
      <c r="K62" s="690" t="str">
        <f>IF(J63="","","PK")</f>
        <v/>
      </c>
      <c r="L62" s="690"/>
      <c r="M62" s="690"/>
      <c r="N62" s="690"/>
      <c r="O62" s="109"/>
      <c r="P62" s="686"/>
      <c r="U62" s="699"/>
      <c r="V62" s="108"/>
      <c r="W62" s="690" t="str">
        <f>IF(V63="","","PK")</f>
        <v/>
      </c>
      <c r="X62" s="690"/>
      <c r="Y62" s="690"/>
      <c r="Z62" s="690"/>
      <c r="AA62" s="109"/>
      <c r="AB62" s="686"/>
      <c r="AG62" s="699"/>
      <c r="AH62" s="108"/>
      <c r="AI62" s="690" t="str">
        <f>IF(AH63="","","PK")</f>
        <v/>
      </c>
      <c r="AJ62" s="690"/>
      <c r="AK62" s="690"/>
      <c r="AL62" s="690"/>
      <c r="AM62" s="109"/>
      <c r="AN62" s="686"/>
      <c r="AS62" s="699"/>
      <c r="AY62" s="699"/>
      <c r="AZ62" s="108"/>
      <c r="BA62" s="690" t="str">
        <f>IF(AZ63="","","PK")</f>
        <v/>
      </c>
      <c r="BB62" s="690"/>
      <c r="BC62" s="690"/>
      <c r="BD62" s="690"/>
      <c r="BE62" s="109"/>
      <c r="BF62" s="686"/>
      <c r="BK62" s="699"/>
      <c r="BL62" s="108"/>
      <c r="BM62" s="690" t="str">
        <f>IF(BL63="","","PK")</f>
        <v/>
      </c>
      <c r="BN62" s="690"/>
      <c r="BO62" s="690"/>
      <c r="BP62" s="690"/>
      <c r="BQ62" s="109"/>
      <c r="BR62" s="686"/>
      <c r="BX62" s="686"/>
      <c r="CC62" s="699"/>
      <c r="CI62" s="699"/>
      <c r="CJ62" s="108"/>
      <c r="CK62" s="690" t="str">
        <f>IF(CJ63="","","PK")</f>
        <v/>
      </c>
      <c r="CL62" s="690"/>
      <c r="CM62" s="690"/>
      <c r="CN62" s="690"/>
      <c r="CO62" s="109"/>
      <c r="CP62" s="686"/>
      <c r="CU62" s="699"/>
      <c r="CV62" s="108"/>
      <c r="CW62" s="690" t="str">
        <f>IF(CV63="","","PK")</f>
        <v/>
      </c>
      <c r="CX62" s="690"/>
      <c r="CY62" s="690"/>
      <c r="CZ62" s="690"/>
      <c r="DA62" s="109"/>
      <c r="DB62" s="686"/>
      <c r="DH62" s="686"/>
      <c r="DM62" s="699"/>
      <c r="DS62" s="699"/>
      <c r="DT62" s="108"/>
      <c r="DU62" s="690" t="str">
        <f>IF(DT63="","","PK")</f>
        <v/>
      </c>
      <c r="DV62" s="690"/>
      <c r="DW62" s="690"/>
      <c r="DX62" s="690"/>
      <c r="DY62" s="109"/>
      <c r="DZ62" s="686"/>
      <c r="EE62" s="699"/>
      <c r="EF62" s="108"/>
      <c r="EG62" s="690" t="str">
        <f>IF(EF63="","","PK")</f>
        <v/>
      </c>
      <c r="EH62" s="690"/>
      <c r="EI62" s="690"/>
      <c r="EJ62" s="690"/>
      <c r="EK62" s="109"/>
      <c r="EL62" s="686"/>
      <c r="ER62" s="686"/>
      <c r="ET62" s="108"/>
    </row>
    <row r="63" spans="1:150" s="61" customFormat="1" ht="13.5" customHeight="1" x14ac:dyDescent="0.15">
      <c r="A63" s="104"/>
      <c r="C63" s="699"/>
      <c r="D63" s="76"/>
      <c r="I63" s="699"/>
      <c r="J63" s="687"/>
      <c r="K63" s="687"/>
      <c r="L63" s="618" t="str">
        <f>IF(J63="","","－")</f>
        <v/>
      </c>
      <c r="M63" s="618"/>
      <c r="N63" s="688"/>
      <c r="O63" s="688"/>
      <c r="P63" s="686"/>
      <c r="U63" s="699"/>
      <c r="V63" s="687"/>
      <c r="W63" s="687"/>
      <c r="X63" s="618" t="str">
        <f>IF(V63="","","－")</f>
        <v/>
      </c>
      <c r="Y63" s="618"/>
      <c r="Z63" s="688"/>
      <c r="AA63" s="688"/>
      <c r="AB63" s="686"/>
      <c r="AG63" s="699"/>
      <c r="AH63" s="687"/>
      <c r="AI63" s="687"/>
      <c r="AJ63" s="618" t="str">
        <f>IF(AH63="","","－")</f>
        <v/>
      </c>
      <c r="AK63" s="618"/>
      <c r="AL63" s="688"/>
      <c r="AM63" s="688"/>
      <c r="AN63" s="686"/>
      <c r="AS63" s="699"/>
      <c r="AY63" s="699"/>
      <c r="AZ63" s="687"/>
      <c r="BA63" s="687"/>
      <c r="BB63" s="618" t="str">
        <f>IF(AZ63="","","－")</f>
        <v/>
      </c>
      <c r="BC63" s="618"/>
      <c r="BD63" s="688"/>
      <c r="BE63" s="688"/>
      <c r="BF63" s="686"/>
      <c r="BK63" s="699"/>
      <c r="BL63" s="687"/>
      <c r="BM63" s="687"/>
      <c r="BN63" s="618" t="str">
        <f>IF(BL63="","","－")</f>
        <v/>
      </c>
      <c r="BO63" s="618"/>
      <c r="BP63" s="688"/>
      <c r="BQ63" s="688"/>
      <c r="BR63" s="686"/>
      <c r="BX63" s="686"/>
      <c r="CC63" s="699"/>
      <c r="CI63" s="699"/>
      <c r="CJ63" s="687"/>
      <c r="CK63" s="687"/>
      <c r="CL63" s="618" t="str">
        <f>IF(CJ63="","","－")</f>
        <v/>
      </c>
      <c r="CM63" s="618"/>
      <c r="CN63" s="688"/>
      <c r="CO63" s="688"/>
      <c r="CP63" s="686"/>
      <c r="CU63" s="699"/>
      <c r="CV63" s="687"/>
      <c r="CW63" s="687"/>
      <c r="CX63" s="618" t="str">
        <f>IF(CV63="","","－")</f>
        <v/>
      </c>
      <c r="CY63" s="618"/>
      <c r="CZ63" s="688"/>
      <c r="DA63" s="688"/>
      <c r="DB63" s="686"/>
      <c r="DH63" s="686"/>
      <c r="DM63" s="699"/>
      <c r="DS63" s="699"/>
      <c r="DT63" s="687"/>
      <c r="DU63" s="687"/>
      <c r="DV63" s="618" t="str">
        <f>IF(DT63="","","－")</f>
        <v/>
      </c>
      <c r="DW63" s="618"/>
      <c r="DX63" s="688"/>
      <c r="DY63" s="688"/>
      <c r="DZ63" s="686"/>
      <c r="EE63" s="699"/>
      <c r="EF63" s="687"/>
      <c r="EG63" s="687"/>
      <c r="EH63" s="618" t="str">
        <f>IF(EF63="","","－")</f>
        <v/>
      </c>
      <c r="EI63" s="618"/>
      <c r="EJ63" s="688"/>
      <c r="EK63" s="688"/>
      <c r="EL63" s="686"/>
      <c r="ER63" s="686"/>
      <c r="ET63" s="64"/>
    </row>
    <row r="64" spans="1:150" s="114" customFormat="1" ht="13.5" customHeight="1" x14ac:dyDescent="0.15">
      <c r="A64" s="113"/>
      <c r="C64" s="699"/>
      <c r="D64" s="115"/>
      <c r="I64" s="699"/>
      <c r="K64" s="689" t="str">
        <f>IF(J63="","","PK")</f>
        <v/>
      </c>
      <c r="L64" s="689"/>
      <c r="M64" s="689"/>
      <c r="N64" s="689"/>
      <c r="P64" s="686"/>
      <c r="U64" s="699"/>
      <c r="W64" s="689" t="str">
        <f>IF(V63="","","PK")</f>
        <v/>
      </c>
      <c r="X64" s="689"/>
      <c r="Y64" s="689"/>
      <c r="Z64" s="689"/>
      <c r="AB64" s="686"/>
      <c r="AG64" s="699"/>
      <c r="AI64" s="689" t="str">
        <f>IF(AH63="","","PK")</f>
        <v/>
      </c>
      <c r="AJ64" s="689"/>
      <c r="AK64" s="689"/>
      <c r="AL64" s="689"/>
      <c r="AN64" s="686"/>
      <c r="AS64" s="699"/>
      <c r="AY64" s="699"/>
      <c r="BA64" s="689" t="str">
        <f>IF(AZ63="","","PK")</f>
        <v/>
      </c>
      <c r="BB64" s="689"/>
      <c r="BC64" s="689"/>
      <c r="BD64" s="689"/>
      <c r="BF64" s="686"/>
      <c r="BK64" s="699"/>
      <c r="BM64" s="689" t="str">
        <f>IF(BL63="","","PK")</f>
        <v/>
      </c>
      <c r="BN64" s="689"/>
      <c r="BO64" s="689"/>
      <c r="BP64" s="689"/>
      <c r="BR64" s="686"/>
      <c r="BX64" s="686"/>
      <c r="CC64" s="699"/>
      <c r="CI64" s="699"/>
      <c r="CK64" s="689" t="str">
        <f>IF(CJ63="","","PK")</f>
        <v/>
      </c>
      <c r="CL64" s="689"/>
      <c r="CM64" s="689"/>
      <c r="CN64" s="689"/>
      <c r="CP64" s="686"/>
      <c r="CU64" s="699"/>
      <c r="CW64" s="689" t="str">
        <f>IF(CV63="","","PK")</f>
        <v/>
      </c>
      <c r="CX64" s="689"/>
      <c r="CY64" s="689"/>
      <c r="CZ64" s="689"/>
      <c r="DB64" s="686"/>
      <c r="DH64" s="686"/>
      <c r="DM64" s="699"/>
      <c r="DS64" s="699"/>
      <c r="DU64" s="689" t="str">
        <f>IF(DT63="","","PK")</f>
        <v/>
      </c>
      <c r="DV64" s="689"/>
      <c r="DW64" s="689"/>
      <c r="DX64" s="689"/>
      <c r="DZ64" s="686"/>
      <c r="EE64" s="699"/>
      <c r="EG64" s="689" t="str">
        <f>IF(EF63="","","PK")</f>
        <v/>
      </c>
      <c r="EH64" s="689"/>
      <c r="EI64" s="689"/>
      <c r="EJ64" s="689"/>
      <c r="EL64" s="686"/>
      <c r="ER64" s="686"/>
      <c r="ET64" s="116"/>
    </row>
    <row r="65" spans="2:150" s="59" customFormat="1" ht="13.5" customHeight="1" x14ac:dyDescent="0.15">
      <c r="B65" s="618"/>
      <c r="C65" s="618"/>
      <c r="D65" s="618"/>
      <c r="E65" s="618"/>
      <c r="H65" s="618">
        <f>B65+1</f>
        <v>1</v>
      </c>
      <c r="I65" s="618"/>
      <c r="J65" s="618"/>
      <c r="K65" s="618"/>
      <c r="N65" s="618">
        <f>H65+1</f>
        <v>2</v>
      </c>
      <c r="O65" s="618"/>
      <c r="P65" s="618"/>
      <c r="Q65" s="618"/>
      <c r="T65" s="618">
        <f>N65+1</f>
        <v>3</v>
      </c>
      <c r="U65" s="618"/>
      <c r="V65" s="618"/>
      <c r="W65" s="618"/>
      <c r="Z65" s="618">
        <f>T65+1</f>
        <v>4</v>
      </c>
      <c r="AA65" s="618"/>
      <c r="AB65" s="618"/>
      <c r="AC65" s="618"/>
      <c r="AF65" s="618">
        <f>Z65+1</f>
        <v>5</v>
      </c>
      <c r="AG65" s="618"/>
      <c r="AH65" s="618"/>
      <c r="AI65" s="618"/>
      <c r="AL65" s="618">
        <f>AF65+1</f>
        <v>6</v>
      </c>
      <c r="AM65" s="618"/>
      <c r="AN65" s="618"/>
      <c r="AO65" s="618"/>
      <c r="AR65" s="618">
        <f>AL65+1</f>
        <v>7</v>
      </c>
      <c r="AS65" s="618"/>
      <c r="AT65" s="618"/>
      <c r="AU65" s="618"/>
      <c r="AX65" s="618">
        <f>AR65+1</f>
        <v>8</v>
      </c>
      <c r="AY65" s="618"/>
      <c r="AZ65" s="618"/>
      <c r="BA65" s="618"/>
      <c r="BD65" s="618">
        <f>AX65+1</f>
        <v>9</v>
      </c>
      <c r="BE65" s="618"/>
      <c r="BF65" s="618"/>
      <c r="BG65" s="618"/>
      <c r="BJ65" s="618">
        <f>BD65+1</f>
        <v>10</v>
      </c>
      <c r="BK65" s="618"/>
      <c r="BL65" s="618"/>
      <c r="BM65" s="618"/>
      <c r="BP65" s="618">
        <f>BJ65+1</f>
        <v>11</v>
      </c>
      <c r="BQ65" s="618"/>
      <c r="BR65" s="618"/>
      <c r="BS65" s="618"/>
      <c r="BV65" s="618">
        <f>BP65+1</f>
        <v>12</v>
      </c>
      <c r="BW65" s="618"/>
      <c r="BX65" s="618"/>
      <c r="BY65" s="618"/>
      <c r="CB65" s="618">
        <f>BV65+1</f>
        <v>13</v>
      </c>
      <c r="CC65" s="618"/>
      <c r="CD65" s="618"/>
      <c r="CE65" s="618"/>
      <c r="CH65" s="618">
        <f>CB65+1</f>
        <v>14</v>
      </c>
      <c r="CI65" s="618"/>
      <c r="CJ65" s="618"/>
      <c r="CK65" s="618"/>
      <c r="CN65" s="618">
        <f>CH65+1</f>
        <v>15</v>
      </c>
      <c r="CO65" s="618"/>
      <c r="CP65" s="618"/>
      <c r="CQ65" s="618"/>
      <c r="CT65" s="618">
        <f>CN65+1</f>
        <v>16</v>
      </c>
      <c r="CU65" s="618"/>
      <c r="CV65" s="618"/>
      <c r="CW65" s="618"/>
      <c r="CZ65" s="618">
        <f>CT65+1</f>
        <v>17</v>
      </c>
      <c r="DA65" s="618"/>
      <c r="DB65" s="618"/>
      <c r="DC65" s="618"/>
      <c r="DF65" s="618">
        <f>CZ65+1</f>
        <v>18</v>
      </c>
      <c r="DG65" s="618"/>
      <c r="DH65" s="618"/>
      <c r="DI65" s="618"/>
      <c r="DL65" s="618">
        <f>DF65+1</f>
        <v>19</v>
      </c>
      <c r="DM65" s="618"/>
      <c r="DN65" s="618"/>
      <c r="DO65" s="618"/>
      <c r="DR65" s="618">
        <f>DL65+1</f>
        <v>20</v>
      </c>
      <c r="DS65" s="618"/>
      <c r="DT65" s="618"/>
      <c r="DU65" s="618"/>
      <c r="DX65" s="618">
        <f>DR65+1</f>
        <v>21</v>
      </c>
      <c r="DY65" s="618"/>
      <c r="DZ65" s="618"/>
      <c r="EA65" s="618"/>
      <c r="ED65" s="618">
        <f>DX65+1</f>
        <v>22</v>
      </c>
      <c r="EE65" s="618"/>
      <c r="EF65" s="618"/>
      <c r="EG65" s="618"/>
      <c r="EJ65" s="618">
        <f>ED65+1</f>
        <v>23</v>
      </c>
      <c r="EK65" s="618"/>
      <c r="EL65" s="618"/>
      <c r="EM65" s="618"/>
      <c r="EP65" s="618">
        <f>EJ65+1</f>
        <v>24</v>
      </c>
      <c r="EQ65" s="618"/>
      <c r="ER65" s="618"/>
      <c r="ES65" s="618"/>
      <c r="ET65" s="60"/>
    </row>
    <row r="66" spans="2:150" s="122" customFormat="1" ht="105" customHeight="1" x14ac:dyDescent="0.15">
      <c r="B66" s="704">
        <f>IF(ISERROR(MATCH(B65,予選学校名!$B$3:$B$32,0))=TRUE,B65,INDEX(予選学校名!$B$3:$F$32,MATCH(B65,予選学校名!$B$3:$B$32,0),2))</f>
        <v>0</v>
      </c>
      <c r="C66" s="705"/>
      <c r="D66" s="705"/>
      <c r="E66" s="706"/>
      <c r="F66" s="119"/>
      <c r="G66" s="120"/>
      <c r="H66" s="704" t="str">
        <f>IF(ISERROR(MATCH(H65,予選学校名!$B$3:$B$32,0))=TRUE,H65,INDEX(予選学校名!$B$3:$F$32,MATCH(H65,予選学校名!$B$3:$B$32,0),2))</f>
        <v>星稜</v>
      </c>
      <c r="I66" s="705"/>
      <c r="J66" s="705"/>
      <c r="K66" s="706"/>
      <c r="L66" s="119"/>
      <c r="M66" s="120"/>
      <c r="N66" s="704" t="str">
        <f>IF(ISERROR(MATCH(N65,予選学校名!$B$3:$B$32,0))=TRUE,N65,INDEX(予選学校名!$B$3:$F$32,MATCH(N65,予選学校名!$B$3:$B$32,0),2))</f>
        <v>港</v>
      </c>
      <c r="O66" s="705"/>
      <c r="P66" s="705"/>
      <c r="Q66" s="706"/>
      <c r="R66" s="119"/>
      <c r="S66" s="120"/>
      <c r="T66" s="704" t="str">
        <f>IF(ISERROR(MATCH(T65,予選学校名!$B$3:$B$32,0))=TRUE,T65,INDEX(予選学校名!$B$3:$F$32,MATCH(T65,予選学校名!$B$3:$B$32,0),2))</f>
        <v>津幡</v>
      </c>
      <c r="U66" s="705"/>
      <c r="V66" s="705"/>
      <c r="W66" s="706"/>
      <c r="X66" s="119"/>
      <c r="Y66" s="120"/>
      <c r="Z66" s="704" t="str">
        <f>IF(ISERROR(MATCH(Z65,予選学校名!$B$3:$B$32,0))=TRUE,Z65,INDEX(予選学校名!$B$3:$F$32,MATCH(Z65,予選学校名!$B$3:$B$32,0),2))</f>
        <v>長田</v>
      </c>
      <c r="AA66" s="705"/>
      <c r="AB66" s="705"/>
      <c r="AC66" s="706"/>
      <c r="AD66" s="119"/>
      <c r="AE66" s="120"/>
      <c r="AF66" s="704" t="str">
        <f>IF(ISERROR(MATCH(AF65,予選学校名!$B$3:$B$32,0))=TRUE,AF65,INDEX(予選学校名!$B$3:$F$32,MATCH(AF65,予選学校名!$B$3:$B$32,0),2))</f>
        <v>野田</v>
      </c>
      <c r="AG66" s="705"/>
      <c r="AH66" s="705"/>
      <c r="AI66" s="706"/>
      <c r="AJ66" s="119"/>
      <c r="AK66" s="120"/>
      <c r="AL66" s="704" t="str">
        <f>IF(ISERROR(MATCH(AL65,予選学校名!$B$3:$B$32,0))=TRUE,AL65,INDEX(予選学校名!$B$3:$F$32,MATCH(AL65,予選学校名!$B$3:$B$32,0),2))</f>
        <v>兼六</v>
      </c>
      <c r="AM66" s="705"/>
      <c r="AN66" s="705"/>
      <c r="AO66" s="706"/>
      <c r="AP66" s="119"/>
      <c r="AQ66" s="120"/>
      <c r="AR66" s="704" t="str">
        <f>IF(ISERROR(MATCH(AR65,予選学校名!$B$3:$B$32,0))=TRUE,AR65,INDEX(予選学校名!$B$3:$F$32,MATCH(AR65,予選学校名!$B$3:$B$32,0),2))</f>
        <v>高岡</v>
      </c>
      <c r="AS66" s="705"/>
      <c r="AT66" s="705"/>
      <c r="AU66" s="706"/>
      <c r="AV66" s="119"/>
      <c r="AW66" s="120"/>
      <c r="AX66" s="704" t="str">
        <f>IF(ISERROR(MATCH(AX65,予選学校名!$B$3:$B$32,0))=TRUE,AX65,INDEX(予選学校名!$B$3:$F$32,MATCH(AX65,予選学校名!$B$3:$B$32,0),2))</f>
        <v>森本</v>
      </c>
      <c r="AY66" s="705"/>
      <c r="AZ66" s="705"/>
      <c r="BA66" s="706"/>
      <c r="BB66" s="119"/>
      <c r="BC66" s="120"/>
      <c r="BD66" s="704" t="str">
        <f>IF(ISERROR(MATCH(BD65,予選学校名!$B$3:$B$32,0))=TRUE,BD65,INDEX(予選学校名!$B$3:$F$32,MATCH(BD65,予選学校名!$B$3:$B$32,0),2))</f>
        <v>泉･高尾台</v>
      </c>
      <c r="BE66" s="705"/>
      <c r="BF66" s="705"/>
      <c r="BG66" s="706"/>
      <c r="BH66" s="119"/>
      <c r="BI66" s="120"/>
      <c r="BJ66" s="704" t="str">
        <f>IF(ISERROR(MATCH(BJ65,予選学校名!$B$3:$B$32,0))=TRUE,BJ65,INDEX(予選学校名!$B$3:$F$32,MATCH(BJ65,予選学校名!$B$3:$B$32,0),2))</f>
        <v>城南</v>
      </c>
      <c r="BK66" s="705"/>
      <c r="BL66" s="705"/>
      <c r="BM66" s="706"/>
      <c r="BN66" s="119"/>
      <c r="BO66" s="120"/>
      <c r="BP66" s="704" t="str">
        <f>IF(ISERROR(MATCH(BP65,予選学校名!$B$3:$B$32,0))=TRUE,BP65,INDEX(予選学校名!$B$3:$F$32,MATCH(BP65,予選学校名!$B$3:$B$32,0),2))</f>
        <v>浅野川</v>
      </c>
      <c r="BQ66" s="705"/>
      <c r="BR66" s="705"/>
      <c r="BS66" s="706"/>
      <c r="BT66" s="119"/>
      <c r="BU66" s="120"/>
      <c r="BV66" s="704" t="str">
        <f>IF(ISERROR(MATCH(BV65,予選学校名!$B$3:$B$32,0))=TRUE,BV65,INDEX(予選学校名!$B$3:$F$32,MATCH(BV65,予選学校名!$B$3:$B$32,0),2))</f>
        <v>学院附属</v>
      </c>
      <c r="BW66" s="705"/>
      <c r="BX66" s="705"/>
      <c r="BY66" s="706"/>
      <c r="BZ66" s="119"/>
      <c r="CA66" s="120"/>
      <c r="CB66" s="704" t="str">
        <f>IF(ISERROR(MATCH(CB65,予選学校名!$B$3:$B$32,0))=TRUE,CB65,INDEX(予選学校名!$B$3:$F$32,MATCH(CB65,予選学校名!$B$3:$B$32,0),2))</f>
        <v>大徳</v>
      </c>
      <c r="CC66" s="705"/>
      <c r="CD66" s="705"/>
      <c r="CE66" s="706"/>
      <c r="CF66" s="119"/>
      <c r="CG66" s="120"/>
      <c r="CH66" s="704" t="str">
        <f>IF(ISERROR(MATCH(CH65,予選学校名!$B$3:$B$32,0))=TRUE,CH65,INDEX(予選学校名!$B$3:$F$32,MATCH(CH65,予選学校名!$B$3:$B$32,0),2))</f>
        <v>錦丘･緑</v>
      </c>
      <c r="CI66" s="705"/>
      <c r="CJ66" s="705"/>
      <c r="CK66" s="706"/>
      <c r="CL66" s="119"/>
      <c r="CM66" s="120"/>
      <c r="CN66" s="704" t="str">
        <f>IF(ISERROR(MATCH(CN65,予選学校名!$B$3:$B$32,0))=TRUE,CN65,INDEX(予選学校名!$B$3:$F$32,MATCH(CN65,予選学校名!$B$3:$B$32,0),2))</f>
        <v>金大附属</v>
      </c>
      <c r="CO66" s="705"/>
      <c r="CP66" s="705"/>
      <c r="CQ66" s="706"/>
      <c r="CR66" s="119"/>
      <c r="CS66" s="120"/>
      <c r="CT66" s="704" t="str">
        <f>IF(ISERROR(MATCH(CT65,予選学校名!$B$3:$B$32,0))=TRUE,CT65,INDEX(予選学校名!$B$3:$F$32,MATCH(CT65,予選学校名!$B$3:$B$32,0),2))</f>
        <v>内灘</v>
      </c>
      <c r="CU66" s="705"/>
      <c r="CV66" s="705"/>
      <c r="CW66" s="706"/>
      <c r="CX66" s="119"/>
      <c r="CY66" s="120"/>
      <c r="CZ66" s="704" t="str">
        <f>IF(ISERROR(MATCH(CZ65,予選学校名!$B$3:$B$32,0))=TRUE,CZ65,INDEX(予選学校名!$B$3:$F$32,MATCH(CZ65,予選学校名!$B$3:$B$32,0),2))</f>
        <v>清泉</v>
      </c>
      <c r="DA66" s="705"/>
      <c r="DB66" s="705"/>
      <c r="DC66" s="706"/>
      <c r="DD66" s="119"/>
      <c r="DE66" s="120"/>
      <c r="DF66" s="704" t="str">
        <f>IF(ISERROR(MATCH(DF65,予選学校名!$B$3:$B$32,0))=TRUE,DF65,INDEX(予選学校名!$B$3:$F$32,MATCH(DF65,予選学校名!$B$3:$B$32,0),2))</f>
        <v>西南部</v>
      </c>
      <c r="DG66" s="705"/>
      <c r="DH66" s="705"/>
      <c r="DI66" s="706"/>
      <c r="DJ66" s="119"/>
      <c r="DK66" s="120"/>
      <c r="DL66" s="704" t="str">
        <f>IF(ISERROR(MATCH(DL65,予選学校名!$B$3:$B$32,0))=TRUE,DL65,INDEX(予選学校名!$B$3:$F$32,MATCH(DL65,予選学校名!$B$3:$B$32,0),2))</f>
        <v>金石</v>
      </c>
      <c r="DM66" s="705"/>
      <c r="DN66" s="705"/>
      <c r="DO66" s="706"/>
      <c r="DP66" s="119"/>
      <c r="DQ66" s="120"/>
      <c r="DR66" s="704" t="str">
        <f>IF(ISERROR(MATCH(DR65,予選学校名!$B$3:$B$32,0))=TRUE,DR65,INDEX(予選学校名!$B$3:$F$32,MATCH(DR65,予選学校名!$B$3:$B$32,0),2))</f>
        <v>紫錦台</v>
      </c>
      <c r="DS66" s="712"/>
      <c r="DT66" s="712"/>
      <c r="DU66" s="712"/>
      <c r="DV66" s="121"/>
      <c r="DW66" s="119"/>
      <c r="DX66" s="704" t="str">
        <f>IF(ISERROR(MATCH(DX65,予選学校名!$B$3:$B$32,0))=TRUE,DX65,INDEX(予選学校名!$B$3:$F$32,MATCH(DX65,予選学校名!$B$3:$B$32,0),2))</f>
        <v>北鳴</v>
      </c>
      <c r="DY66" s="705"/>
      <c r="DZ66" s="705"/>
      <c r="EA66" s="706"/>
      <c r="EB66" s="119"/>
      <c r="EC66" s="120"/>
      <c r="ED66" s="704" t="str">
        <f>IF(ISERROR(MATCH(ED65,予選学校名!$B$3:$B$32,0))=TRUE,ED65,INDEX(予選学校名!$B$3:$F$32,MATCH(ED65,予選学校名!$B$3:$B$32,0),2))</f>
        <v>津幡南</v>
      </c>
      <c r="EE66" s="705"/>
      <c r="EF66" s="705"/>
      <c r="EG66" s="706"/>
      <c r="EJ66" s="704">
        <f>IF(ISERROR(MATCH(EJ65,予選学校名!$B$3:$B$32,0))=TRUE,EJ65,INDEX(予選学校名!$B$3:$F$32,MATCH(EJ65,予選学校名!$B$3:$B$32,0),2))</f>
        <v>23</v>
      </c>
      <c r="EK66" s="705"/>
      <c r="EL66" s="705"/>
      <c r="EM66" s="706"/>
      <c r="EN66" s="119"/>
      <c r="EO66" s="120"/>
      <c r="EP66" s="704">
        <f>IF(ISERROR(MATCH(EP65,予選学校名!$B$3:$B$32,0))=TRUE,EP65,INDEX(予選学校名!$B$3:$F$32,MATCH(EP65,予選学校名!$B$3:$B$32,0),2))</f>
        <v>24</v>
      </c>
      <c r="EQ66" s="705"/>
      <c r="ER66" s="705"/>
      <c r="ES66" s="706"/>
      <c r="ET66" s="123"/>
    </row>
    <row r="67" spans="2:150" ht="13.5" customHeight="1" x14ac:dyDescent="0.15"/>
    <row r="68" spans="2:150" ht="13.5" customHeight="1" x14ac:dyDescent="0.15"/>
    <row r="69" spans="2:150" ht="13.5" customHeight="1" x14ac:dyDescent="0.15"/>
    <row r="70" spans="2:150" ht="13.5" customHeight="1" x14ac:dyDescent="0.15"/>
    <row r="71" spans="2:150" ht="13.5" customHeight="1" x14ac:dyDescent="0.15">
      <c r="C71" s="707" t="s">
        <v>115</v>
      </c>
      <c r="D71" s="708"/>
      <c r="E71" s="708"/>
      <c r="F71" s="708"/>
      <c r="G71" s="708"/>
      <c r="H71" s="708"/>
      <c r="I71" s="708"/>
      <c r="J71" s="708"/>
      <c r="K71" s="708"/>
      <c r="L71" s="708"/>
      <c r="M71" s="708"/>
      <c r="N71" s="708"/>
      <c r="O71" s="708"/>
      <c r="P71" s="708"/>
      <c r="Q71" s="708"/>
      <c r="R71" s="708"/>
      <c r="S71" s="708"/>
      <c r="T71" s="709"/>
      <c r="U71" s="709"/>
      <c r="V71" s="709"/>
      <c r="W71" s="709"/>
      <c r="X71" s="709"/>
      <c r="Y71" s="710"/>
    </row>
    <row r="72" spans="2:150" ht="13.5" customHeight="1" x14ac:dyDescent="0.15"/>
    <row r="73" spans="2:150" ht="13.5" customHeight="1" x14ac:dyDescent="0.15"/>
    <row r="74" spans="2:150" ht="13.5" customHeight="1" x14ac:dyDescent="0.15"/>
    <row r="75" spans="2:150" s="124" customFormat="1" ht="18" x14ac:dyDescent="0.15">
      <c r="J75" s="711" t="str">
        <f>IF(N79=T79,"",IF(N79&lt;T79,Z98,E81))</f>
        <v/>
      </c>
      <c r="K75" s="711"/>
      <c r="L75" s="711"/>
      <c r="M75" s="711"/>
      <c r="N75" s="711"/>
      <c r="O75" s="711"/>
      <c r="P75" s="711"/>
      <c r="Q75" s="711"/>
      <c r="R75" s="711"/>
      <c r="S75" s="711"/>
      <c r="T75" s="711"/>
      <c r="U75" s="711"/>
      <c r="V75" s="711"/>
      <c r="W75" s="711"/>
      <c r="X75" s="711"/>
      <c r="Y75" s="711"/>
      <c r="Z75" s="711"/>
      <c r="AA75" s="711"/>
      <c r="AH75" s="125"/>
      <c r="AI75" s="125"/>
      <c r="AJ75" s="125"/>
      <c r="AK75" s="125"/>
      <c r="AL75" s="125"/>
      <c r="AM75" s="125"/>
      <c r="AN75" s="125"/>
      <c r="AX75" s="711" t="str">
        <f>IF(BB79=BH79,"",IF(BB79&lt;BH79,BN98,AS81))</f>
        <v/>
      </c>
      <c r="AY75" s="711"/>
      <c r="AZ75" s="711"/>
      <c r="BA75" s="711"/>
      <c r="BB75" s="711"/>
      <c r="BC75" s="711"/>
      <c r="BD75" s="711"/>
      <c r="BE75" s="711"/>
      <c r="BF75" s="711"/>
      <c r="BG75" s="711"/>
      <c r="BH75" s="711"/>
      <c r="BI75" s="711"/>
      <c r="BJ75" s="711"/>
      <c r="BK75" s="711"/>
      <c r="BL75" s="711"/>
      <c r="BM75" s="711"/>
      <c r="BN75" s="711"/>
      <c r="BO75" s="711"/>
      <c r="BZ75" s="125"/>
      <c r="CA75" s="125"/>
      <c r="CB75" s="125"/>
      <c r="CL75" s="711" t="str">
        <f>IF(CP79=CV79,"",IF(CP79&lt;CV79,DB98,CG81))</f>
        <v/>
      </c>
      <c r="CM75" s="711"/>
      <c r="CN75" s="711"/>
      <c r="CO75" s="711"/>
      <c r="CP75" s="711"/>
      <c r="CQ75" s="711"/>
      <c r="CR75" s="711"/>
      <c r="CS75" s="711"/>
      <c r="CT75" s="711"/>
      <c r="CU75" s="711"/>
      <c r="CV75" s="711"/>
      <c r="CW75" s="711"/>
      <c r="CX75" s="711"/>
      <c r="CY75" s="711"/>
      <c r="CZ75" s="711"/>
      <c r="DA75" s="711"/>
      <c r="DB75" s="711"/>
      <c r="DC75" s="711"/>
      <c r="DN75" s="125"/>
      <c r="DO75" s="125"/>
      <c r="DP75" s="125"/>
      <c r="DZ75" s="711" t="str">
        <f>IF(ED79=EJ79,"",IF(ED79&lt;EJ79,EP98,DU81))</f>
        <v/>
      </c>
      <c r="EA75" s="711"/>
      <c r="EB75" s="711"/>
      <c r="EC75" s="711"/>
      <c r="ED75" s="711"/>
      <c r="EE75" s="711"/>
      <c r="EF75" s="711"/>
      <c r="EG75" s="711"/>
      <c r="EH75" s="711"/>
      <c r="EI75" s="711"/>
      <c r="EJ75" s="711"/>
      <c r="EK75" s="711"/>
      <c r="EL75" s="711"/>
      <c r="EM75" s="711"/>
      <c r="EN75" s="711"/>
      <c r="EO75" s="711"/>
      <c r="EP75" s="711"/>
      <c r="EQ75" s="711"/>
    </row>
    <row r="76" spans="2:150" s="124" customFormat="1" ht="3.75" customHeight="1" x14ac:dyDescent="0.15">
      <c r="AH76" s="125"/>
      <c r="AI76" s="125"/>
      <c r="AJ76" s="125"/>
      <c r="AK76" s="125"/>
      <c r="AL76" s="125"/>
      <c r="AM76" s="125"/>
      <c r="AN76" s="125"/>
      <c r="BZ76" s="125"/>
      <c r="CA76" s="125"/>
      <c r="CB76" s="125"/>
      <c r="DN76" s="125"/>
      <c r="DO76" s="125"/>
      <c r="DP76" s="125"/>
    </row>
    <row r="77" spans="2:150" s="61" customFormat="1" ht="13.5" customHeight="1" x14ac:dyDescent="0.15">
      <c r="N77" s="126"/>
      <c r="R77" s="699"/>
      <c r="AJ77" s="126"/>
      <c r="BB77" s="126"/>
      <c r="BF77" s="699"/>
      <c r="CP77" s="126"/>
      <c r="CT77" s="699"/>
      <c r="ED77" s="126"/>
      <c r="EH77" s="699"/>
    </row>
    <row r="78" spans="2:150" s="61" customFormat="1" ht="13.5" customHeight="1" x14ac:dyDescent="0.15">
      <c r="N78" s="695" t="str">
        <f>IF(N81="","",SUM(N81:Q84))</f>
        <v/>
      </c>
      <c r="O78" s="695"/>
      <c r="P78" s="695"/>
      <c r="Q78" s="695"/>
      <c r="R78" s="699"/>
      <c r="T78" s="696" t="str">
        <f>IF(T81="","",SUM(T81:W84))</f>
        <v/>
      </c>
      <c r="U78" s="696"/>
      <c r="V78" s="696"/>
      <c r="W78" s="696"/>
      <c r="AJ78" s="126"/>
      <c r="BB78" s="695" t="str">
        <f>IF(BB81="","",SUM(BB81:BE84))</f>
        <v/>
      </c>
      <c r="BC78" s="695"/>
      <c r="BD78" s="695"/>
      <c r="BE78" s="695"/>
      <c r="BF78" s="699"/>
      <c r="BH78" s="696" t="str">
        <f>IF(BH81="","",SUM(BH81:BK84))</f>
        <v/>
      </c>
      <c r="BI78" s="696"/>
      <c r="BJ78" s="696"/>
      <c r="BK78" s="696"/>
      <c r="CP78" s="695" t="str">
        <f>IF(CP81="","",SUM(CP81:CS84))</f>
        <v/>
      </c>
      <c r="CQ78" s="695"/>
      <c r="CR78" s="695"/>
      <c r="CS78" s="695"/>
      <c r="CT78" s="699"/>
      <c r="CV78" s="696" t="str">
        <f>IF(CV81="","",SUM(CV81:CY84))</f>
        <v/>
      </c>
      <c r="CW78" s="696"/>
      <c r="CX78" s="696"/>
      <c r="CY78" s="696"/>
      <c r="ED78" s="695" t="str">
        <f>IF(ED81="","",SUM(ED81:EG84))</f>
        <v/>
      </c>
      <c r="EE78" s="695"/>
      <c r="EF78" s="695"/>
      <c r="EG78" s="695"/>
      <c r="EH78" s="699"/>
      <c r="EJ78" s="696" t="str">
        <f>IF(EJ81="","",SUM(EJ81:EM84))</f>
        <v/>
      </c>
      <c r="EK78" s="696"/>
      <c r="EL78" s="696"/>
      <c r="EM78" s="696"/>
    </row>
    <row r="79" spans="2:150" s="61" customFormat="1" ht="13.5" customHeight="1" x14ac:dyDescent="0.15">
      <c r="H79" s="127"/>
      <c r="I79" s="31"/>
      <c r="J79" s="31"/>
      <c r="K79" s="31"/>
      <c r="N79" s="698">
        <f>SUM(N81:Q86)</f>
        <v>0</v>
      </c>
      <c r="O79" s="698"/>
      <c r="P79" s="698"/>
      <c r="Q79" s="698"/>
      <c r="R79" s="699"/>
      <c r="T79" s="697">
        <f>SUM(T81:W86)</f>
        <v>0</v>
      </c>
      <c r="U79" s="697"/>
      <c r="V79" s="697"/>
      <c r="W79" s="697"/>
      <c r="AF79" s="127"/>
      <c r="AG79" s="31"/>
      <c r="AH79" s="31"/>
      <c r="AI79" s="31"/>
      <c r="AJ79" s="31"/>
      <c r="AK79" s="126"/>
      <c r="AL79" s="31"/>
      <c r="AM79" s="31"/>
      <c r="AN79" s="31"/>
      <c r="AV79" s="127"/>
      <c r="AW79" s="31"/>
      <c r="AX79" s="31"/>
      <c r="AY79" s="31"/>
      <c r="BB79" s="698">
        <f>SUM(BB81:BE86)</f>
        <v>0</v>
      </c>
      <c r="BC79" s="698"/>
      <c r="BD79" s="698"/>
      <c r="BE79" s="698"/>
      <c r="BF79" s="699"/>
      <c r="BH79" s="697">
        <f>SUM(BH81:BK86)</f>
        <v>0</v>
      </c>
      <c r="BI79" s="697"/>
      <c r="BJ79" s="697"/>
      <c r="BK79" s="697"/>
      <c r="BX79" s="127"/>
      <c r="BY79" s="31"/>
      <c r="BZ79" s="31"/>
      <c r="CA79" s="31"/>
      <c r="CJ79" s="127"/>
      <c r="CK79" s="31"/>
      <c r="CL79" s="31"/>
      <c r="CM79" s="31"/>
      <c r="CP79" s="698">
        <f>SUM(CP81:CS86)</f>
        <v>0</v>
      </c>
      <c r="CQ79" s="698"/>
      <c r="CR79" s="698"/>
      <c r="CS79" s="698"/>
      <c r="CT79" s="699"/>
      <c r="CV79" s="697">
        <f>SUM(CV81:CY86)</f>
        <v>0</v>
      </c>
      <c r="CW79" s="697"/>
      <c r="CX79" s="697"/>
      <c r="CY79" s="697"/>
      <c r="DL79" s="127"/>
      <c r="DM79" s="31"/>
      <c r="DN79" s="31"/>
      <c r="DO79" s="31"/>
      <c r="DX79" s="127"/>
      <c r="DY79" s="31"/>
      <c r="DZ79" s="31"/>
      <c r="EA79" s="31"/>
      <c r="ED79" s="698">
        <f>SUM(ED81:EG86)</f>
        <v>0</v>
      </c>
      <c r="EE79" s="698"/>
      <c r="EF79" s="698"/>
      <c r="EG79" s="698"/>
      <c r="EH79" s="699"/>
      <c r="EJ79" s="697">
        <f>SUM(EJ81:EM86)</f>
        <v>0</v>
      </c>
      <c r="EK79" s="697"/>
      <c r="EL79" s="697"/>
      <c r="EM79" s="697"/>
    </row>
    <row r="80" spans="2:150" s="61" customFormat="1" ht="4.5" customHeight="1" thickBot="1" x14ac:dyDescent="0.2">
      <c r="G80" s="127"/>
      <c r="H80" s="31"/>
      <c r="I80" s="31"/>
      <c r="J80" s="692"/>
      <c r="K80" s="693"/>
      <c r="L80" s="693"/>
      <c r="M80" s="693"/>
      <c r="N80" s="693"/>
      <c r="O80" s="693"/>
      <c r="P80" s="693"/>
      <c r="Q80" s="693"/>
      <c r="R80" s="700"/>
      <c r="S80" s="694"/>
      <c r="T80" s="693"/>
      <c r="U80" s="693"/>
      <c r="V80" s="693"/>
      <c r="W80" s="693"/>
      <c r="X80" s="693"/>
      <c r="Y80" s="693"/>
      <c r="Z80" s="693"/>
      <c r="AA80" s="693"/>
      <c r="AE80" s="127"/>
      <c r="AF80" s="31"/>
      <c r="AG80" s="31"/>
      <c r="AH80" s="31"/>
      <c r="AI80" s="31"/>
      <c r="AJ80" s="31"/>
      <c r="AK80" s="65"/>
      <c r="AL80" s="65"/>
      <c r="AM80" s="65"/>
      <c r="AN80" s="65"/>
      <c r="AO80" s="65"/>
      <c r="AU80" s="127"/>
      <c r="AV80" s="31"/>
      <c r="AW80" s="31"/>
      <c r="AX80" s="692"/>
      <c r="AY80" s="693"/>
      <c r="AZ80" s="693"/>
      <c r="BA80" s="693"/>
      <c r="BB80" s="693"/>
      <c r="BC80" s="693"/>
      <c r="BD80" s="693"/>
      <c r="BE80" s="693"/>
      <c r="BF80" s="700"/>
      <c r="BG80" s="694"/>
      <c r="BH80" s="693"/>
      <c r="BI80" s="693"/>
      <c r="BJ80" s="693"/>
      <c r="BK80" s="693"/>
      <c r="BL80" s="693"/>
      <c r="BM80" s="693"/>
      <c r="BN80" s="693"/>
      <c r="BO80" s="693"/>
      <c r="BX80" s="31"/>
      <c r="BY80" s="31"/>
      <c r="BZ80" s="31"/>
      <c r="CA80" s="31"/>
      <c r="CB80" s="31"/>
      <c r="CI80" s="127"/>
      <c r="CJ80" s="31"/>
      <c r="CK80" s="31"/>
      <c r="CL80" s="692"/>
      <c r="CM80" s="693"/>
      <c r="CN80" s="693"/>
      <c r="CO80" s="693"/>
      <c r="CP80" s="693"/>
      <c r="CQ80" s="693"/>
      <c r="CR80" s="693"/>
      <c r="CS80" s="693"/>
      <c r="CT80" s="700"/>
      <c r="CU80" s="694"/>
      <c r="CV80" s="693"/>
      <c r="CW80" s="693"/>
      <c r="CX80" s="693"/>
      <c r="CY80" s="693"/>
      <c r="CZ80" s="693"/>
      <c r="DA80" s="693"/>
      <c r="DB80" s="693"/>
      <c r="DC80" s="693"/>
      <c r="DG80" s="127"/>
      <c r="DH80" s="127"/>
      <c r="DI80" s="127"/>
      <c r="DJ80" s="127"/>
      <c r="DK80" s="127"/>
      <c r="DL80" s="31"/>
      <c r="DM80" s="31"/>
      <c r="DN80" s="31"/>
      <c r="DO80" s="31"/>
      <c r="DP80" s="31"/>
      <c r="DQ80" s="65"/>
      <c r="DW80" s="127"/>
      <c r="DX80" s="31"/>
      <c r="DY80" s="31"/>
      <c r="DZ80" s="692"/>
      <c r="EA80" s="693"/>
      <c r="EB80" s="693"/>
      <c r="EC80" s="693"/>
      <c r="ED80" s="693"/>
      <c r="EE80" s="693"/>
      <c r="EF80" s="693"/>
      <c r="EG80" s="693"/>
      <c r="EH80" s="700"/>
      <c r="EI80" s="694"/>
      <c r="EJ80" s="693"/>
      <c r="EK80" s="693"/>
      <c r="EL80" s="693"/>
      <c r="EM80" s="693"/>
      <c r="EN80" s="693"/>
      <c r="EO80" s="693"/>
      <c r="EP80" s="693"/>
      <c r="EQ80" s="693"/>
    </row>
    <row r="81" spans="3:148" s="61" customFormat="1" ht="13.5" customHeight="1" thickTop="1" x14ac:dyDescent="0.15">
      <c r="D81" s="128"/>
      <c r="E81" s="703" t="str">
        <f>IF(E89=K89,"",IF(E89&lt;K89,N98,B98))</f>
        <v/>
      </c>
      <c r="F81" s="703"/>
      <c r="G81" s="703"/>
      <c r="H81" s="703"/>
      <c r="I81" s="699"/>
      <c r="J81" s="129"/>
      <c r="K81" s="129"/>
      <c r="L81" s="64"/>
      <c r="M81" s="64"/>
      <c r="N81" s="687"/>
      <c r="O81" s="687"/>
      <c r="P81" s="687"/>
      <c r="Q81" s="687"/>
      <c r="R81" s="634" t="s">
        <v>92</v>
      </c>
      <c r="S81" s="634"/>
      <c r="T81" s="688"/>
      <c r="U81" s="688"/>
      <c r="V81" s="688"/>
      <c r="W81" s="688"/>
      <c r="X81" s="65"/>
      <c r="Y81" s="65"/>
      <c r="Z81" s="65"/>
      <c r="AA81" s="65"/>
      <c r="AB81" s="701"/>
      <c r="AH81" s="129"/>
      <c r="AI81" s="129"/>
      <c r="AK81" s="130"/>
      <c r="AL81" s="131"/>
      <c r="AM81" s="131"/>
      <c r="AR81" s="128"/>
      <c r="AS81" s="703" t="str">
        <f>IF(AS89=AY89,"",IF(AS89&lt;AY89,BB98,AP98))</f>
        <v/>
      </c>
      <c r="AT81" s="703"/>
      <c r="AU81" s="703"/>
      <c r="AV81" s="703"/>
      <c r="AW81" s="699"/>
      <c r="AX81" s="129"/>
      <c r="AY81" s="129"/>
      <c r="AZ81" s="64"/>
      <c r="BA81" s="64"/>
      <c r="BB81" s="687"/>
      <c r="BC81" s="687"/>
      <c r="BD81" s="687"/>
      <c r="BE81" s="687"/>
      <c r="BF81" s="634" t="s">
        <v>92</v>
      </c>
      <c r="BG81" s="634"/>
      <c r="BH81" s="688"/>
      <c r="BI81" s="688"/>
      <c r="BJ81" s="688"/>
      <c r="BK81" s="688"/>
      <c r="BL81" s="65"/>
      <c r="BM81" s="65"/>
      <c r="BN81" s="65"/>
      <c r="BO81" s="65"/>
      <c r="BP81" s="701"/>
      <c r="BV81" s="128"/>
      <c r="BZ81" s="129"/>
      <c r="CA81" s="129"/>
      <c r="CF81" s="128"/>
      <c r="CG81" s="703" t="str">
        <f>IF(CG89=CM89,"",IF(CG89&lt;CM89,CP98,CD98))</f>
        <v/>
      </c>
      <c r="CH81" s="703"/>
      <c r="CI81" s="703"/>
      <c r="CJ81" s="703"/>
      <c r="CK81" s="699"/>
      <c r="CL81" s="129"/>
      <c r="CM81" s="129"/>
      <c r="CN81" s="64"/>
      <c r="CO81" s="64"/>
      <c r="CP81" s="687"/>
      <c r="CQ81" s="687"/>
      <c r="CR81" s="687"/>
      <c r="CS81" s="687"/>
      <c r="CT81" s="634" t="s">
        <v>92</v>
      </c>
      <c r="CU81" s="634"/>
      <c r="CV81" s="688"/>
      <c r="CW81" s="688"/>
      <c r="CX81" s="688"/>
      <c r="CY81" s="688"/>
      <c r="CZ81" s="65"/>
      <c r="DA81" s="65"/>
      <c r="DB81" s="65"/>
      <c r="DC81" s="65"/>
      <c r="DD81" s="701"/>
      <c r="DN81" s="129"/>
      <c r="DO81" s="129"/>
      <c r="DT81" s="128"/>
      <c r="DU81" s="703" t="str">
        <f>IF(DU89=EA89,"",IF(DU89&lt;EA89,ED98,DR98))</f>
        <v/>
      </c>
      <c r="DV81" s="703"/>
      <c r="DW81" s="703"/>
      <c r="DX81" s="703"/>
      <c r="DY81" s="699"/>
      <c r="DZ81" s="129"/>
      <c r="EA81" s="129"/>
      <c r="EB81" s="64"/>
      <c r="EC81" s="64"/>
      <c r="ED81" s="687"/>
      <c r="EE81" s="687"/>
      <c r="EF81" s="687"/>
      <c r="EG81" s="687"/>
      <c r="EH81" s="634" t="s">
        <v>92</v>
      </c>
      <c r="EI81" s="634"/>
      <c r="EJ81" s="688"/>
      <c r="EK81" s="688"/>
      <c r="EL81" s="688"/>
      <c r="EM81" s="688"/>
      <c r="EN81" s="65"/>
      <c r="EO81" s="65"/>
      <c r="EP81" s="65"/>
      <c r="EQ81" s="65"/>
      <c r="ER81" s="701"/>
    </row>
    <row r="82" spans="3:148" s="61" customFormat="1" ht="13.5" customHeight="1" x14ac:dyDescent="0.15">
      <c r="D82" s="128"/>
      <c r="E82" s="703"/>
      <c r="F82" s="703"/>
      <c r="G82" s="703"/>
      <c r="H82" s="703"/>
      <c r="I82" s="699"/>
      <c r="J82" s="129"/>
      <c r="K82" s="129"/>
      <c r="L82" s="64"/>
      <c r="M82" s="64"/>
      <c r="N82" s="687"/>
      <c r="O82" s="687"/>
      <c r="P82" s="687"/>
      <c r="Q82" s="687"/>
      <c r="R82" s="634" t="s">
        <v>92</v>
      </c>
      <c r="S82" s="634"/>
      <c r="T82" s="688"/>
      <c r="U82" s="688"/>
      <c r="V82" s="688"/>
      <c r="W82" s="688"/>
      <c r="X82" s="65"/>
      <c r="Y82" s="65"/>
      <c r="Z82" s="65"/>
      <c r="AA82" s="65"/>
      <c r="AB82" s="702"/>
      <c r="AH82" s="129"/>
      <c r="AI82" s="129"/>
      <c r="AK82" s="130"/>
      <c r="AL82" s="131"/>
      <c r="AM82" s="131"/>
      <c r="AR82" s="128"/>
      <c r="AS82" s="703"/>
      <c r="AT82" s="703"/>
      <c r="AU82" s="703"/>
      <c r="AV82" s="703"/>
      <c r="AW82" s="699"/>
      <c r="AX82" s="129"/>
      <c r="AY82" s="129"/>
      <c r="AZ82" s="64"/>
      <c r="BA82" s="64"/>
      <c r="BB82" s="687"/>
      <c r="BC82" s="687"/>
      <c r="BD82" s="687"/>
      <c r="BE82" s="687"/>
      <c r="BF82" s="634" t="s">
        <v>92</v>
      </c>
      <c r="BG82" s="634"/>
      <c r="BH82" s="688"/>
      <c r="BI82" s="688"/>
      <c r="BJ82" s="688"/>
      <c r="BK82" s="688"/>
      <c r="BL82" s="65"/>
      <c r="BM82" s="65"/>
      <c r="BN82" s="65"/>
      <c r="BO82" s="65"/>
      <c r="BP82" s="702"/>
      <c r="BV82" s="128"/>
      <c r="BZ82" s="129"/>
      <c r="CA82" s="129"/>
      <c r="CF82" s="128"/>
      <c r="CG82" s="703"/>
      <c r="CH82" s="703"/>
      <c r="CI82" s="703"/>
      <c r="CJ82" s="703"/>
      <c r="CK82" s="699"/>
      <c r="CL82" s="129"/>
      <c r="CM82" s="129"/>
      <c r="CN82" s="64"/>
      <c r="CO82" s="64"/>
      <c r="CP82" s="687"/>
      <c r="CQ82" s="687"/>
      <c r="CR82" s="687"/>
      <c r="CS82" s="687"/>
      <c r="CT82" s="634" t="s">
        <v>92</v>
      </c>
      <c r="CU82" s="634"/>
      <c r="CV82" s="688"/>
      <c r="CW82" s="688"/>
      <c r="CX82" s="688"/>
      <c r="CY82" s="688"/>
      <c r="CZ82" s="65"/>
      <c r="DA82" s="65"/>
      <c r="DB82" s="65"/>
      <c r="DC82" s="65"/>
      <c r="DD82" s="702"/>
      <c r="DN82" s="129"/>
      <c r="DO82" s="129"/>
      <c r="DT82" s="128"/>
      <c r="DU82" s="703"/>
      <c r="DV82" s="703"/>
      <c r="DW82" s="703"/>
      <c r="DX82" s="703"/>
      <c r="DY82" s="699"/>
      <c r="DZ82" s="129"/>
      <c r="EA82" s="129"/>
      <c r="EB82" s="64"/>
      <c r="EC82" s="64"/>
      <c r="ED82" s="687"/>
      <c r="EE82" s="687"/>
      <c r="EF82" s="687"/>
      <c r="EG82" s="687"/>
      <c r="EH82" s="634" t="s">
        <v>92</v>
      </c>
      <c r="EI82" s="634"/>
      <c r="EJ82" s="688"/>
      <c r="EK82" s="688"/>
      <c r="EL82" s="688"/>
      <c r="EM82" s="688"/>
      <c r="EN82" s="65"/>
      <c r="EO82" s="65"/>
      <c r="EP82" s="65"/>
      <c r="EQ82" s="65"/>
      <c r="ER82" s="702"/>
    </row>
    <row r="83" spans="3:148" s="61" customFormat="1" ht="13.5" customHeight="1" x14ac:dyDescent="0.15">
      <c r="D83" s="128"/>
      <c r="E83" s="703"/>
      <c r="F83" s="703"/>
      <c r="G83" s="703"/>
      <c r="H83" s="703"/>
      <c r="I83" s="699"/>
      <c r="J83" s="129"/>
      <c r="K83" s="129"/>
      <c r="L83" s="127"/>
      <c r="M83" s="127"/>
      <c r="N83" s="687"/>
      <c r="O83" s="687"/>
      <c r="P83" s="687"/>
      <c r="Q83" s="687"/>
      <c r="R83" s="618" t="str">
        <f>IF(N83="","","－")</f>
        <v/>
      </c>
      <c r="S83" s="618"/>
      <c r="T83" s="688"/>
      <c r="U83" s="688"/>
      <c r="V83" s="688"/>
      <c r="W83" s="688"/>
      <c r="X83" s="65"/>
      <c r="Y83" s="65"/>
      <c r="Z83" s="65"/>
      <c r="AA83" s="65"/>
      <c r="AB83" s="702"/>
      <c r="AH83" s="129"/>
      <c r="AI83" s="129"/>
      <c r="AJ83" s="105"/>
      <c r="AK83" s="130"/>
      <c r="AL83" s="131"/>
      <c r="AM83" s="131"/>
      <c r="AR83" s="128"/>
      <c r="AS83" s="703"/>
      <c r="AT83" s="703"/>
      <c r="AU83" s="703"/>
      <c r="AV83" s="703"/>
      <c r="AW83" s="699"/>
      <c r="AX83" s="129"/>
      <c r="AY83" s="129"/>
      <c r="AZ83" s="127"/>
      <c r="BA83" s="127"/>
      <c r="BB83" s="687"/>
      <c r="BC83" s="687"/>
      <c r="BD83" s="687"/>
      <c r="BE83" s="687"/>
      <c r="BF83" s="618" t="str">
        <f>IF(BB83="","","－")</f>
        <v/>
      </c>
      <c r="BG83" s="618"/>
      <c r="BH83" s="688"/>
      <c r="BI83" s="688"/>
      <c r="BJ83" s="688"/>
      <c r="BK83" s="688"/>
      <c r="BL83" s="65"/>
      <c r="BM83" s="65"/>
      <c r="BN83" s="65"/>
      <c r="BO83" s="65"/>
      <c r="BP83" s="702"/>
      <c r="BV83" s="128"/>
      <c r="BZ83" s="129"/>
      <c r="CA83" s="129"/>
      <c r="CB83" s="105"/>
      <c r="CF83" s="128"/>
      <c r="CG83" s="703"/>
      <c r="CH83" s="703"/>
      <c r="CI83" s="703"/>
      <c r="CJ83" s="703"/>
      <c r="CK83" s="699"/>
      <c r="CL83" s="129"/>
      <c r="CM83" s="129"/>
      <c r="CN83" s="127"/>
      <c r="CO83" s="127"/>
      <c r="CP83" s="687"/>
      <c r="CQ83" s="687"/>
      <c r="CR83" s="687"/>
      <c r="CS83" s="687"/>
      <c r="CT83" s="618" t="str">
        <f>IF(CP83="","","－")</f>
        <v/>
      </c>
      <c r="CU83" s="618"/>
      <c r="CV83" s="688"/>
      <c r="CW83" s="688"/>
      <c r="CX83" s="688"/>
      <c r="CY83" s="688"/>
      <c r="CZ83" s="65"/>
      <c r="DA83" s="65"/>
      <c r="DB83" s="65"/>
      <c r="DC83" s="65"/>
      <c r="DD83" s="702"/>
      <c r="DN83" s="129"/>
      <c r="DO83" s="129"/>
      <c r="DP83" s="105"/>
      <c r="DT83" s="128"/>
      <c r="DU83" s="703"/>
      <c r="DV83" s="703"/>
      <c r="DW83" s="703"/>
      <c r="DX83" s="703"/>
      <c r="DY83" s="699"/>
      <c r="DZ83" s="129"/>
      <c r="EA83" s="129"/>
      <c r="EB83" s="127"/>
      <c r="EC83" s="127"/>
      <c r="ED83" s="687"/>
      <c r="EE83" s="687"/>
      <c r="EF83" s="687"/>
      <c r="EG83" s="687"/>
      <c r="EH83" s="618" t="str">
        <f>IF(ED83="","","－")</f>
        <v/>
      </c>
      <c r="EI83" s="618"/>
      <c r="EJ83" s="688"/>
      <c r="EK83" s="688"/>
      <c r="EL83" s="688"/>
      <c r="EM83" s="688"/>
      <c r="EN83" s="65"/>
      <c r="EO83" s="65"/>
      <c r="EP83" s="65"/>
      <c r="EQ83" s="65"/>
      <c r="ER83" s="702"/>
    </row>
    <row r="84" spans="3:148" s="61" customFormat="1" ht="13.5" customHeight="1" x14ac:dyDescent="0.15">
      <c r="E84" s="703"/>
      <c r="F84" s="703"/>
      <c r="G84" s="703"/>
      <c r="H84" s="703"/>
      <c r="I84" s="699"/>
      <c r="J84" s="129"/>
      <c r="K84" s="129"/>
      <c r="L84" s="105"/>
      <c r="M84" s="105"/>
      <c r="N84" s="687"/>
      <c r="O84" s="687"/>
      <c r="P84" s="687"/>
      <c r="Q84" s="687"/>
      <c r="R84" s="618" t="str">
        <f>IF(N84="","","－")</f>
        <v/>
      </c>
      <c r="S84" s="618"/>
      <c r="T84" s="688"/>
      <c r="U84" s="688"/>
      <c r="V84" s="688"/>
      <c r="W84" s="688"/>
      <c r="AB84" s="702"/>
      <c r="AH84" s="129"/>
      <c r="AI84" s="129"/>
      <c r="AJ84" s="105"/>
      <c r="AK84" s="130"/>
      <c r="AL84" s="131"/>
      <c r="AM84" s="131"/>
      <c r="AS84" s="703"/>
      <c r="AT84" s="703"/>
      <c r="AU84" s="703"/>
      <c r="AV84" s="703"/>
      <c r="AW84" s="699"/>
      <c r="AX84" s="129"/>
      <c r="AY84" s="129"/>
      <c r="AZ84" s="105"/>
      <c r="BA84" s="105"/>
      <c r="BB84" s="687"/>
      <c r="BC84" s="687"/>
      <c r="BD84" s="687"/>
      <c r="BE84" s="687"/>
      <c r="BF84" s="618" t="str">
        <f>IF(BB84="","","－")</f>
        <v/>
      </c>
      <c r="BG84" s="618"/>
      <c r="BH84" s="688"/>
      <c r="BI84" s="688"/>
      <c r="BJ84" s="688"/>
      <c r="BK84" s="688"/>
      <c r="BP84" s="702"/>
      <c r="BZ84" s="129"/>
      <c r="CA84" s="129"/>
      <c r="CB84" s="105"/>
      <c r="CG84" s="703"/>
      <c r="CH84" s="703"/>
      <c r="CI84" s="703"/>
      <c r="CJ84" s="703"/>
      <c r="CK84" s="699"/>
      <c r="CL84" s="129"/>
      <c r="CM84" s="129"/>
      <c r="CN84" s="105"/>
      <c r="CO84" s="105"/>
      <c r="CP84" s="687"/>
      <c r="CQ84" s="687"/>
      <c r="CR84" s="687"/>
      <c r="CS84" s="687"/>
      <c r="CT84" s="618" t="str">
        <f>IF(CP84="","","－")</f>
        <v/>
      </c>
      <c r="CU84" s="618"/>
      <c r="CV84" s="688"/>
      <c r="CW84" s="688"/>
      <c r="CX84" s="688"/>
      <c r="CY84" s="688"/>
      <c r="DD84" s="702"/>
      <c r="DN84" s="129"/>
      <c r="DO84" s="129"/>
      <c r="DP84" s="105"/>
      <c r="DU84" s="703"/>
      <c r="DV84" s="703"/>
      <c r="DW84" s="703"/>
      <c r="DX84" s="703"/>
      <c r="DY84" s="699"/>
      <c r="DZ84" s="129"/>
      <c r="EA84" s="129"/>
      <c r="EB84" s="105"/>
      <c r="EC84" s="105"/>
      <c r="ED84" s="687"/>
      <c r="EE84" s="687"/>
      <c r="EF84" s="687"/>
      <c r="EG84" s="687"/>
      <c r="EH84" s="618" t="str">
        <f>IF(ED84="","","－")</f>
        <v/>
      </c>
      <c r="EI84" s="618"/>
      <c r="EJ84" s="688"/>
      <c r="EK84" s="688"/>
      <c r="EL84" s="688"/>
      <c r="EM84" s="688"/>
      <c r="ER84" s="702"/>
    </row>
    <row r="85" spans="3:148" s="111" customFormat="1" ht="13.5" customHeight="1" x14ac:dyDescent="0.2">
      <c r="E85" s="703"/>
      <c r="F85" s="703"/>
      <c r="G85" s="703"/>
      <c r="H85" s="703"/>
      <c r="I85" s="699"/>
      <c r="J85" s="132"/>
      <c r="K85" s="132"/>
      <c r="L85" s="133"/>
      <c r="M85" s="133"/>
      <c r="N85" s="108"/>
      <c r="O85" s="108"/>
      <c r="P85" s="108"/>
      <c r="Q85" s="690" t="str">
        <f>IF(N86="","","PK")</f>
        <v/>
      </c>
      <c r="R85" s="690"/>
      <c r="S85" s="690"/>
      <c r="T85" s="690"/>
      <c r="U85" s="109"/>
      <c r="V85" s="109"/>
      <c r="W85" s="109"/>
      <c r="AB85" s="702"/>
      <c r="AH85" s="132"/>
      <c r="AI85" s="132"/>
      <c r="AJ85" s="133"/>
      <c r="AK85" s="134"/>
      <c r="AL85" s="135"/>
      <c r="AM85" s="135"/>
      <c r="AS85" s="703"/>
      <c r="AT85" s="703"/>
      <c r="AU85" s="703"/>
      <c r="AV85" s="703"/>
      <c r="AW85" s="699"/>
      <c r="AX85" s="132"/>
      <c r="AY85" s="132"/>
      <c r="AZ85" s="133"/>
      <c r="BA85" s="133"/>
      <c r="BB85" s="108"/>
      <c r="BC85" s="108"/>
      <c r="BD85" s="108"/>
      <c r="BE85" s="690" t="str">
        <f>IF(BB86="","","PK")</f>
        <v/>
      </c>
      <c r="BF85" s="690"/>
      <c r="BG85" s="690"/>
      <c r="BH85" s="690"/>
      <c r="BI85" s="109"/>
      <c r="BJ85" s="109"/>
      <c r="BK85" s="109"/>
      <c r="BP85" s="702"/>
      <c r="BZ85" s="132"/>
      <c r="CA85" s="132"/>
      <c r="CB85" s="133"/>
      <c r="CG85" s="703"/>
      <c r="CH85" s="703"/>
      <c r="CI85" s="703"/>
      <c r="CJ85" s="703"/>
      <c r="CK85" s="699"/>
      <c r="CL85" s="132"/>
      <c r="CM85" s="132"/>
      <c r="CN85" s="133"/>
      <c r="CO85" s="133"/>
      <c r="CP85" s="108"/>
      <c r="CQ85" s="108"/>
      <c r="CR85" s="108"/>
      <c r="CS85" s="690" t="str">
        <f>IF(CP86="","","PK")</f>
        <v/>
      </c>
      <c r="CT85" s="690"/>
      <c r="CU85" s="690"/>
      <c r="CV85" s="690"/>
      <c r="CW85" s="109"/>
      <c r="CX85" s="109"/>
      <c r="CY85" s="109"/>
      <c r="DD85" s="702"/>
      <c r="DN85" s="132"/>
      <c r="DO85" s="132"/>
      <c r="DP85" s="133"/>
      <c r="DU85" s="703"/>
      <c r="DV85" s="703"/>
      <c r="DW85" s="703"/>
      <c r="DX85" s="703"/>
      <c r="DY85" s="699"/>
      <c r="DZ85" s="132"/>
      <c r="EA85" s="132"/>
      <c r="EB85" s="133"/>
      <c r="EC85" s="133"/>
      <c r="ED85" s="108"/>
      <c r="EE85" s="108"/>
      <c r="EF85" s="108"/>
      <c r="EG85" s="690" t="str">
        <f>IF(ED86="","","PK")</f>
        <v/>
      </c>
      <c r="EH85" s="690"/>
      <c r="EI85" s="690"/>
      <c r="EJ85" s="690"/>
      <c r="EK85" s="109"/>
      <c r="EL85" s="109"/>
      <c r="EM85" s="109"/>
      <c r="ER85" s="702"/>
    </row>
    <row r="86" spans="3:148" s="61" customFormat="1" ht="13.5" customHeight="1" x14ac:dyDescent="0.15">
      <c r="E86" s="703"/>
      <c r="F86" s="703"/>
      <c r="G86" s="703"/>
      <c r="H86" s="703"/>
      <c r="I86" s="699"/>
      <c r="J86" s="129"/>
      <c r="K86" s="129"/>
      <c r="L86" s="105"/>
      <c r="M86" s="105"/>
      <c r="N86" s="687"/>
      <c r="O86" s="687"/>
      <c r="P86" s="687"/>
      <c r="Q86" s="687"/>
      <c r="R86" s="618" t="str">
        <f>IF(N86="","","－")</f>
        <v/>
      </c>
      <c r="S86" s="618"/>
      <c r="T86" s="688"/>
      <c r="U86" s="688"/>
      <c r="V86" s="688"/>
      <c r="W86" s="688"/>
      <c r="AB86" s="702"/>
      <c r="AH86" s="129"/>
      <c r="AI86" s="129"/>
      <c r="AJ86" s="105"/>
      <c r="AK86" s="130"/>
      <c r="AL86" s="131"/>
      <c r="AM86" s="131"/>
      <c r="AS86" s="703"/>
      <c r="AT86" s="703"/>
      <c r="AU86" s="703"/>
      <c r="AV86" s="703"/>
      <c r="AW86" s="699"/>
      <c r="AX86" s="129"/>
      <c r="AY86" s="129"/>
      <c r="AZ86" s="105"/>
      <c r="BA86" s="105"/>
      <c r="BB86" s="687"/>
      <c r="BC86" s="687"/>
      <c r="BD86" s="687"/>
      <c r="BE86" s="687"/>
      <c r="BF86" s="618" t="str">
        <f>IF(BB86="","","－")</f>
        <v/>
      </c>
      <c r="BG86" s="618"/>
      <c r="BH86" s="688"/>
      <c r="BI86" s="688"/>
      <c r="BJ86" s="688"/>
      <c r="BK86" s="688"/>
      <c r="BP86" s="702"/>
      <c r="BZ86" s="129"/>
      <c r="CA86" s="129"/>
      <c r="CB86" s="105"/>
      <c r="CG86" s="703"/>
      <c r="CH86" s="703"/>
      <c r="CI86" s="703"/>
      <c r="CJ86" s="703"/>
      <c r="CK86" s="699"/>
      <c r="CL86" s="129"/>
      <c r="CM86" s="129"/>
      <c r="CN86" s="105"/>
      <c r="CO86" s="105"/>
      <c r="CP86" s="687"/>
      <c r="CQ86" s="687"/>
      <c r="CR86" s="687"/>
      <c r="CS86" s="687"/>
      <c r="CT86" s="618" t="str">
        <f>IF(CP86="","","－")</f>
        <v/>
      </c>
      <c r="CU86" s="618"/>
      <c r="CV86" s="688"/>
      <c r="CW86" s="688"/>
      <c r="CX86" s="688"/>
      <c r="CY86" s="688"/>
      <c r="DD86" s="702"/>
      <c r="DN86" s="129"/>
      <c r="DO86" s="129"/>
      <c r="DP86" s="105"/>
      <c r="DU86" s="703"/>
      <c r="DV86" s="703"/>
      <c r="DW86" s="703"/>
      <c r="DX86" s="703"/>
      <c r="DY86" s="699"/>
      <c r="DZ86" s="129"/>
      <c r="EA86" s="129"/>
      <c r="EB86" s="105"/>
      <c r="EC86" s="105"/>
      <c r="ED86" s="687"/>
      <c r="EE86" s="687"/>
      <c r="EF86" s="687"/>
      <c r="EG86" s="687"/>
      <c r="EH86" s="618" t="str">
        <f>IF(ED86="","","－")</f>
        <v/>
      </c>
      <c r="EI86" s="618"/>
      <c r="EJ86" s="688"/>
      <c r="EK86" s="688"/>
      <c r="EL86" s="688"/>
      <c r="EM86" s="688"/>
      <c r="ER86" s="702"/>
    </row>
    <row r="87" spans="3:148" s="114" customFormat="1" ht="13.5" customHeight="1" x14ac:dyDescent="0.15">
      <c r="I87" s="699"/>
      <c r="J87" s="136"/>
      <c r="K87" s="136"/>
      <c r="L87" s="137"/>
      <c r="M87" s="137"/>
      <c r="Q87" s="689" t="str">
        <f>IF(N86="","","PK")</f>
        <v/>
      </c>
      <c r="R87" s="689"/>
      <c r="S87" s="689"/>
      <c r="T87" s="689"/>
      <c r="AB87" s="702"/>
      <c r="AH87" s="136"/>
      <c r="AI87" s="136"/>
      <c r="AJ87" s="137"/>
      <c r="AK87" s="138"/>
      <c r="AL87" s="139"/>
      <c r="AM87" s="139"/>
      <c r="AW87" s="699"/>
      <c r="AX87" s="136"/>
      <c r="AY87" s="136"/>
      <c r="AZ87" s="137"/>
      <c r="BA87" s="137"/>
      <c r="BE87" s="689" t="str">
        <f>IF(BB86="","","PK")</f>
        <v/>
      </c>
      <c r="BF87" s="689"/>
      <c r="BG87" s="689"/>
      <c r="BH87" s="689"/>
      <c r="BP87" s="702"/>
      <c r="BZ87" s="136"/>
      <c r="CA87" s="136"/>
      <c r="CB87" s="137"/>
      <c r="CK87" s="699"/>
      <c r="CL87" s="136"/>
      <c r="CM87" s="136"/>
      <c r="CN87" s="137"/>
      <c r="CO87" s="137"/>
      <c r="CS87" s="689" t="str">
        <f>IF(CP86="","","PK")</f>
        <v/>
      </c>
      <c r="CT87" s="689"/>
      <c r="CU87" s="689"/>
      <c r="CV87" s="689"/>
      <c r="DD87" s="702"/>
      <c r="DN87" s="136"/>
      <c r="DO87" s="136"/>
      <c r="DP87" s="137"/>
      <c r="DY87" s="699"/>
      <c r="DZ87" s="136"/>
      <c r="EA87" s="136"/>
      <c r="EB87" s="137"/>
      <c r="EC87" s="137"/>
      <c r="EG87" s="689" t="str">
        <f>IF(ED86="","","PK")</f>
        <v/>
      </c>
      <c r="EH87" s="689"/>
      <c r="EI87" s="689"/>
      <c r="EJ87" s="689"/>
      <c r="ER87" s="702"/>
    </row>
    <row r="88" spans="3:148" s="61" customFormat="1" ht="13.5" customHeight="1" x14ac:dyDescent="0.15">
      <c r="E88" s="695" t="str">
        <f>IF(E91="","",SUM(E91:H94))</f>
        <v/>
      </c>
      <c r="F88" s="695"/>
      <c r="G88" s="695"/>
      <c r="H88" s="695"/>
      <c r="I88" s="699"/>
      <c r="J88" s="129"/>
      <c r="K88" s="696" t="str">
        <f>IF(K91="","",SUM(K91:N94))</f>
        <v/>
      </c>
      <c r="L88" s="696"/>
      <c r="M88" s="696"/>
      <c r="N88" s="696"/>
      <c r="O88" s="130"/>
      <c r="AB88" s="702"/>
      <c r="AH88" s="129"/>
      <c r="AI88" s="129"/>
      <c r="AJ88" s="105"/>
      <c r="AK88" s="130"/>
      <c r="AL88" s="131"/>
      <c r="AM88" s="131"/>
      <c r="AS88" s="695" t="str">
        <f>IF(AS91="","",SUM(AS91:AV94))</f>
        <v/>
      </c>
      <c r="AT88" s="695"/>
      <c r="AU88" s="695"/>
      <c r="AV88" s="695"/>
      <c r="AW88" s="699"/>
      <c r="AX88" s="129"/>
      <c r="AY88" s="696" t="str">
        <f>IF(AY91="","",SUM(AY91:BB94))</f>
        <v/>
      </c>
      <c r="AZ88" s="696"/>
      <c r="BA88" s="696"/>
      <c r="BB88" s="696"/>
      <c r="BC88" s="130"/>
      <c r="BP88" s="702"/>
      <c r="BZ88" s="129"/>
      <c r="CA88" s="129"/>
      <c r="CB88" s="105"/>
      <c r="CG88" s="695" t="str">
        <f>IF(CG91="","",SUM(CG91:CJ94))</f>
        <v/>
      </c>
      <c r="CH88" s="695"/>
      <c r="CI88" s="695"/>
      <c r="CJ88" s="695"/>
      <c r="CK88" s="699"/>
      <c r="CL88" s="129"/>
      <c r="CM88" s="696" t="str">
        <f>IF(CM91="","",SUM(CM91:CP94))</f>
        <v/>
      </c>
      <c r="CN88" s="696"/>
      <c r="CO88" s="696"/>
      <c r="CP88" s="696"/>
      <c r="CQ88" s="130"/>
      <c r="DD88" s="702"/>
      <c r="DN88" s="129"/>
      <c r="DO88" s="129"/>
      <c r="DP88" s="105"/>
      <c r="DU88" s="695" t="str">
        <f>IF(DU91="","",SUM(DU91:DX94))</f>
        <v/>
      </c>
      <c r="DV88" s="695"/>
      <c r="DW88" s="695"/>
      <c r="DX88" s="695"/>
      <c r="DY88" s="699"/>
      <c r="DZ88" s="129"/>
      <c r="EA88" s="696" t="str">
        <f>IF(EA91="","",SUM(EA91:ED94))</f>
        <v/>
      </c>
      <c r="EB88" s="696"/>
      <c r="EC88" s="696"/>
      <c r="ED88" s="696"/>
      <c r="EE88" s="130"/>
      <c r="ER88" s="702"/>
    </row>
    <row r="89" spans="3:148" s="61" customFormat="1" ht="13.5" customHeight="1" x14ac:dyDescent="0.15">
      <c r="C89" s="127"/>
      <c r="D89" s="127"/>
      <c r="E89" s="698">
        <f>SUM(E91:H96)</f>
        <v>0</v>
      </c>
      <c r="F89" s="698"/>
      <c r="G89" s="698"/>
      <c r="H89" s="698"/>
      <c r="I89" s="699"/>
      <c r="K89" s="697">
        <f>SUM(K91:N96)</f>
        <v>0</v>
      </c>
      <c r="L89" s="697"/>
      <c r="M89" s="697"/>
      <c r="N89" s="697"/>
      <c r="AA89" s="127"/>
      <c r="AB89" s="702"/>
      <c r="AF89" s="126"/>
      <c r="AG89" s="126"/>
      <c r="AH89" s="126"/>
      <c r="AQ89" s="127"/>
      <c r="AR89" s="127"/>
      <c r="AS89" s="698">
        <f>SUM(AS91:AV96)</f>
        <v>0</v>
      </c>
      <c r="AT89" s="698"/>
      <c r="AU89" s="698"/>
      <c r="AV89" s="698"/>
      <c r="AW89" s="699"/>
      <c r="AY89" s="697">
        <f>SUM(AY91:BB96)</f>
        <v>0</v>
      </c>
      <c r="AZ89" s="697"/>
      <c r="BA89" s="697"/>
      <c r="BB89" s="697"/>
      <c r="BO89" s="127"/>
      <c r="BP89" s="702"/>
      <c r="BU89" s="127"/>
      <c r="BV89" s="127"/>
      <c r="BX89" s="126"/>
      <c r="BY89" s="126"/>
      <c r="BZ89" s="126"/>
      <c r="CE89" s="127"/>
      <c r="CF89" s="127"/>
      <c r="CG89" s="698">
        <f>SUM(CG91:CJ96)</f>
        <v>0</v>
      </c>
      <c r="CH89" s="698"/>
      <c r="CI89" s="698"/>
      <c r="CJ89" s="698"/>
      <c r="CK89" s="699"/>
      <c r="CM89" s="697">
        <f>SUM(CM91:CP96)</f>
        <v>0</v>
      </c>
      <c r="CN89" s="697"/>
      <c r="CO89" s="697"/>
      <c r="CP89" s="697"/>
      <c r="DC89" s="127"/>
      <c r="DD89" s="702"/>
      <c r="DL89" s="126"/>
      <c r="DM89" s="126"/>
      <c r="DN89" s="126"/>
      <c r="DS89" s="127"/>
      <c r="DT89" s="127"/>
      <c r="DU89" s="698">
        <f>SUM(DU91:DX96)</f>
        <v>0</v>
      </c>
      <c r="DV89" s="698"/>
      <c r="DW89" s="698"/>
      <c r="DX89" s="698"/>
      <c r="DY89" s="699"/>
      <c r="EA89" s="697">
        <f>SUM(EA91:ED96)</f>
        <v>0</v>
      </c>
      <c r="EB89" s="697"/>
      <c r="EC89" s="697"/>
      <c r="ED89" s="697"/>
      <c r="EQ89" s="127"/>
      <c r="ER89" s="702"/>
    </row>
    <row r="90" spans="3:148" s="61" customFormat="1" ht="4.5" customHeight="1" thickBot="1" x14ac:dyDescent="0.2">
      <c r="C90" s="127"/>
      <c r="D90" s="692"/>
      <c r="E90" s="693"/>
      <c r="F90" s="693"/>
      <c r="G90" s="693"/>
      <c r="H90" s="693"/>
      <c r="I90" s="700"/>
      <c r="J90" s="694"/>
      <c r="K90" s="693"/>
      <c r="L90" s="693"/>
      <c r="M90" s="693"/>
      <c r="N90" s="693"/>
      <c r="O90" s="693"/>
      <c r="AA90" s="127"/>
      <c r="AB90" s="702"/>
      <c r="AC90" s="31"/>
      <c r="AD90" s="31"/>
      <c r="AE90" s="31"/>
      <c r="AF90" s="65"/>
      <c r="AG90" s="65"/>
      <c r="AH90" s="65"/>
      <c r="AQ90" s="127"/>
      <c r="AR90" s="692"/>
      <c r="AS90" s="693"/>
      <c r="AT90" s="693"/>
      <c r="AU90" s="693"/>
      <c r="AV90" s="693"/>
      <c r="AW90" s="700"/>
      <c r="AX90" s="694"/>
      <c r="AY90" s="693"/>
      <c r="AZ90" s="693"/>
      <c r="BA90" s="693"/>
      <c r="BB90" s="693"/>
      <c r="BC90" s="693"/>
      <c r="BO90" s="127"/>
      <c r="BP90" s="702"/>
      <c r="BQ90" s="31"/>
      <c r="BU90" s="127"/>
      <c r="BV90" s="127"/>
      <c r="BW90" s="31"/>
      <c r="BX90" s="65"/>
      <c r="BY90" s="65"/>
      <c r="BZ90" s="65"/>
      <c r="CE90" s="127"/>
      <c r="CF90" s="692"/>
      <c r="CG90" s="693"/>
      <c r="CH90" s="693"/>
      <c r="CI90" s="693"/>
      <c r="CJ90" s="693"/>
      <c r="CK90" s="700"/>
      <c r="CL90" s="694"/>
      <c r="CM90" s="693"/>
      <c r="CN90" s="693"/>
      <c r="CO90" s="693"/>
      <c r="CP90" s="693"/>
      <c r="CQ90" s="693"/>
      <c r="DC90" s="127"/>
      <c r="DD90" s="702"/>
      <c r="DE90" s="31"/>
      <c r="DF90" s="31"/>
      <c r="DG90" s="31"/>
      <c r="DH90" s="31"/>
      <c r="DI90" s="31"/>
      <c r="DJ90" s="31"/>
      <c r="DK90" s="31"/>
      <c r="DL90" s="65"/>
      <c r="DM90" s="65"/>
      <c r="DN90" s="65"/>
      <c r="DS90" s="127"/>
      <c r="DT90" s="692"/>
      <c r="DU90" s="693"/>
      <c r="DV90" s="693"/>
      <c r="DW90" s="693"/>
      <c r="DX90" s="693"/>
      <c r="DY90" s="700"/>
      <c r="DZ90" s="694"/>
      <c r="EA90" s="693"/>
      <c r="EB90" s="693"/>
      <c r="EC90" s="693"/>
      <c r="ED90" s="693"/>
      <c r="EE90" s="693"/>
      <c r="EQ90" s="127"/>
      <c r="ER90" s="702"/>
    </row>
    <row r="91" spans="3:148" s="61" customFormat="1" ht="13.5" customHeight="1" thickTop="1" x14ac:dyDescent="0.15">
      <c r="C91" s="691"/>
      <c r="D91" s="129"/>
      <c r="E91" s="687"/>
      <c r="F91" s="687"/>
      <c r="G91" s="687"/>
      <c r="H91" s="687"/>
      <c r="I91" s="634" t="s">
        <v>92</v>
      </c>
      <c r="J91" s="634"/>
      <c r="K91" s="688"/>
      <c r="L91" s="688"/>
      <c r="M91" s="688"/>
      <c r="N91" s="688"/>
      <c r="O91" s="65"/>
      <c r="P91" s="686"/>
      <c r="AA91" s="129"/>
      <c r="AB91" s="702"/>
      <c r="AF91" s="130"/>
      <c r="AG91" s="130"/>
      <c r="AH91" s="131"/>
      <c r="AQ91" s="691"/>
      <c r="AR91" s="129"/>
      <c r="AS91" s="687"/>
      <c r="AT91" s="687"/>
      <c r="AU91" s="687"/>
      <c r="AV91" s="687"/>
      <c r="AW91" s="634" t="s">
        <v>92</v>
      </c>
      <c r="AX91" s="634"/>
      <c r="AY91" s="688"/>
      <c r="AZ91" s="688"/>
      <c r="BA91" s="688"/>
      <c r="BB91" s="688"/>
      <c r="BC91" s="65"/>
      <c r="BD91" s="686"/>
      <c r="BO91" s="129"/>
      <c r="BP91" s="702"/>
      <c r="BU91" s="129"/>
      <c r="BV91" s="129"/>
      <c r="BX91" s="130"/>
      <c r="BY91" s="130"/>
      <c r="BZ91" s="131"/>
      <c r="CE91" s="691"/>
      <c r="CF91" s="129"/>
      <c r="CG91" s="687"/>
      <c r="CH91" s="687"/>
      <c r="CI91" s="687"/>
      <c r="CJ91" s="687"/>
      <c r="CK91" s="634" t="s">
        <v>92</v>
      </c>
      <c r="CL91" s="634"/>
      <c r="CM91" s="688"/>
      <c r="CN91" s="688"/>
      <c r="CO91" s="688"/>
      <c r="CP91" s="688"/>
      <c r="CQ91" s="65"/>
      <c r="CR91" s="686"/>
      <c r="DC91" s="129"/>
      <c r="DD91" s="702"/>
      <c r="DL91" s="130"/>
      <c r="DM91" s="130"/>
      <c r="DN91" s="131"/>
      <c r="DS91" s="691"/>
      <c r="DT91" s="129"/>
      <c r="DU91" s="687"/>
      <c r="DV91" s="687"/>
      <c r="DW91" s="687"/>
      <c r="DX91" s="687"/>
      <c r="DY91" s="634" t="s">
        <v>92</v>
      </c>
      <c r="DZ91" s="634"/>
      <c r="EA91" s="688"/>
      <c r="EB91" s="688"/>
      <c r="EC91" s="688"/>
      <c r="ED91" s="688"/>
      <c r="EE91" s="65"/>
      <c r="EF91" s="686"/>
      <c r="EQ91" s="129"/>
      <c r="ER91" s="702"/>
    </row>
    <row r="92" spans="3:148" s="61" customFormat="1" ht="13.5" customHeight="1" x14ac:dyDescent="0.15">
      <c r="C92" s="691"/>
      <c r="D92" s="129"/>
      <c r="E92" s="687"/>
      <c r="F92" s="687"/>
      <c r="G92" s="687"/>
      <c r="H92" s="687"/>
      <c r="I92" s="634" t="s">
        <v>92</v>
      </c>
      <c r="J92" s="634"/>
      <c r="K92" s="688"/>
      <c r="L92" s="688"/>
      <c r="M92" s="688"/>
      <c r="N92" s="688"/>
      <c r="O92" s="65"/>
      <c r="P92" s="686"/>
      <c r="AA92" s="129"/>
      <c r="AB92" s="702"/>
      <c r="AF92" s="130"/>
      <c r="AG92" s="130"/>
      <c r="AH92" s="131"/>
      <c r="AQ92" s="691"/>
      <c r="AR92" s="129"/>
      <c r="AS92" s="687"/>
      <c r="AT92" s="687"/>
      <c r="AU92" s="687"/>
      <c r="AV92" s="687"/>
      <c r="AW92" s="634" t="s">
        <v>92</v>
      </c>
      <c r="AX92" s="634"/>
      <c r="AY92" s="688"/>
      <c r="AZ92" s="688"/>
      <c r="BA92" s="688"/>
      <c r="BB92" s="688"/>
      <c r="BC92" s="65"/>
      <c r="BD92" s="686"/>
      <c r="BO92" s="129"/>
      <c r="BP92" s="702"/>
      <c r="BU92" s="129"/>
      <c r="BV92" s="129"/>
      <c r="BX92" s="130"/>
      <c r="BY92" s="130"/>
      <c r="BZ92" s="131"/>
      <c r="CE92" s="691"/>
      <c r="CF92" s="129"/>
      <c r="CG92" s="687"/>
      <c r="CH92" s="687"/>
      <c r="CI92" s="687"/>
      <c r="CJ92" s="687"/>
      <c r="CK92" s="634" t="s">
        <v>92</v>
      </c>
      <c r="CL92" s="634"/>
      <c r="CM92" s="688"/>
      <c r="CN92" s="688"/>
      <c r="CO92" s="688"/>
      <c r="CP92" s="688"/>
      <c r="CQ92" s="65"/>
      <c r="CR92" s="686"/>
      <c r="DC92" s="129"/>
      <c r="DD92" s="702"/>
      <c r="DL92" s="130"/>
      <c r="DM92" s="130"/>
      <c r="DN92" s="131"/>
      <c r="DS92" s="691"/>
      <c r="DT92" s="129"/>
      <c r="DU92" s="687"/>
      <c r="DV92" s="687"/>
      <c r="DW92" s="687"/>
      <c r="DX92" s="687"/>
      <c r="DY92" s="634" t="s">
        <v>92</v>
      </c>
      <c r="DZ92" s="634"/>
      <c r="EA92" s="688"/>
      <c r="EB92" s="688"/>
      <c r="EC92" s="688"/>
      <c r="ED92" s="688"/>
      <c r="EE92" s="65"/>
      <c r="EF92" s="686"/>
      <c r="EQ92" s="129"/>
      <c r="ER92" s="702"/>
    </row>
    <row r="93" spans="3:148" s="61" customFormat="1" ht="13.5" customHeight="1" x14ac:dyDescent="0.15">
      <c r="C93" s="691"/>
      <c r="D93" s="129"/>
      <c r="E93" s="687"/>
      <c r="F93" s="687"/>
      <c r="G93" s="687"/>
      <c r="H93" s="687"/>
      <c r="I93" s="618" t="str">
        <f>IF(E93="","","－")</f>
        <v/>
      </c>
      <c r="J93" s="618"/>
      <c r="K93" s="688"/>
      <c r="L93" s="688"/>
      <c r="M93" s="688"/>
      <c r="N93" s="688"/>
      <c r="O93" s="65"/>
      <c r="P93" s="686"/>
      <c r="AA93" s="129"/>
      <c r="AB93" s="702"/>
      <c r="AC93" s="105"/>
      <c r="AD93" s="105"/>
      <c r="AE93" s="105"/>
      <c r="AF93" s="130"/>
      <c r="AG93" s="130"/>
      <c r="AH93" s="131"/>
      <c r="AQ93" s="691"/>
      <c r="AR93" s="129"/>
      <c r="AS93" s="687"/>
      <c r="AT93" s="687"/>
      <c r="AU93" s="687"/>
      <c r="AV93" s="687"/>
      <c r="AW93" s="618" t="str">
        <f>IF(AS93="","","－")</f>
        <v/>
      </c>
      <c r="AX93" s="618"/>
      <c r="AY93" s="688"/>
      <c r="AZ93" s="688"/>
      <c r="BA93" s="688"/>
      <c r="BB93" s="688"/>
      <c r="BC93" s="65"/>
      <c r="BD93" s="686"/>
      <c r="BO93" s="129"/>
      <c r="BP93" s="702"/>
      <c r="BQ93" s="105"/>
      <c r="BU93" s="129"/>
      <c r="BV93" s="129"/>
      <c r="BW93" s="105"/>
      <c r="BX93" s="130"/>
      <c r="BY93" s="130"/>
      <c r="BZ93" s="131"/>
      <c r="CE93" s="691"/>
      <c r="CF93" s="129"/>
      <c r="CG93" s="687"/>
      <c r="CH93" s="687"/>
      <c r="CI93" s="687"/>
      <c r="CJ93" s="687"/>
      <c r="CK93" s="618" t="str">
        <f>IF(CG93="","","－")</f>
        <v/>
      </c>
      <c r="CL93" s="618"/>
      <c r="CM93" s="688"/>
      <c r="CN93" s="688"/>
      <c r="CO93" s="688"/>
      <c r="CP93" s="688"/>
      <c r="CQ93" s="65"/>
      <c r="CR93" s="686"/>
      <c r="DC93" s="129"/>
      <c r="DD93" s="702"/>
      <c r="DE93" s="105"/>
      <c r="DF93" s="105"/>
      <c r="DG93" s="105"/>
      <c r="DH93" s="105"/>
      <c r="DI93" s="105"/>
      <c r="DJ93" s="105"/>
      <c r="DK93" s="105"/>
      <c r="DL93" s="130"/>
      <c r="DM93" s="130"/>
      <c r="DN93" s="131"/>
      <c r="DS93" s="691"/>
      <c r="DT93" s="129"/>
      <c r="DU93" s="687"/>
      <c r="DV93" s="687"/>
      <c r="DW93" s="687"/>
      <c r="DX93" s="687"/>
      <c r="DY93" s="618" t="str">
        <f>IF(DU93="","","－")</f>
        <v/>
      </c>
      <c r="DZ93" s="618"/>
      <c r="EA93" s="688"/>
      <c r="EB93" s="688"/>
      <c r="EC93" s="688"/>
      <c r="ED93" s="688"/>
      <c r="EE93" s="65"/>
      <c r="EF93" s="686"/>
      <c r="EQ93" s="129"/>
      <c r="ER93" s="702"/>
    </row>
    <row r="94" spans="3:148" s="61" customFormat="1" ht="13.5" customHeight="1" x14ac:dyDescent="0.15">
      <c r="C94" s="691"/>
      <c r="D94" s="129"/>
      <c r="E94" s="687"/>
      <c r="F94" s="687"/>
      <c r="G94" s="687"/>
      <c r="H94" s="687"/>
      <c r="I94" s="618" t="str">
        <f>IF(E94="","","－")</f>
        <v/>
      </c>
      <c r="J94" s="618"/>
      <c r="K94" s="688"/>
      <c r="L94" s="688"/>
      <c r="M94" s="688"/>
      <c r="N94" s="688"/>
      <c r="P94" s="686"/>
      <c r="AA94" s="129"/>
      <c r="AB94" s="702"/>
      <c r="AC94" s="105"/>
      <c r="AD94" s="105"/>
      <c r="AE94" s="105"/>
      <c r="AF94" s="130"/>
      <c r="AG94" s="130"/>
      <c r="AH94" s="131"/>
      <c r="AQ94" s="691"/>
      <c r="AR94" s="129"/>
      <c r="AS94" s="687"/>
      <c r="AT94" s="687"/>
      <c r="AU94" s="687"/>
      <c r="AV94" s="687"/>
      <c r="AW94" s="618" t="str">
        <f>IF(AS94="","","－")</f>
        <v/>
      </c>
      <c r="AX94" s="618"/>
      <c r="AY94" s="688"/>
      <c r="AZ94" s="688"/>
      <c r="BA94" s="688"/>
      <c r="BB94" s="688"/>
      <c r="BD94" s="686"/>
      <c r="BO94" s="129"/>
      <c r="BP94" s="702"/>
      <c r="BQ94" s="105"/>
      <c r="BU94" s="129"/>
      <c r="BV94" s="129"/>
      <c r="BW94" s="105"/>
      <c r="BX94" s="130"/>
      <c r="BY94" s="130"/>
      <c r="BZ94" s="131"/>
      <c r="CE94" s="691"/>
      <c r="CF94" s="129"/>
      <c r="CG94" s="687"/>
      <c r="CH94" s="687"/>
      <c r="CI94" s="687"/>
      <c r="CJ94" s="687"/>
      <c r="CK94" s="618" t="str">
        <f>IF(CG94="","","－")</f>
        <v/>
      </c>
      <c r="CL94" s="618"/>
      <c r="CM94" s="688"/>
      <c r="CN94" s="688"/>
      <c r="CO94" s="688"/>
      <c r="CP94" s="688"/>
      <c r="CR94" s="686"/>
      <c r="DC94" s="129"/>
      <c r="DD94" s="702"/>
      <c r="DE94" s="105"/>
      <c r="DF94" s="105"/>
      <c r="DG94" s="105"/>
      <c r="DH94" s="105"/>
      <c r="DI94" s="105"/>
      <c r="DJ94" s="105"/>
      <c r="DK94" s="105"/>
      <c r="DL94" s="130"/>
      <c r="DM94" s="130"/>
      <c r="DN94" s="131"/>
      <c r="DS94" s="691"/>
      <c r="DT94" s="129"/>
      <c r="DU94" s="687"/>
      <c r="DV94" s="687"/>
      <c r="DW94" s="687"/>
      <c r="DX94" s="687"/>
      <c r="DY94" s="618" t="str">
        <f>IF(DU94="","","－")</f>
        <v/>
      </c>
      <c r="DZ94" s="618"/>
      <c r="EA94" s="688"/>
      <c r="EB94" s="688"/>
      <c r="EC94" s="688"/>
      <c r="ED94" s="688"/>
      <c r="EF94" s="686"/>
      <c r="EQ94" s="129"/>
      <c r="ER94" s="702"/>
    </row>
    <row r="95" spans="3:148" s="111" customFormat="1" ht="13.5" customHeight="1" x14ac:dyDescent="0.2">
      <c r="C95" s="691"/>
      <c r="D95" s="132"/>
      <c r="E95" s="108"/>
      <c r="F95" s="108"/>
      <c r="G95" s="108"/>
      <c r="H95" s="690" t="str">
        <f>IF(E96="","","PK")</f>
        <v/>
      </c>
      <c r="I95" s="690"/>
      <c r="J95" s="690"/>
      <c r="K95" s="690"/>
      <c r="L95" s="109"/>
      <c r="M95" s="109"/>
      <c r="N95" s="109"/>
      <c r="P95" s="686"/>
      <c r="AA95" s="132"/>
      <c r="AB95" s="702"/>
      <c r="AC95" s="133"/>
      <c r="AD95" s="133"/>
      <c r="AE95" s="133"/>
      <c r="AF95" s="134"/>
      <c r="AG95" s="134"/>
      <c r="AH95" s="135"/>
      <c r="AQ95" s="691"/>
      <c r="AR95" s="132"/>
      <c r="AS95" s="108"/>
      <c r="AT95" s="108"/>
      <c r="AU95" s="108"/>
      <c r="AV95" s="690" t="str">
        <f>IF(AS96="","","PK")</f>
        <v/>
      </c>
      <c r="AW95" s="690"/>
      <c r="AX95" s="690"/>
      <c r="AY95" s="690"/>
      <c r="AZ95" s="109"/>
      <c r="BA95" s="109"/>
      <c r="BB95" s="109"/>
      <c r="BD95" s="686"/>
      <c r="BO95" s="132"/>
      <c r="BP95" s="702"/>
      <c r="BQ95" s="133"/>
      <c r="BU95" s="132"/>
      <c r="BV95" s="132"/>
      <c r="BW95" s="133"/>
      <c r="BX95" s="134"/>
      <c r="BY95" s="134"/>
      <c r="BZ95" s="135"/>
      <c r="CE95" s="691"/>
      <c r="CF95" s="132"/>
      <c r="CG95" s="108"/>
      <c r="CH95" s="108"/>
      <c r="CI95" s="108"/>
      <c r="CJ95" s="690" t="str">
        <f>IF(CG96="","","PK")</f>
        <v/>
      </c>
      <c r="CK95" s="690"/>
      <c r="CL95" s="690"/>
      <c r="CM95" s="690"/>
      <c r="CN95" s="109"/>
      <c r="CO95" s="109"/>
      <c r="CP95" s="109"/>
      <c r="CR95" s="686"/>
      <c r="DC95" s="132"/>
      <c r="DD95" s="702"/>
      <c r="DE95" s="133"/>
      <c r="DF95" s="133"/>
      <c r="DG95" s="133"/>
      <c r="DH95" s="133"/>
      <c r="DI95" s="133"/>
      <c r="DJ95" s="133"/>
      <c r="DK95" s="133"/>
      <c r="DL95" s="134"/>
      <c r="DM95" s="134"/>
      <c r="DN95" s="135"/>
      <c r="DS95" s="691"/>
      <c r="DT95" s="132"/>
      <c r="DU95" s="108"/>
      <c r="DV95" s="108"/>
      <c r="DW95" s="108"/>
      <c r="DX95" s="690" t="str">
        <f>IF(DU96="","","PK")</f>
        <v/>
      </c>
      <c r="DY95" s="690"/>
      <c r="DZ95" s="690"/>
      <c r="EA95" s="690"/>
      <c r="EB95" s="109"/>
      <c r="EC95" s="109"/>
      <c r="ED95" s="109"/>
      <c r="EF95" s="686"/>
      <c r="EQ95" s="132"/>
      <c r="ER95" s="702"/>
    </row>
    <row r="96" spans="3:148" s="61" customFormat="1" ht="13.5" customHeight="1" x14ac:dyDescent="0.15">
      <c r="C96" s="691"/>
      <c r="D96" s="129"/>
      <c r="E96" s="687"/>
      <c r="F96" s="687"/>
      <c r="G96" s="687"/>
      <c r="H96" s="687"/>
      <c r="I96" s="618" t="str">
        <f>IF(E96="","","－")</f>
        <v/>
      </c>
      <c r="J96" s="618"/>
      <c r="K96" s="688"/>
      <c r="L96" s="688"/>
      <c r="M96" s="688"/>
      <c r="N96" s="688"/>
      <c r="P96" s="686"/>
      <c r="AA96" s="129"/>
      <c r="AB96" s="702"/>
      <c r="AC96" s="105"/>
      <c r="AD96" s="105"/>
      <c r="AE96" s="105"/>
      <c r="AF96" s="130"/>
      <c r="AG96" s="130"/>
      <c r="AH96" s="131"/>
      <c r="AQ96" s="691"/>
      <c r="AR96" s="129"/>
      <c r="AS96" s="687"/>
      <c r="AT96" s="687"/>
      <c r="AU96" s="687"/>
      <c r="AV96" s="687"/>
      <c r="AW96" s="618" t="str">
        <f>IF(AS96="","","－")</f>
        <v/>
      </c>
      <c r="AX96" s="618"/>
      <c r="AY96" s="688"/>
      <c r="AZ96" s="688"/>
      <c r="BA96" s="688"/>
      <c r="BB96" s="688"/>
      <c r="BD96" s="686"/>
      <c r="BO96" s="129"/>
      <c r="BP96" s="702"/>
      <c r="BQ96" s="105"/>
      <c r="BU96" s="129"/>
      <c r="BV96" s="129"/>
      <c r="BW96" s="105"/>
      <c r="BX96" s="130"/>
      <c r="BY96" s="130"/>
      <c r="BZ96" s="131"/>
      <c r="CE96" s="691"/>
      <c r="CF96" s="129"/>
      <c r="CG96" s="687"/>
      <c r="CH96" s="687"/>
      <c r="CI96" s="687"/>
      <c r="CJ96" s="687"/>
      <c r="CK96" s="618" t="str">
        <f>IF(CG96="","","－")</f>
        <v/>
      </c>
      <c r="CL96" s="618"/>
      <c r="CM96" s="688"/>
      <c r="CN96" s="688"/>
      <c r="CO96" s="688"/>
      <c r="CP96" s="688"/>
      <c r="CR96" s="686"/>
      <c r="DC96" s="129"/>
      <c r="DD96" s="702"/>
      <c r="DE96" s="105"/>
      <c r="DF96" s="105"/>
      <c r="DG96" s="105"/>
      <c r="DH96" s="105"/>
      <c r="DI96" s="105"/>
      <c r="DJ96" s="105"/>
      <c r="DK96" s="105"/>
      <c r="DL96" s="130"/>
      <c r="DM96" s="130"/>
      <c r="DN96" s="131"/>
      <c r="DS96" s="691"/>
      <c r="DT96" s="129"/>
      <c r="DU96" s="687"/>
      <c r="DV96" s="687"/>
      <c r="DW96" s="687"/>
      <c r="DX96" s="687"/>
      <c r="DY96" s="618" t="str">
        <f>IF(DU96="","","－")</f>
        <v/>
      </c>
      <c r="DZ96" s="618"/>
      <c r="EA96" s="688"/>
      <c r="EB96" s="688"/>
      <c r="EC96" s="688"/>
      <c r="ED96" s="688"/>
      <c r="EF96" s="686"/>
      <c r="EQ96" s="129"/>
      <c r="ER96" s="702"/>
    </row>
    <row r="97" spans="1:150" s="114" customFormat="1" ht="13.5" customHeight="1" x14ac:dyDescent="0.15">
      <c r="C97" s="691"/>
      <c r="H97" s="689" t="str">
        <f>IF(E96="","","PK")</f>
        <v/>
      </c>
      <c r="I97" s="689"/>
      <c r="J97" s="689"/>
      <c r="K97" s="689"/>
      <c r="P97" s="686"/>
      <c r="AB97" s="702"/>
      <c r="AQ97" s="691"/>
      <c r="AV97" s="689" t="str">
        <f>IF(AS96="","","PK")</f>
        <v/>
      </c>
      <c r="AW97" s="689"/>
      <c r="AX97" s="689"/>
      <c r="AY97" s="689"/>
      <c r="BD97" s="686"/>
      <c r="BP97" s="702"/>
      <c r="CE97" s="691"/>
      <c r="CJ97" s="689" t="str">
        <f>IF(CG96="","","PK")</f>
        <v/>
      </c>
      <c r="CK97" s="689"/>
      <c r="CL97" s="689"/>
      <c r="CM97" s="689"/>
      <c r="CR97" s="686"/>
      <c r="DD97" s="702"/>
      <c r="DS97" s="691"/>
      <c r="DX97" s="689" t="str">
        <f>IF(DU96="","","PK")</f>
        <v/>
      </c>
      <c r="DY97" s="689"/>
      <c r="DZ97" s="689"/>
      <c r="EA97" s="689"/>
      <c r="EF97" s="686"/>
      <c r="ER97" s="702"/>
    </row>
    <row r="98" spans="1:150" s="140" customFormat="1" ht="149.25" customHeight="1" x14ac:dyDescent="0.15">
      <c r="B98" s="684" t="str">
        <f>IF(C38="","ア負け(　　　)",IF(C46&lt;I46,B66,N48))</f>
        <v>ア負け(　　　)</v>
      </c>
      <c r="C98" s="685"/>
      <c r="D98" s="685"/>
      <c r="E98" s="685"/>
      <c r="F98" s="141"/>
      <c r="G98" s="141"/>
      <c r="H98" s="684"/>
      <c r="I98" s="685"/>
      <c r="J98" s="685"/>
      <c r="K98" s="685"/>
      <c r="L98" s="141"/>
      <c r="M98" s="141"/>
      <c r="N98" s="684" t="str">
        <f>IF(AF38="","イ負け(　　　)",IF(Z46&lt;AF46,T48,AL48))</f>
        <v>イ負け(　　　)</v>
      </c>
      <c r="O98" s="685"/>
      <c r="P98" s="685"/>
      <c r="Q98" s="685"/>
      <c r="R98" s="141"/>
      <c r="S98" s="141"/>
      <c r="T98" s="684"/>
      <c r="U98" s="685"/>
      <c r="V98" s="685"/>
      <c r="W98" s="685"/>
      <c r="X98" s="141"/>
      <c r="Y98" s="141"/>
      <c r="Z98" s="684" t="str">
        <f>IF(CN28="","Ｃ負け(　　　)",IF(CN36&lt;CT36,CC38,DE38))</f>
        <v>Ｃ負け(　　　)</v>
      </c>
      <c r="AA98" s="685"/>
      <c r="AB98" s="685"/>
      <c r="AC98" s="685"/>
      <c r="AD98" s="141"/>
      <c r="AE98" s="141"/>
      <c r="AF98" s="684"/>
      <c r="AG98" s="685"/>
      <c r="AH98" s="685"/>
      <c r="AI98" s="685"/>
      <c r="AJ98" s="684"/>
      <c r="AK98" s="685"/>
      <c r="AL98" s="685"/>
      <c r="AM98" s="685"/>
      <c r="AN98" s="141"/>
      <c r="AO98" s="141"/>
      <c r="AP98" s="684" t="str">
        <f>IF(AS38="","ウ負け(　　　)",IF(AS46&lt;AY46,AR66,BD48))</f>
        <v>ウ負け(　　　)</v>
      </c>
      <c r="AQ98" s="685"/>
      <c r="AR98" s="685"/>
      <c r="AS98" s="685"/>
      <c r="AT98" s="141"/>
      <c r="AU98" s="141"/>
      <c r="AV98" s="684"/>
      <c r="AW98" s="685"/>
      <c r="AX98" s="685"/>
      <c r="AY98" s="685"/>
      <c r="AZ98" s="141"/>
      <c r="BA98" s="141"/>
      <c r="BB98" s="684" t="str">
        <f>IF(BU38="","エ負け(　　　)",IF(BO46&lt;BU46,BJ48,BV66))</f>
        <v>エ負け(　　　)</v>
      </c>
      <c r="BC98" s="685"/>
      <c r="BD98" s="685"/>
      <c r="BE98" s="685"/>
      <c r="BF98" s="141"/>
      <c r="BG98" s="141"/>
      <c r="BH98" s="684"/>
      <c r="BI98" s="685"/>
      <c r="BJ98" s="685"/>
      <c r="BK98" s="685"/>
      <c r="BL98" s="141"/>
      <c r="BM98" s="141"/>
      <c r="BN98" s="684" t="str">
        <f>IF(ED28="","Ｄ負け(　　　)",IF(DX36&lt;ED36,DM38,EO38))</f>
        <v>Ｄ負け(　　　)</v>
      </c>
      <c r="BO98" s="685"/>
      <c r="BP98" s="685"/>
      <c r="BQ98" s="685"/>
      <c r="BR98" s="141"/>
      <c r="BS98" s="141"/>
      <c r="BT98" s="684"/>
      <c r="BU98" s="685"/>
      <c r="BV98" s="685"/>
      <c r="BW98" s="685"/>
      <c r="BX98" s="684"/>
      <c r="BY98" s="685"/>
      <c r="BZ98" s="685"/>
      <c r="CA98" s="685"/>
      <c r="CB98" s="141"/>
      <c r="CC98" s="141"/>
      <c r="CD98" s="684" t="str">
        <f>IF(CC38="","オ負け(　　　)",IF(CC46&lt;CI46,CB66,CN48))</f>
        <v>オ負け(　　　)</v>
      </c>
      <c r="CE98" s="685"/>
      <c r="CF98" s="685"/>
      <c r="CG98" s="685"/>
      <c r="CH98" s="141"/>
      <c r="CI98" s="141"/>
      <c r="CJ98" s="684"/>
      <c r="CK98" s="685"/>
      <c r="CL98" s="685"/>
      <c r="CM98" s="685"/>
      <c r="CN98" s="141"/>
      <c r="CO98" s="141"/>
      <c r="CP98" s="684" t="str">
        <f>IF(DE38="","カ負け(　　　)",IF(CY46&lt;DE46,CT48,DF66))</f>
        <v>カ負け(　　　)</v>
      </c>
      <c r="CQ98" s="685"/>
      <c r="CR98" s="685"/>
      <c r="CS98" s="685"/>
      <c r="CT98" s="141"/>
      <c r="CU98" s="141"/>
      <c r="CV98" s="684"/>
      <c r="CW98" s="685"/>
      <c r="CX98" s="685"/>
      <c r="CY98" s="685"/>
      <c r="CZ98" s="141"/>
      <c r="DA98" s="141"/>
      <c r="DB98" s="684" t="str">
        <f>IF(N28="","Ａ負け(　　　)",IF(N36&lt;T36,C38,AF38))</f>
        <v>Ａ負け(　　　)</v>
      </c>
      <c r="DC98" s="685"/>
      <c r="DD98" s="685"/>
      <c r="DE98" s="685"/>
      <c r="DF98" s="141"/>
      <c r="DG98" s="141"/>
      <c r="DH98" s="141"/>
      <c r="DI98" s="141"/>
      <c r="DJ98" s="141"/>
      <c r="DK98" s="141"/>
      <c r="DL98" s="684"/>
      <c r="DM98" s="685"/>
      <c r="DN98" s="685"/>
      <c r="DO98" s="685"/>
      <c r="DP98" s="141"/>
      <c r="DR98" s="684" t="str">
        <f>IF(DM38="","キ負け(　　　)",IF(DM46&lt;DS46,DL66,DX48))</f>
        <v>キ負け(　　　)</v>
      </c>
      <c r="DS98" s="685"/>
      <c r="DT98" s="685"/>
      <c r="DU98" s="685"/>
      <c r="DV98" s="141"/>
      <c r="DW98" s="141"/>
      <c r="DX98" s="684"/>
      <c r="DY98" s="685"/>
      <c r="DZ98" s="685"/>
      <c r="EA98" s="685"/>
      <c r="EB98" s="141"/>
      <c r="EC98" s="141"/>
      <c r="ED98" s="684" t="str">
        <f>IF(EO38="","ク負け(　　　)",IF(EI46&lt;EO46,ED48,EP66))</f>
        <v>ク負け(　　　)</v>
      </c>
      <c r="EE98" s="685"/>
      <c r="EF98" s="685"/>
      <c r="EG98" s="685"/>
      <c r="EH98" s="141"/>
      <c r="EI98" s="141"/>
      <c r="EJ98" s="684"/>
      <c r="EK98" s="685"/>
      <c r="EL98" s="685"/>
      <c r="EM98" s="685"/>
      <c r="EN98" s="141"/>
      <c r="EO98" s="141"/>
      <c r="EP98" s="684" t="str">
        <f>IF(BJ28="","Ｂ負け(　　　)",IF(BD36&lt;BJ36,AS38,BU38))</f>
        <v>Ｂ負け(　　　)</v>
      </c>
      <c r="EQ98" s="685"/>
      <c r="ER98" s="685"/>
      <c r="ES98" s="685"/>
    </row>
    <row r="100" spans="1:150" x14ac:dyDescent="0.15">
      <c r="A100" s="615"/>
      <c r="B100" s="615"/>
      <c r="C100" s="615"/>
      <c r="D100" s="615"/>
      <c r="E100" s="615"/>
      <c r="F100" s="615"/>
      <c r="G100" s="615"/>
      <c r="H100" s="615"/>
      <c r="I100" s="615"/>
      <c r="J100" s="615"/>
      <c r="K100" s="615"/>
      <c r="L100" s="615"/>
      <c r="M100" s="615"/>
      <c r="N100" s="615"/>
      <c r="O100" s="615"/>
      <c r="P100" s="615"/>
      <c r="Q100" s="615"/>
      <c r="R100" s="615"/>
      <c r="S100" s="615"/>
      <c r="T100" s="615"/>
      <c r="U100" s="615"/>
      <c r="V100" s="615"/>
      <c r="W100" s="615"/>
      <c r="X100" s="615"/>
      <c r="Y100" s="615"/>
      <c r="Z100" s="615"/>
      <c r="AA100" s="615"/>
      <c r="AB100" s="615"/>
      <c r="AC100" s="615"/>
      <c r="AD100" s="615"/>
      <c r="AE100" s="615"/>
      <c r="AF100" s="615"/>
      <c r="AG100" s="615"/>
      <c r="AH100" s="615"/>
      <c r="AI100" s="615"/>
      <c r="AJ100" s="615"/>
      <c r="AK100" s="615"/>
      <c r="AL100" s="615"/>
      <c r="AM100" s="615"/>
      <c r="AN100" s="615"/>
      <c r="AO100" s="615"/>
      <c r="AP100" s="615"/>
      <c r="AQ100" s="615"/>
      <c r="AR100" s="615"/>
      <c r="AS100" s="615"/>
      <c r="AT100" s="615"/>
      <c r="AU100" s="615"/>
      <c r="AV100" s="615"/>
      <c r="AW100" s="615"/>
      <c r="AX100" s="615"/>
      <c r="AY100" s="615"/>
      <c r="AZ100" s="615"/>
      <c r="BA100" s="615"/>
      <c r="BB100" s="615"/>
      <c r="BC100" s="615"/>
      <c r="BD100" s="615"/>
      <c r="BE100" s="615"/>
      <c r="BF100" s="615"/>
      <c r="BG100" s="615"/>
      <c r="BH100" s="615"/>
      <c r="BI100" s="615"/>
      <c r="BJ100" s="615"/>
      <c r="BK100" s="615"/>
      <c r="BL100" s="615"/>
      <c r="BM100" s="615"/>
      <c r="BN100" s="615"/>
      <c r="BO100" s="615"/>
      <c r="BP100" s="615"/>
      <c r="BQ100" s="615"/>
      <c r="BR100" s="615"/>
      <c r="BS100" s="615"/>
      <c r="BT100" s="615"/>
      <c r="BU100" s="615"/>
      <c r="BV100" s="615"/>
      <c r="BW100" s="615"/>
      <c r="BX100" s="615"/>
      <c r="BY100" s="615"/>
      <c r="BZ100" s="615"/>
      <c r="CA100" s="615"/>
      <c r="CB100" s="615"/>
      <c r="CC100" s="615"/>
      <c r="CD100" s="615"/>
      <c r="CE100" s="615"/>
      <c r="CF100" s="615"/>
      <c r="CG100" s="615"/>
      <c r="CH100" s="615"/>
      <c r="CI100" s="615"/>
      <c r="CJ100" s="615"/>
      <c r="CK100" s="615"/>
      <c r="CL100" s="615"/>
      <c r="CM100" s="615"/>
      <c r="CN100" s="615"/>
      <c r="CO100" s="615"/>
      <c r="CP100" s="615"/>
      <c r="CQ100" s="615"/>
      <c r="CR100" s="615"/>
      <c r="CS100" s="615"/>
      <c r="CT100" s="615"/>
      <c r="CU100" s="615"/>
      <c r="CV100" s="615"/>
      <c r="CW100" s="615"/>
      <c r="CX100" s="615"/>
      <c r="CY100" s="615"/>
      <c r="CZ100" s="615"/>
      <c r="DA100" s="615"/>
      <c r="DB100" s="615"/>
      <c r="DC100" s="615"/>
      <c r="DD100" s="615"/>
      <c r="DE100" s="615"/>
      <c r="DF100" s="615"/>
      <c r="DG100" s="615"/>
      <c r="DH100" s="615"/>
      <c r="DI100" s="615"/>
      <c r="DJ100" s="615"/>
      <c r="DK100" s="615"/>
      <c r="DL100" s="615"/>
      <c r="DM100" s="615"/>
      <c r="DN100" s="615"/>
      <c r="DO100" s="615"/>
      <c r="DP100" s="615"/>
      <c r="DQ100" s="615"/>
      <c r="DR100" s="615"/>
      <c r="DS100" s="615"/>
      <c r="DT100" s="615"/>
      <c r="DU100" s="615"/>
      <c r="DV100" s="615"/>
      <c r="DW100" s="615"/>
      <c r="DX100" s="615"/>
      <c r="DY100" s="615"/>
      <c r="DZ100" s="615"/>
      <c r="EA100" s="615"/>
      <c r="EB100" s="615"/>
      <c r="EC100" s="615"/>
      <c r="ED100" s="615"/>
      <c r="EE100" s="615"/>
      <c r="EF100" s="615"/>
      <c r="EG100" s="615"/>
      <c r="EH100" s="615"/>
      <c r="EI100" s="615"/>
      <c r="EJ100" s="615"/>
      <c r="EK100" s="615"/>
      <c r="EL100" s="615"/>
      <c r="EM100" s="615"/>
      <c r="EN100" s="615"/>
      <c r="EO100" s="615"/>
      <c r="EP100" s="615"/>
      <c r="EQ100" s="615"/>
      <c r="ER100" s="615"/>
      <c r="ES100" s="615"/>
      <c r="ET100" s="615"/>
    </row>
  </sheetData>
  <sheetProtection sheet="1" objects="1" scenarios="1"/>
  <mergeCells count="972">
    <mergeCell ref="CS37:DC37"/>
    <mergeCell ref="DL25:DO25"/>
    <mergeCell ref="DL31:DO31"/>
    <mergeCell ref="DF33:DI33"/>
    <mergeCell ref="DX35:EA35"/>
    <mergeCell ref="ED35:EG35"/>
    <mergeCell ref="DX36:EA36"/>
    <mergeCell ref="ED36:EG36"/>
    <mergeCell ref="EC28:EC37"/>
    <mergeCell ref="ED28:EG33"/>
    <mergeCell ref="DL28:DO28"/>
    <mergeCell ref="ED37:EM37"/>
    <mergeCell ref="DR37:EB37"/>
    <mergeCell ref="DJ31:DK31"/>
    <mergeCell ref="DJ30:DK30"/>
    <mergeCell ref="DJ29:DK29"/>
    <mergeCell ref="DJ28:DK28"/>
    <mergeCell ref="DI32:DL32"/>
    <mergeCell ref="DJ33:DK33"/>
    <mergeCell ref="DF30:DI30"/>
    <mergeCell ref="DL30:DO30"/>
    <mergeCell ref="DL33:DO33"/>
    <mergeCell ref="DF29:DI29"/>
    <mergeCell ref="DL29:DO29"/>
    <mergeCell ref="DS9:EF9"/>
    <mergeCell ref="BZ11:BZ15"/>
    <mergeCell ref="DX11:EK11"/>
    <mergeCell ref="BV13:BY13"/>
    <mergeCell ref="CB13:CE13"/>
    <mergeCell ref="DZ13:EC13"/>
    <mergeCell ref="CT36:CW36"/>
    <mergeCell ref="DF25:DI25"/>
    <mergeCell ref="DF26:DI26"/>
    <mergeCell ref="BV14:BY14"/>
    <mergeCell ref="CB14:CE14"/>
    <mergeCell ref="CB21:CE21"/>
    <mergeCell ref="BV19:BY19"/>
    <mergeCell ref="BZ19:CA19"/>
    <mergeCell ref="CB19:CE19"/>
    <mergeCell ref="EG23:EP23"/>
    <mergeCell ref="BY20:CB20"/>
    <mergeCell ref="DZ14:EC14"/>
    <mergeCell ref="EF14:EI14"/>
    <mergeCell ref="AN15:BY15"/>
    <mergeCell ref="DX15:EC15"/>
    <mergeCell ref="EE15:EK15"/>
    <mergeCell ref="EL16:EL21"/>
    <mergeCell ref="ED18:EE18"/>
    <mergeCell ref="D3:J3"/>
    <mergeCell ref="L3:AM3"/>
    <mergeCell ref="AN3:AZ3"/>
    <mergeCell ref="BC3:BK3"/>
    <mergeCell ref="BM3:CN3"/>
    <mergeCell ref="CO3:DA3"/>
    <mergeCell ref="EF19:EI19"/>
    <mergeCell ref="EC20:EF20"/>
    <mergeCell ref="DL16:DO21"/>
    <mergeCell ref="AX9:BE10"/>
    <mergeCell ref="BF9:CU10"/>
    <mergeCell ref="CA15:DJ15"/>
    <mergeCell ref="DZ21:EC21"/>
    <mergeCell ref="ED21:EE21"/>
    <mergeCell ref="EF21:EI21"/>
    <mergeCell ref="ED13:ED15"/>
    <mergeCell ref="EF13:EI13"/>
    <mergeCell ref="DK16:DK27"/>
    <mergeCell ref="DL27:EB27"/>
    <mergeCell ref="CS27:DJ27"/>
    <mergeCell ref="DZ17:EC17"/>
    <mergeCell ref="DL26:DO26"/>
    <mergeCell ref="DZ18:EC18"/>
    <mergeCell ref="DS23:EB23"/>
    <mergeCell ref="L6:AM6"/>
    <mergeCell ref="AN6:AZ6"/>
    <mergeCell ref="BM6:CN6"/>
    <mergeCell ref="CO6:DA6"/>
    <mergeCell ref="D4:J4"/>
    <mergeCell ref="L4:AM4"/>
    <mergeCell ref="AN4:AZ4"/>
    <mergeCell ref="BM4:CN4"/>
    <mergeCell ref="CO4:DA4"/>
    <mergeCell ref="D5:J5"/>
    <mergeCell ref="L5:AM5"/>
    <mergeCell ref="AN5:AZ5"/>
    <mergeCell ref="BM5:CN5"/>
    <mergeCell ref="CO5:DA5"/>
    <mergeCell ref="EF18:EI18"/>
    <mergeCell ref="DZ19:EC19"/>
    <mergeCell ref="ED19:EE19"/>
    <mergeCell ref="DW16:DW21"/>
    <mergeCell ref="DZ16:EC16"/>
    <mergeCell ref="ED16:EE16"/>
    <mergeCell ref="EF16:EI16"/>
    <mergeCell ref="ED17:EE17"/>
    <mergeCell ref="EF17:EI17"/>
    <mergeCell ref="N35:Q35"/>
    <mergeCell ref="T35:W35"/>
    <mergeCell ref="AM33:AN33"/>
    <mergeCell ref="AO33:AR33"/>
    <mergeCell ref="AI16:AL20"/>
    <mergeCell ref="AM16:AM27"/>
    <mergeCell ref="BV16:BY16"/>
    <mergeCell ref="BZ16:CA16"/>
    <mergeCell ref="CB16:CE16"/>
    <mergeCell ref="BV17:BY17"/>
    <mergeCell ref="BZ17:CA17"/>
    <mergeCell ref="CB17:CE17"/>
    <mergeCell ref="BV18:BY18"/>
    <mergeCell ref="BZ18:CA18"/>
    <mergeCell ref="CB18:CE18"/>
    <mergeCell ref="BY22:CB22"/>
    <mergeCell ref="BV23:BY23"/>
    <mergeCell ref="BZ23:CA23"/>
    <mergeCell ref="CB23:CE23"/>
    <mergeCell ref="BY24:CB24"/>
    <mergeCell ref="AI25:AL25"/>
    <mergeCell ref="AO25:AR25"/>
    <mergeCell ref="BV21:BY21"/>
    <mergeCell ref="BZ21:CA21"/>
    <mergeCell ref="AI26:AL26"/>
    <mergeCell ref="AO26:AR26"/>
    <mergeCell ref="S27:AL27"/>
    <mergeCell ref="AN27:BH27"/>
    <mergeCell ref="N36:Q36"/>
    <mergeCell ref="T36:W36"/>
    <mergeCell ref="CR28:CR37"/>
    <mergeCell ref="BD35:BG35"/>
    <mergeCell ref="BJ35:BM35"/>
    <mergeCell ref="CN35:CQ35"/>
    <mergeCell ref="AL32:AO32"/>
    <mergeCell ref="AI33:AL33"/>
    <mergeCell ref="BD36:BG36"/>
    <mergeCell ref="BJ36:BM36"/>
    <mergeCell ref="CN36:CQ36"/>
    <mergeCell ref="AI29:AL29"/>
    <mergeCell ref="AM29:AN29"/>
    <mergeCell ref="AO29:AR29"/>
    <mergeCell ref="N28:Q33"/>
    <mergeCell ref="R28:R37"/>
    <mergeCell ref="AI28:AL28"/>
    <mergeCell ref="AM28:AN28"/>
    <mergeCell ref="AO28:AR28"/>
    <mergeCell ref="BI28:BI37"/>
    <mergeCell ref="AX37:BH37"/>
    <mergeCell ref="BJ37:BS37"/>
    <mergeCell ref="CH37:CQ37"/>
    <mergeCell ref="AI31:AL31"/>
    <mergeCell ref="AM31:AN31"/>
    <mergeCell ref="AO31:AR31"/>
    <mergeCell ref="AI30:AL30"/>
    <mergeCell ref="AM30:AN30"/>
    <mergeCell ref="BJ28:BM33"/>
    <mergeCell ref="CN28:CQ33"/>
    <mergeCell ref="CT35:CW35"/>
    <mergeCell ref="AI34:AL34"/>
    <mergeCell ref="AM34:AN34"/>
    <mergeCell ref="AO34:AR34"/>
    <mergeCell ref="DF34:DI34"/>
    <mergeCell ref="DJ34:DK34"/>
    <mergeCell ref="DL34:DO34"/>
    <mergeCell ref="AO30:AR30"/>
    <mergeCell ref="DF31:DI31"/>
    <mergeCell ref="DF28:DI28"/>
    <mergeCell ref="C38:F43"/>
    <mergeCell ref="G38:G47"/>
    <mergeCell ref="N38:Q38"/>
    <mergeCell ref="R38:S38"/>
    <mergeCell ref="T38:W38"/>
    <mergeCell ref="AE38:AE47"/>
    <mergeCell ref="AF38:AI43"/>
    <mergeCell ref="AS38:AV43"/>
    <mergeCell ref="H37:Q37"/>
    <mergeCell ref="S37:AD37"/>
    <mergeCell ref="Q42:T42"/>
    <mergeCell ref="C45:F45"/>
    <mergeCell ref="I45:L45"/>
    <mergeCell ref="Z45:AC45"/>
    <mergeCell ref="AF45:AI45"/>
    <mergeCell ref="AS45:AV45"/>
    <mergeCell ref="N43:Q43"/>
    <mergeCell ref="R43:S43"/>
    <mergeCell ref="T43:W43"/>
    <mergeCell ref="Q44:T44"/>
    <mergeCell ref="D47:F47"/>
    <mergeCell ref="H47:L47"/>
    <mergeCell ref="Y47:AD47"/>
    <mergeCell ref="ED43:EG43"/>
    <mergeCell ref="EA42:ED42"/>
    <mergeCell ref="EB40:EC40"/>
    <mergeCell ref="ED40:EG40"/>
    <mergeCell ref="DM38:DP43"/>
    <mergeCell ref="DQ38:DQ47"/>
    <mergeCell ref="DM45:DP45"/>
    <mergeCell ref="DS45:DV45"/>
    <mergeCell ref="DM46:DP46"/>
    <mergeCell ref="EA44:ED44"/>
    <mergeCell ref="DX41:EA41"/>
    <mergeCell ref="EB41:EC41"/>
    <mergeCell ref="ED41:EG41"/>
    <mergeCell ref="DX43:EA43"/>
    <mergeCell ref="EB43:EC43"/>
    <mergeCell ref="DX38:EA38"/>
    <mergeCell ref="EB38:EC38"/>
    <mergeCell ref="ED38:EG38"/>
    <mergeCell ref="DX39:EA39"/>
    <mergeCell ref="EB39:EC39"/>
    <mergeCell ref="ED39:EG39"/>
    <mergeCell ref="DX40:EA40"/>
    <mergeCell ref="CT40:CW40"/>
    <mergeCell ref="CT41:CW41"/>
    <mergeCell ref="CN43:CQ43"/>
    <mergeCell ref="CR43:CS43"/>
    <mergeCell ref="CT43:CW43"/>
    <mergeCell ref="CQ44:CT44"/>
    <mergeCell ref="CR39:CS39"/>
    <mergeCell ref="CQ42:CT42"/>
    <mergeCell ref="CN38:CQ38"/>
    <mergeCell ref="CN39:CQ39"/>
    <mergeCell ref="CT38:CW38"/>
    <mergeCell ref="N40:Q40"/>
    <mergeCell ref="R40:S40"/>
    <mergeCell ref="T40:W40"/>
    <mergeCell ref="BD40:BG40"/>
    <mergeCell ref="BH40:BI40"/>
    <mergeCell ref="BJ40:BM40"/>
    <mergeCell ref="N41:Q41"/>
    <mergeCell ref="R41:S41"/>
    <mergeCell ref="T41:W41"/>
    <mergeCell ref="AW38:AW47"/>
    <mergeCell ref="BD38:BG38"/>
    <mergeCell ref="BH38:BI38"/>
    <mergeCell ref="BJ38:BM38"/>
    <mergeCell ref="AF47:AJ47"/>
    <mergeCell ref="AX47:BB47"/>
    <mergeCell ref="BO45:BR45"/>
    <mergeCell ref="BU45:BX45"/>
    <mergeCell ref="BG44:BJ44"/>
    <mergeCell ref="BG42:BJ42"/>
    <mergeCell ref="AY45:BB45"/>
    <mergeCell ref="BD41:BG41"/>
    <mergeCell ref="BH41:BI41"/>
    <mergeCell ref="BJ41:BM41"/>
    <mergeCell ref="EI45:EL45"/>
    <mergeCell ref="DE38:DH43"/>
    <mergeCell ref="CR38:CS38"/>
    <mergeCell ref="CN41:CQ41"/>
    <mergeCell ref="CR41:CS41"/>
    <mergeCell ref="BD43:BG43"/>
    <mergeCell ref="BH43:BI43"/>
    <mergeCell ref="BJ43:BM43"/>
    <mergeCell ref="CC38:CF43"/>
    <mergeCell ref="CG38:CG47"/>
    <mergeCell ref="BT38:BT47"/>
    <mergeCell ref="BU38:BX43"/>
    <mergeCell ref="DD38:DD47"/>
    <mergeCell ref="CT39:CW39"/>
    <mergeCell ref="CN40:CQ40"/>
    <mergeCell ref="CR40:CS40"/>
    <mergeCell ref="EO45:ER45"/>
    <mergeCell ref="C46:F46"/>
    <mergeCell ref="I46:L46"/>
    <mergeCell ref="Z46:AC46"/>
    <mergeCell ref="AF46:AI46"/>
    <mergeCell ref="AS46:AV46"/>
    <mergeCell ref="AY46:BB46"/>
    <mergeCell ref="BO46:BR46"/>
    <mergeCell ref="BU46:BX46"/>
    <mergeCell ref="CC45:CF45"/>
    <mergeCell ref="CI45:CL45"/>
    <mergeCell ref="CY45:DB45"/>
    <mergeCell ref="DE45:DH45"/>
    <mergeCell ref="EN38:EN47"/>
    <mergeCell ref="EO38:ER43"/>
    <mergeCell ref="N39:Q39"/>
    <mergeCell ref="R39:S39"/>
    <mergeCell ref="T39:W39"/>
    <mergeCell ref="BD39:BG39"/>
    <mergeCell ref="BH39:BI39"/>
    <mergeCell ref="BJ39:BM39"/>
    <mergeCell ref="EI46:EL46"/>
    <mergeCell ref="EO46:ER46"/>
    <mergeCell ref="AT47:AV47"/>
    <mergeCell ref="BO47:BS47"/>
    <mergeCell ref="BU47:BW47"/>
    <mergeCell ref="CC46:CF46"/>
    <mergeCell ref="CI46:CL46"/>
    <mergeCell ref="CY46:DB46"/>
    <mergeCell ref="DE46:DH46"/>
    <mergeCell ref="EI47:EM47"/>
    <mergeCell ref="EO47:EQ47"/>
    <mergeCell ref="CH47:CL47"/>
    <mergeCell ref="CY47:DC47"/>
    <mergeCell ref="DE47:DG47"/>
    <mergeCell ref="DS46:DV46"/>
    <mergeCell ref="DN47:DP47"/>
    <mergeCell ref="DR47:DV47"/>
    <mergeCell ref="C48:C64"/>
    <mergeCell ref="D48:F48"/>
    <mergeCell ref="G48:H48"/>
    <mergeCell ref="I48:L48"/>
    <mergeCell ref="M48:M57"/>
    <mergeCell ref="N48:Q53"/>
    <mergeCell ref="T48:W53"/>
    <mergeCell ref="X48:X57"/>
    <mergeCell ref="CD47:CF47"/>
    <mergeCell ref="Z48:AC48"/>
    <mergeCell ref="AD48:AE48"/>
    <mergeCell ref="AF48:AI48"/>
    <mergeCell ref="AK48:AK57"/>
    <mergeCell ref="AL48:AO53"/>
    <mergeCell ref="AS48:AS64"/>
    <mergeCell ref="AL56:AO56"/>
    <mergeCell ref="AJ58:AK58"/>
    <mergeCell ref="AL58:AM58"/>
    <mergeCell ref="AN58:AN64"/>
    <mergeCell ref="AT48:AV48"/>
    <mergeCell ref="AW48:AX48"/>
    <mergeCell ref="AY48:BB48"/>
    <mergeCell ref="BC48:BC57"/>
    <mergeCell ref="BD48:BG53"/>
    <mergeCell ref="CY51:DB51"/>
    <mergeCell ref="DC51:DD51"/>
    <mergeCell ref="DE51:DG51"/>
    <mergeCell ref="CY50:DB50"/>
    <mergeCell ref="DC50:DD50"/>
    <mergeCell ref="DE50:DG50"/>
    <mergeCell ref="BO50:BR50"/>
    <mergeCell ref="EL58:EL64"/>
    <mergeCell ref="EH59:EI59"/>
    <mergeCell ref="EJ59:EK59"/>
    <mergeCell ref="DV59:DW59"/>
    <mergeCell ref="EJ58:EK58"/>
    <mergeCell ref="DP52:DS52"/>
    <mergeCell ref="DN53:DP53"/>
    <mergeCell ref="DQ53:DR53"/>
    <mergeCell ref="DS53:DV53"/>
    <mergeCell ref="DP54:DS54"/>
    <mergeCell ref="DN50:DP50"/>
    <mergeCell ref="DQ50:DR50"/>
    <mergeCell ref="DS50:DV50"/>
    <mergeCell ref="DN51:DP51"/>
    <mergeCell ref="DQ51:DR51"/>
    <mergeCell ref="DS51:DV51"/>
    <mergeCell ref="CF54:CI54"/>
    <mergeCell ref="EI48:EL48"/>
    <mergeCell ref="EM48:EN48"/>
    <mergeCell ref="DC49:DD49"/>
    <mergeCell ref="DE49:DG49"/>
    <mergeCell ref="CD48:CF48"/>
    <mergeCell ref="CD49:CF49"/>
    <mergeCell ref="CG49:CH49"/>
    <mergeCell ref="CI49:CL49"/>
    <mergeCell ref="CG50:CH50"/>
    <mergeCell ref="DQ48:DR48"/>
    <mergeCell ref="DS48:DV48"/>
    <mergeCell ref="DN49:DP49"/>
    <mergeCell ref="DQ49:DR49"/>
    <mergeCell ref="DS49:DV49"/>
    <mergeCell ref="CD50:CF50"/>
    <mergeCell ref="CI50:CL50"/>
    <mergeCell ref="BU49:BW49"/>
    <mergeCell ref="CI51:CL51"/>
    <mergeCell ref="BO48:BR48"/>
    <mergeCell ref="BS48:BT48"/>
    <mergeCell ref="BJ48:BM53"/>
    <mergeCell ref="AT49:AV49"/>
    <mergeCell ref="AW49:AX49"/>
    <mergeCell ref="AY49:BB49"/>
    <mergeCell ref="AT50:AV50"/>
    <mergeCell ref="BN48:BN57"/>
    <mergeCell ref="AW50:AX50"/>
    <mergeCell ref="AY50:BB50"/>
    <mergeCell ref="BO49:BR49"/>
    <mergeCell ref="BS49:BT49"/>
    <mergeCell ref="BU48:BW48"/>
    <mergeCell ref="CI53:CL53"/>
    <mergeCell ref="D49:F49"/>
    <mergeCell ref="G49:H49"/>
    <mergeCell ref="I49:L49"/>
    <mergeCell ref="Z49:AC49"/>
    <mergeCell ref="AD49:AE49"/>
    <mergeCell ref="AF49:AI49"/>
    <mergeCell ref="F54:I54"/>
    <mergeCell ref="AC54:AF54"/>
    <mergeCell ref="AV54:AY54"/>
    <mergeCell ref="D53:F53"/>
    <mergeCell ref="G53:H53"/>
    <mergeCell ref="I53:L53"/>
    <mergeCell ref="Z53:AC53"/>
    <mergeCell ref="AD53:AE53"/>
    <mergeCell ref="AF53:AI53"/>
    <mergeCell ref="AT53:AV53"/>
    <mergeCell ref="AW53:AX53"/>
    <mergeCell ref="F52:I52"/>
    <mergeCell ref="AC52:AF52"/>
    <mergeCell ref="D51:F51"/>
    <mergeCell ref="G51:H51"/>
    <mergeCell ref="I51:L51"/>
    <mergeCell ref="Z51:AC51"/>
    <mergeCell ref="AD51:AE51"/>
    <mergeCell ref="EO48:EQ48"/>
    <mergeCell ref="ER48:ER64"/>
    <mergeCell ref="EI49:EL49"/>
    <mergeCell ref="EM49:EN49"/>
    <mergeCell ref="EO49:EQ49"/>
    <mergeCell ref="EI50:EL50"/>
    <mergeCell ref="DW48:DW57"/>
    <mergeCell ref="DX48:EA53"/>
    <mergeCell ref="EM50:EN50"/>
    <mergeCell ref="EO50:EQ50"/>
    <mergeCell ref="EI51:EL51"/>
    <mergeCell ref="EM51:EN51"/>
    <mergeCell ref="EO51:EQ51"/>
    <mergeCell ref="ED48:EG53"/>
    <mergeCell ref="EI53:EL53"/>
    <mergeCell ref="EM53:EN53"/>
    <mergeCell ref="EO53:EQ53"/>
    <mergeCell ref="EL54:EO54"/>
    <mergeCell ref="DX61:DY61"/>
    <mergeCell ref="EE58:EE64"/>
    <mergeCell ref="EF58:EG58"/>
    <mergeCell ref="EH58:EI58"/>
    <mergeCell ref="DZ58:DZ64"/>
    <mergeCell ref="EH61:EI61"/>
    <mergeCell ref="AF51:AI51"/>
    <mergeCell ref="AT51:AV51"/>
    <mergeCell ref="AW51:AX51"/>
    <mergeCell ref="D50:F50"/>
    <mergeCell ref="G50:H50"/>
    <mergeCell ref="I50:L50"/>
    <mergeCell ref="Z50:AC50"/>
    <mergeCell ref="AD50:AE50"/>
    <mergeCell ref="AF50:AI50"/>
    <mergeCell ref="CY53:DB53"/>
    <mergeCell ref="DC53:DD53"/>
    <mergeCell ref="DE53:DG53"/>
    <mergeCell ref="AY53:BB53"/>
    <mergeCell ref="BO53:BR53"/>
    <mergeCell ref="BS53:BT53"/>
    <mergeCell ref="BU53:BW53"/>
    <mergeCell ref="CD53:CF53"/>
    <mergeCell ref="CG53:CH53"/>
    <mergeCell ref="CN48:CQ53"/>
    <mergeCell ref="CT48:CW53"/>
    <mergeCell ref="CX48:CX57"/>
    <mergeCell ref="AY51:BB51"/>
    <mergeCell ref="BO51:BR51"/>
    <mergeCell ref="BS51:BT51"/>
    <mergeCell ref="BU51:BW51"/>
    <mergeCell ref="BS50:BT50"/>
    <mergeCell ref="BU50:BW50"/>
    <mergeCell ref="CM48:CM57"/>
    <mergeCell ref="AV52:AY52"/>
    <mergeCell ref="BR52:BU52"/>
    <mergeCell ref="CF52:CI52"/>
    <mergeCell ref="DB52:DE52"/>
    <mergeCell ref="CG51:CH51"/>
    <mergeCell ref="DR55:DU55"/>
    <mergeCell ref="DX55:EA55"/>
    <mergeCell ref="ED55:EG55"/>
    <mergeCell ref="EJ55:EM55"/>
    <mergeCell ref="CT55:CW55"/>
    <mergeCell ref="CZ55:DC55"/>
    <mergeCell ref="EH48:EH57"/>
    <mergeCell ref="EL52:EO52"/>
    <mergeCell ref="CY48:DB48"/>
    <mergeCell ref="DC48:DD48"/>
    <mergeCell ref="DE48:DG48"/>
    <mergeCell ref="DH48:DH64"/>
    <mergeCell ref="EJ56:EM56"/>
    <mergeCell ref="CZ56:DC56"/>
    <mergeCell ref="DR56:DU56"/>
    <mergeCell ref="DX56:EA56"/>
    <mergeCell ref="DT57:DV57"/>
    <mergeCell ref="EI57:EK57"/>
    <mergeCell ref="CY57:DA57"/>
    <mergeCell ref="DB54:DE54"/>
    <mergeCell ref="ED56:EG56"/>
    <mergeCell ref="DX57:DY57"/>
    <mergeCell ref="EF57:EG57"/>
    <mergeCell ref="CY49:DB49"/>
    <mergeCell ref="H56:K56"/>
    <mergeCell ref="N56:Q56"/>
    <mergeCell ref="T56:W56"/>
    <mergeCell ref="Z56:AC56"/>
    <mergeCell ref="AF56:AI56"/>
    <mergeCell ref="BJ55:BM55"/>
    <mergeCell ref="BP55:BS55"/>
    <mergeCell ref="CH55:CK55"/>
    <mergeCell ref="CN55:CQ55"/>
    <mergeCell ref="Z55:AC55"/>
    <mergeCell ref="AF55:AI55"/>
    <mergeCell ref="AL55:AO55"/>
    <mergeCell ref="AX55:BA55"/>
    <mergeCell ref="BD55:BG55"/>
    <mergeCell ref="BX48:BX64"/>
    <mergeCell ref="CC48:CC64"/>
    <mergeCell ref="BR54:BU54"/>
    <mergeCell ref="BP60:BQ60"/>
    <mergeCell ref="H55:K55"/>
    <mergeCell ref="N55:Q55"/>
    <mergeCell ref="T55:W55"/>
    <mergeCell ref="CG48:CH48"/>
    <mergeCell ref="CI48:CL48"/>
    <mergeCell ref="CD51:CF51"/>
    <mergeCell ref="BL61:BM61"/>
    <mergeCell ref="BN60:BO60"/>
    <mergeCell ref="BL60:BM60"/>
    <mergeCell ref="CT56:CW56"/>
    <mergeCell ref="AX56:BA56"/>
    <mergeCell ref="BD56:BG56"/>
    <mergeCell ref="BJ56:BM56"/>
    <mergeCell ref="BP56:BS56"/>
    <mergeCell ref="CH56:CK56"/>
    <mergeCell ref="CN56:CQ56"/>
    <mergeCell ref="BL57:BM57"/>
    <mergeCell ref="BO57:BQ57"/>
    <mergeCell ref="CJ57:CL57"/>
    <mergeCell ref="CN57:CO57"/>
    <mergeCell ref="CV57:CW57"/>
    <mergeCell ref="CV60:CW60"/>
    <mergeCell ref="BD60:BE60"/>
    <mergeCell ref="AZ61:BA61"/>
    <mergeCell ref="BB61:BC61"/>
    <mergeCell ref="DT59:DU59"/>
    <mergeCell ref="CZ63:DA63"/>
    <mergeCell ref="EF61:EG61"/>
    <mergeCell ref="J57:L57"/>
    <mergeCell ref="N57:O57"/>
    <mergeCell ref="V57:W57"/>
    <mergeCell ref="Y57:AA57"/>
    <mergeCell ref="AH57:AJ57"/>
    <mergeCell ref="AL57:AM57"/>
    <mergeCell ref="AZ57:BB57"/>
    <mergeCell ref="BD57:BE57"/>
    <mergeCell ref="BL58:BM58"/>
    <mergeCell ref="AH58:AI58"/>
    <mergeCell ref="AB58:AB64"/>
    <mergeCell ref="AG58:AG64"/>
    <mergeCell ref="BM64:BP64"/>
    <mergeCell ref="BN63:BO63"/>
    <mergeCell ref="BP63:BQ63"/>
    <mergeCell ref="AH63:AI63"/>
    <mergeCell ref="BB60:BC60"/>
    <mergeCell ref="BN58:BO58"/>
    <mergeCell ref="BP58:BQ58"/>
    <mergeCell ref="BN59:BO59"/>
    <mergeCell ref="BP59:BQ59"/>
    <mergeCell ref="CX59:CY59"/>
    <mergeCell ref="CL58:CM58"/>
    <mergeCell ref="CN58:CO58"/>
    <mergeCell ref="CP58:CP64"/>
    <mergeCell ref="CX60:CY60"/>
    <mergeCell ref="CZ60:DA60"/>
    <mergeCell ref="EF60:EG60"/>
    <mergeCell ref="DT61:DU61"/>
    <mergeCell ref="DU62:DX62"/>
    <mergeCell ref="EG62:EJ62"/>
    <mergeCell ref="CN63:CO63"/>
    <mergeCell ref="CV63:CW63"/>
    <mergeCell ref="DT60:DU60"/>
    <mergeCell ref="DV60:DW60"/>
    <mergeCell ref="DX60:DY60"/>
    <mergeCell ref="DS58:DS64"/>
    <mergeCell ref="DX59:DY59"/>
    <mergeCell ref="DV61:DW61"/>
    <mergeCell ref="DB58:DB64"/>
    <mergeCell ref="CZ59:DA59"/>
    <mergeCell ref="DT58:DU58"/>
    <mergeCell ref="DV58:DW58"/>
    <mergeCell ref="CX63:CY63"/>
    <mergeCell ref="DX58:DY58"/>
    <mergeCell ref="AZ63:BA63"/>
    <mergeCell ref="BB63:BC63"/>
    <mergeCell ref="BD63:BE63"/>
    <mergeCell ref="BA62:BD62"/>
    <mergeCell ref="AL59:AM59"/>
    <mergeCell ref="AJ60:AK60"/>
    <mergeCell ref="CJ59:CK59"/>
    <mergeCell ref="EJ61:EK61"/>
    <mergeCell ref="EF59:EG59"/>
    <mergeCell ref="CU58:CU64"/>
    <mergeCell ref="CV58:CW58"/>
    <mergeCell ref="CX58:CY58"/>
    <mergeCell ref="CL59:CM59"/>
    <mergeCell ref="DM48:DM64"/>
    <mergeCell ref="DN48:DP48"/>
    <mergeCell ref="EH63:EI63"/>
    <mergeCell ref="CW64:CZ64"/>
    <mergeCell ref="DU64:DX64"/>
    <mergeCell ref="EG64:EJ64"/>
    <mergeCell ref="EH60:EI60"/>
    <mergeCell ref="EJ60:EK60"/>
    <mergeCell ref="DT63:DU63"/>
    <mergeCell ref="CL60:CM60"/>
    <mergeCell ref="CN60:CO60"/>
    <mergeCell ref="AJ63:AK63"/>
    <mergeCell ref="AL63:AM63"/>
    <mergeCell ref="AZ59:BA59"/>
    <mergeCell ref="CK62:CN62"/>
    <mergeCell ref="X63:Y63"/>
    <mergeCell ref="Z63:AA63"/>
    <mergeCell ref="CJ60:CK60"/>
    <mergeCell ref="BD61:BE61"/>
    <mergeCell ref="BF58:BF64"/>
    <mergeCell ref="BM62:BP62"/>
    <mergeCell ref="BN61:BO61"/>
    <mergeCell ref="BP61:BQ61"/>
    <mergeCell ref="AL60:AM60"/>
    <mergeCell ref="AY58:AY64"/>
    <mergeCell ref="AZ58:BA58"/>
    <mergeCell ref="BB58:BC58"/>
    <mergeCell ref="BD58:BE58"/>
    <mergeCell ref="AI62:AL62"/>
    <mergeCell ref="AJ61:AK61"/>
    <mergeCell ref="AL61:AM61"/>
    <mergeCell ref="BL59:BM59"/>
    <mergeCell ref="AJ59:AK59"/>
    <mergeCell ref="AH59:AI59"/>
    <mergeCell ref="BD59:BE59"/>
    <mergeCell ref="J61:K61"/>
    <mergeCell ref="J60:K60"/>
    <mergeCell ref="L60:M60"/>
    <mergeCell ref="N60:O60"/>
    <mergeCell ref="V60:W60"/>
    <mergeCell ref="X60:Y60"/>
    <mergeCell ref="Z60:AA60"/>
    <mergeCell ref="V58:W58"/>
    <mergeCell ref="N59:O59"/>
    <mergeCell ref="V59:W59"/>
    <mergeCell ref="X59:Y59"/>
    <mergeCell ref="X58:Y58"/>
    <mergeCell ref="Z58:AA58"/>
    <mergeCell ref="X61:Y61"/>
    <mergeCell ref="L61:M61"/>
    <mergeCell ref="N61:O61"/>
    <mergeCell ref="V61:W61"/>
    <mergeCell ref="J59:K59"/>
    <mergeCell ref="L59:M59"/>
    <mergeCell ref="Z59:AA59"/>
    <mergeCell ref="Z61:AA61"/>
    <mergeCell ref="L63:M63"/>
    <mergeCell ref="N63:O63"/>
    <mergeCell ref="V63:W63"/>
    <mergeCell ref="CX61:CY61"/>
    <mergeCell ref="CZ61:DA61"/>
    <mergeCell ref="CJ61:CK61"/>
    <mergeCell ref="CL61:CM61"/>
    <mergeCell ref="CN61:CO61"/>
    <mergeCell ref="CV61:CW61"/>
    <mergeCell ref="CW62:CZ62"/>
    <mergeCell ref="P58:P64"/>
    <mergeCell ref="U58:U64"/>
    <mergeCell ref="K62:N62"/>
    <mergeCell ref="W62:Z62"/>
    <mergeCell ref="J63:K63"/>
    <mergeCell ref="CZ58:DA58"/>
    <mergeCell ref="BB59:BC59"/>
    <mergeCell ref="CJ63:CK63"/>
    <mergeCell ref="CL63:CM63"/>
    <mergeCell ref="BR58:BR64"/>
    <mergeCell ref="CI58:CI64"/>
    <mergeCell ref="CJ58:CK58"/>
    <mergeCell ref="CN59:CO59"/>
    <mergeCell ref="CV59:CW59"/>
    <mergeCell ref="AH61:AI61"/>
    <mergeCell ref="AZ60:BA60"/>
    <mergeCell ref="AH60:AI60"/>
    <mergeCell ref="EJ65:EM65"/>
    <mergeCell ref="BL63:BM63"/>
    <mergeCell ref="H65:K65"/>
    <mergeCell ref="N65:Q65"/>
    <mergeCell ref="T65:W65"/>
    <mergeCell ref="Z65:AC65"/>
    <mergeCell ref="DV63:DW63"/>
    <mergeCell ref="DX63:DY63"/>
    <mergeCell ref="EF63:EG63"/>
    <mergeCell ref="I58:I64"/>
    <mergeCell ref="J58:K58"/>
    <mergeCell ref="L58:M58"/>
    <mergeCell ref="N58:O58"/>
    <mergeCell ref="AR65:AU65"/>
    <mergeCell ref="AX65:BA65"/>
    <mergeCell ref="BD65:BG65"/>
    <mergeCell ref="BJ65:BM65"/>
    <mergeCell ref="CK64:CN64"/>
    <mergeCell ref="EJ63:EK63"/>
    <mergeCell ref="K64:N64"/>
    <mergeCell ref="W64:Z64"/>
    <mergeCell ref="AI64:AL64"/>
    <mergeCell ref="BA64:BD64"/>
    <mergeCell ref="BK58:BK64"/>
    <mergeCell ref="EP65:ES65"/>
    <mergeCell ref="B66:E66"/>
    <mergeCell ref="H66:K66"/>
    <mergeCell ref="N66:Q66"/>
    <mergeCell ref="T66:W66"/>
    <mergeCell ref="Z66:AC66"/>
    <mergeCell ref="AF66:AI66"/>
    <mergeCell ref="AL66:AO66"/>
    <mergeCell ref="CZ65:DC65"/>
    <mergeCell ref="DF65:DI65"/>
    <mergeCell ref="DL65:DO65"/>
    <mergeCell ref="DR65:DU65"/>
    <mergeCell ref="DX65:EA65"/>
    <mergeCell ref="BP65:BS65"/>
    <mergeCell ref="BV65:BY65"/>
    <mergeCell ref="CB65:CE65"/>
    <mergeCell ref="CH65:CK65"/>
    <mergeCell ref="CN65:CQ65"/>
    <mergeCell ref="CT65:CW65"/>
    <mergeCell ref="AF65:AI65"/>
    <mergeCell ref="AL65:AO65"/>
    <mergeCell ref="EP66:ES66"/>
    <mergeCell ref="B65:E65"/>
    <mergeCell ref="ED65:EG65"/>
    <mergeCell ref="C71:Y71"/>
    <mergeCell ref="J75:AA75"/>
    <mergeCell ref="AX75:BO75"/>
    <mergeCell ref="CL75:DC75"/>
    <mergeCell ref="DZ75:EQ75"/>
    <mergeCell ref="DL66:DO66"/>
    <mergeCell ref="DR66:DU66"/>
    <mergeCell ref="DX66:EA66"/>
    <mergeCell ref="ED66:EG66"/>
    <mergeCell ref="EJ66:EM66"/>
    <mergeCell ref="CB66:CE66"/>
    <mergeCell ref="CH66:CK66"/>
    <mergeCell ref="CN66:CQ66"/>
    <mergeCell ref="CT66:CW66"/>
    <mergeCell ref="CZ66:DC66"/>
    <mergeCell ref="DF66:DI66"/>
    <mergeCell ref="AR66:AU66"/>
    <mergeCell ref="AX66:BA66"/>
    <mergeCell ref="BD66:BG66"/>
    <mergeCell ref="BJ66:BM66"/>
    <mergeCell ref="BP66:BS66"/>
    <mergeCell ref="BV66:BY66"/>
    <mergeCell ref="ED78:EG78"/>
    <mergeCell ref="EJ78:EM78"/>
    <mergeCell ref="N79:Q79"/>
    <mergeCell ref="T79:W79"/>
    <mergeCell ref="BB79:BE79"/>
    <mergeCell ref="BH79:BK79"/>
    <mergeCell ref="CP79:CS79"/>
    <mergeCell ref="CV79:CY79"/>
    <mergeCell ref="ED79:EG79"/>
    <mergeCell ref="EJ79:EM79"/>
    <mergeCell ref="R77:R80"/>
    <mergeCell ref="BF77:BF80"/>
    <mergeCell ref="CT77:CT80"/>
    <mergeCell ref="EH77:EH80"/>
    <mergeCell ref="N78:Q78"/>
    <mergeCell ref="T78:W78"/>
    <mergeCell ref="BB78:BE78"/>
    <mergeCell ref="BH78:BK78"/>
    <mergeCell ref="CP78:CS78"/>
    <mergeCell ref="CV78:CY78"/>
    <mergeCell ref="DZ80:EG80"/>
    <mergeCell ref="EI80:EQ80"/>
    <mergeCell ref="AX80:BE80"/>
    <mergeCell ref="BG80:BO80"/>
    <mergeCell ref="E81:H86"/>
    <mergeCell ref="I81:I90"/>
    <mergeCell ref="N81:Q81"/>
    <mergeCell ref="R81:S81"/>
    <mergeCell ref="T81:W81"/>
    <mergeCell ref="AB81:AB97"/>
    <mergeCell ref="AS81:AV86"/>
    <mergeCell ref="AW81:AW90"/>
    <mergeCell ref="J80:Q80"/>
    <mergeCell ref="S80:AA80"/>
    <mergeCell ref="E88:H88"/>
    <mergeCell ref="E89:H89"/>
    <mergeCell ref="AS93:AV93"/>
    <mergeCell ref="AW93:AX93"/>
    <mergeCell ref="H97:K97"/>
    <mergeCell ref="AV97:AY97"/>
    <mergeCell ref="AY93:BB93"/>
    <mergeCell ref="K88:N88"/>
    <mergeCell ref="K93:N93"/>
    <mergeCell ref="N82:Q82"/>
    <mergeCell ref="R82:S82"/>
    <mergeCell ref="T82:W82"/>
    <mergeCell ref="BB82:BE82"/>
    <mergeCell ref="BF82:BG82"/>
    <mergeCell ref="BH82:BK82"/>
    <mergeCell ref="AS88:AV88"/>
    <mergeCell ref="AY88:BB88"/>
    <mergeCell ref="N83:Q83"/>
    <mergeCell ref="R83:S83"/>
    <mergeCell ref="T83:W83"/>
    <mergeCell ref="N86:Q86"/>
    <mergeCell ref="R86:S86"/>
    <mergeCell ref="T86:W86"/>
    <mergeCell ref="N84:Q84"/>
    <mergeCell ref="R84:S84"/>
    <mergeCell ref="T84:W84"/>
    <mergeCell ref="BE87:BH87"/>
    <mergeCell ref="CP81:CS81"/>
    <mergeCell ref="CT81:CU81"/>
    <mergeCell ref="CV81:CY81"/>
    <mergeCell ref="CP82:CS82"/>
    <mergeCell ref="CT82:CU82"/>
    <mergeCell ref="CV82:CY82"/>
    <mergeCell ref="BB81:BE81"/>
    <mergeCell ref="BF81:BG81"/>
    <mergeCell ref="CS87:CV87"/>
    <mergeCell ref="BB83:BE83"/>
    <mergeCell ref="BF83:BG83"/>
    <mergeCell ref="BH83:BK83"/>
    <mergeCell ref="CG81:CJ86"/>
    <mergeCell ref="BB86:BE86"/>
    <mergeCell ref="BF86:BG86"/>
    <mergeCell ref="BH86:BK86"/>
    <mergeCell ref="BP81:BP97"/>
    <mergeCell ref="BB84:BE84"/>
    <mergeCell ref="BF84:BG84"/>
    <mergeCell ref="BH84:BK84"/>
    <mergeCell ref="CJ97:CM97"/>
    <mergeCell ref="BH81:BK81"/>
    <mergeCell ref="CG88:CJ88"/>
    <mergeCell ref="CM88:CP88"/>
    <mergeCell ref="EG87:EJ87"/>
    <mergeCell ref="EH82:EI82"/>
    <mergeCell ref="CL80:CS80"/>
    <mergeCell ref="CU80:DC80"/>
    <mergeCell ref="ED81:EG81"/>
    <mergeCell ref="EH81:EI81"/>
    <mergeCell ref="EJ81:EM81"/>
    <mergeCell ref="ER81:ER97"/>
    <mergeCell ref="DD81:DD97"/>
    <mergeCell ref="DU81:DX86"/>
    <mergeCell ref="DY81:DY90"/>
    <mergeCell ref="CT83:CU83"/>
    <mergeCell ref="EJ82:EM82"/>
    <mergeCell ref="CP83:CS83"/>
    <mergeCell ref="EH84:EI84"/>
    <mergeCell ref="EJ84:EM84"/>
    <mergeCell ref="EH83:EI83"/>
    <mergeCell ref="EJ83:EM83"/>
    <mergeCell ref="EH86:EI86"/>
    <mergeCell ref="CM93:CP93"/>
    <mergeCell ref="CM94:CP94"/>
    <mergeCell ref="EJ86:EM86"/>
    <mergeCell ref="EG85:EJ85"/>
    <mergeCell ref="ED82:EG82"/>
    <mergeCell ref="DU88:DX88"/>
    <mergeCell ref="EA88:ED88"/>
    <mergeCell ref="K89:N89"/>
    <mergeCell ref="AS89:AV89"/>
    <mergeCell ref="AY89:BB89"/>
    <mergeCell ref="CG89:CJ89"/>
    <mergeCell ref="CM89:CP89"/>
    <mergeCell ref="DU89:DX89"/>
    <mergeCell ref="EA89:ED89"/>
    <mergeCell ref="CK81:CK90"/>
    <mergeCell ref="CP84:CS84"/>
    <mergeCell ref="CT84:CU84"/>
    <mergeCell ref="CV84:CY84"/>
    <mergeCell ref="ED84:EG84"/>
    <mergeCell ref="CV83:CY83"/>
    <mergeCell ref="ED83:EG83"/>
    <mergeCell ref="CP86:CS86"/>
    <mergeCell ref="CT86:CU86"/>
    <mergeCell ref="CV86:CY86"/>
    <mergeCell ref="Q85:T85"/>
    <mergeCell ref="BE85:BH85"/>
    <mergeCell ref="CS85:CV85"/>
    <mergeCell ref="ED86:EG86"/>
    <mergeCell ref="Q87:T87"/>
    <mergeCell ref="DT90:DX90"/>
    <mergeCell ref="DZ90:EE90"/>
    <mergeCell ref="C91:C97"/>
    <mergeCell ref="E91:H91"/>
    <mergeCell ref="I91:J91"/>
    <mergeCell ref="K91:N91"/>
    <mergeCell ref="P91:P97"/>
    <mergeCell ref="AQ91:AQ97"/>
    <mergeCell ref="AS91:AV91"/>
    <mergeCell ref="AW91:AX91"/>
    <mergeCell ref="D90:H90"/>
    <mergeCell ref="J90:O90"/>
    <mergeCell ref="AR90:AV90"/>
    <mergeCell ref="AX90:BC90"/>
    <mergeCell ref="CF90:CJ90"/>
    <mergeCell ref="CL90:CQ90"/>
    <mergeCell ref="AY91:BB91"/>
    <mergeCell ref="BD91:BD97"/>
    <mergeCell ref="CE91:CE97"/>
    <mergeCell ref="CG91:CJ91"/>
    <mergeCell ref="EA91:ED91"/>
    <mergeCell ref="CK93:CL93"/>
    <mergeCell ref="DU94:DX94"/>
    <mergeCell ref="AY94:BB94"/>
    <mergeCell ref="H95:K95"/>
    <mergeCell ref="AV95:AY95"/>
    <mergeCell ref="CJ95:CM95"/>
    <mergeCell ref="DX95:EA95"/>
    <mergeCell ref="CG94:CJ94"/>
    <mergeCell ref="CK94:CL94"/>
    <mergeCell ref="CR91:CR97"/>
    <mergeCell ref="DS91:DS97"/>
    <mergeCell ref="DU91:DX91"/>
    <mergeCell ref="DY91:DZ91"/>
    <mergeCell ref="CM92:CP92"/>
    <mergeCell ref="DY92:DZ92"/>
    <mergeCell ref="CG96:CJ96"/>
    <mergeCell ref="CK96:CL96"/>
    <mergeCell ref="CG93:CJ93"/>
    <mergeCell ref="DU92:DX92"/>
    <mergeCell ref="CM96:CP96"/>
    <mergeCell ref="DU96:DX96"/>
    <mergeCell ref="DY96:DZ96"/>
    <mergeCell ref="DY93:DZ93"/>
    <mergeCell ref="Z98:AC98"/>
    <mergeCell ref="AF98:AI98"/>
    <mergeCell ref="EA96:ED96"/>
    <mergeCell ref="E96:H96"/>
    <mergeCell ref="I96:J96"/>
    <mergeCell ref="K96:N96"/>
    <mergeCell ref="AS96:AV96"/>
    <mergeCell ref="AW96:AX96"/>
    <mergeCell ref="AY96:BB96"/>
    <mergeCell ref="EF91:EF97"/>
    <mergeCell ref="E92:H92"/>
    <mergeCell ref="I92:J92"/>
    <mergeCell ref="K92:N92"/>
    <mergeCell ref="AS92:AV92"/>
    <mergeCell ref="AW92:AX92"/>
    <mergeCell ref="AY92:BB92"/>
    <mergeCell ref="CG92:CJ92"/>
    <mergeCell ref="CK92:CL92"/>
    <mergeCell ref="CK91:CL91"/>
    <mergeCell ref="CM91:CP91"/>
    <mergeCell ref="DU93:DX93"/>
    <mergeCell ref="EA92:ED92"/>
    <mergeCell ref="E93:H93"/>
    <mergeCell ref="I93:J93"/>
    <mergeCell ref="EA93:ED93"/>
    <mergeCell ref="E94:H94"/>
    <mergeCell ref="I94:J94"/>
    <mergeCell ref="K94:N94"/>
    <mergeCell ref="AS94:AV94"/>
    <mergeCell ref="AW94:AX94"/>
    <mergeCell ref="DX97:EA97"/>
    <mergeCell ref="DY94:DZ94"/>
    <mergeCell ref="EA94:ED94"/>
    <mergeCell ref="A100:ET100"/>
    <mergeCell ref="DB98:DE98"/>
    <mergeCell ref="DL98:DO98"/>
    <mergeCell ref="DR98:DU98"/>
    <mergeCell ref="DX98:EA98"/>
    <mergeCell ref="ED98:EG98"/>
    <mergeCell ref="EJ98:EM98"/>
    <mergeCell ref="BT98:BW98"/>
    <mergeCell ref="BX98:CA98"/>
    <mergeCell ref="CD98:CG98"/>
    <mergeCell ref="CJ98:CM98"/>
    <mergeCell ref="CP98:CS98"/>
    <mergeCell ref="CV98:CY98"/>
    <mergeCell ref="AJ98:AM98"/>
    <mergeCell ref="AP98:AS98"/>
    <mergeCell ref="AV98:AY98"/>
    <mergeCell ref="BB98:BE98"/>
    <mergeCell ref="BH98:BK98"/>
    <mergeCell ref="EP98:ES98"/>
    <mergeCell ref="BN98:BQ98"/>
    <mergeCell ref="B98:E98"/>
    <mergeCell ref="H98:K98"/>
    <mergeCell ref="N98:Q98"/>
    <mergeCell ref="T98:W98"/>
  </mergeCells>
  <phoneticPr fontId="2"/>
  <conditionalFormatting sqref="C48:C64">
    <cfRule type="expression" dxfId="825" priority="193" stopIfTrue="1">
      <formula>$C$46&lt;=$I$46</formula>
    </cfRule>
  </conditionalFormatting>
  <conditionalFormatting sqref="C91:C97">
    <cfRule type="expression" dxfId="824" priority="71" stopIfTrue="1">
      <formula>$E$89&lt;=$K$89</formula>
    </cfRule>
  </conditionalFormatting>
  <conditionalFormatting sqref="D47:F47">
    <cfRule type="expression" dxfId="823" priority="139" stopIfTrue="1">
      <formula>$C$46&lt;=$I$46</formula>
    </cfRule>
  </conditionalFormatting>
  <conditionalFormatting sqref="D90:H90">
    <cfRule type="expression" dxfId="822" priority="67" stopIfTrue="1">
      <formula>$E$89&lt;=$K$89</formula>
    </cfRule>
  </conditionalFormatting>
  <conditionalFormatting sqref="G38:G47">
    <cfRule type="expression" dxfId="821" priority="112" stopIfTrue="1">
      <formula>$C$46=$I$46</formula>
    </cfRule>
    <cfRule type="expression" dxfId="820" priority="113" stopIfTrue="1">
      <formula>$C$46&lt;$I$46</formula>
    </cfRule>
  </conditionalFormatting>
  <conditionalFormatting sqref="H47:L47">
    <cfRule type="expression" dxfId="819" priority="121" stopIfTrue="1">
      <formula>$I$46&lt;=$C$46</formula>
    </cfRule>
  </conditionalFormatting>
  <conditionalFormatting sqref="H37:Q37">
    <cfRule type="expression" dxfId="818" priority="95" stopIfTrue="1">
      <formula>$N$36&lt;=$T$36</formula>
    </cfRule>
  </conditionalFormatting>
  <conditionalFormatting sqref="I58:I64">
    <cfRule type="expression" dxfId="817" priority="192" stopIfTrue="1">
      <formula>$H$56&lt;=$N$56</formula>
    </cfRule>
  </conditionalFormatting>
  <conditionalFormatting sqref="I81:I90">
    <cfRule type="expression" dxfId="816" priority="62" stopIfTrue="1">
      <formula>$E$89=$K$89</formula>
    </cfRule>
    <cfRule type="expression" dxfId="815" priority="63" stopIfTrue="1">
      <formula>$E$89&lt;$K$89</formula>
    </cfRule>
  </conditionalFormatting>
  <conditionalFormatting sqref="J57:L57">
    <cfRule type="expression" dxfId="814" priority="147" stopIfTrue="1">
      <formula>$H$56&lt;=$N$56</formula>
    </cfRule>
  </conditionalFormatting>
  <conditionalFormatting sqref="J90:O90">
    <cfRule type="expression" dxfId="813" priority="35" stopIfTrue="1">
      <formula>$K$89&lt;=$E$89</formula>
    </cfRule>
  </conditionalFormatting>
  <conditionalFormatting sqref="J80:Q80">
    <cfRule type="expression" dxfId="812" priority="55" stopIfTrue="1">
      <formula>$N$79&lt;=$T$79</formula>
    </cfRule>
  </conditionalFormatting>
  <conditionalFormatting sqref="L3:L6 AN3:AN6 BM3:DA6 M6:AM6 AO6:AZ6">
    <cfRule type="expression" dxfId="811" priority="194" stopIfTrue="1">
      <formula>#REF!=""</formula>
    </cfRule>
  </conditionalFormatting>
  <conditionalFormatting sqref="M48:M57">
    <cfRule type="expression" dxfId="810" priority="166" stopIfTrue="1">
      <formula>$N$56=$H$56</formula>
    </cfRule>
    <cfRule type="expression" dxfId="809" priority="167" stopIfTrue="1">
      <formula>$N$56&lt;$H$56</formula>
    </cfRule>
  </conditionalFormatting>
  <conditionalFormatting sqref="N57:O57">
    <cfRule type="expression" dxfId="808" priority="131" stopIfTrue="1">
      <formula>$N$56&lt;=$H$56</formula>
    </cfRule>
  </conditionalFormatting>
  <conditionalFormatting sqref="P58:P64">
    <cfRule type="expression" dxfId="807" priority="182" stopIfTrue="1">
      <formula>$N$56&lt;=$H$56</formula>
    </cfRule>
  </conditionalFormatting>
  <conditionalFormatting sqref="P91:P97">
    <cfRule type="expression" dxfId="806" priority="31" stopIfTrue="1">
      <formula>$K$89&lt;=$E$89</formula>
    </cfRule>
  </conditionalFormatting>
  <conditionalFormatting sqref="R28:R37">
    <cfRule type="expression" dxfId="805" priority="87" stopIfTrue="1">
      <formula>$N$36&lt;$T$36</formula>
    </cfRule>
    <cfRule type="expression" dxfId="804" priority="86" stopIfTrue="1">
      <formula>$N$36=$T$36</formula>
    </cfRule>
  </conditionalFormatting>
  <conditionalFormatting sqref="R77:R80">
    <cfRule type="expression" dxfId="803" priority="51" stopIfTrue="1">
      <formula>$N$79&lt;$T$79</formula>
    </cfRule>
    <cfRule type="expression" dxfId="802" priority="50" stopIfTrue="1">
      <formula>$N$79=$T$79</formula>
    </cfRule>
  </conditionalFormatting>
  <conditionalFormatting sqref="S80:AA80">
    <cfRule type="expression" dxfId="801" priority="43" stopIfTrue="1">
      <formula>$T$79&lt;=$N$79</formula>
    </cfRule>
  </conditionalFormatting>
  <conditionalFormatting sqref="S37:AD37">
    <cfRule type="expression" dxfId="800" priority="91" stopIfTrue="1">
      <formula>$T$36&lt;=$N$36</formula>
    </cfRule>
  </conditionalFormatting>
  <conditionalFormatting sqref="S27:AL27">
    <cfRule type="expression" dxfId="799" priority="79" stopIfTrue="1">
      <formula>$AI$26&lt;=$AO$26</formula>
    </cfRule>
  </conditionalFormatting>
  <conditionalFormatting sqref="U58:U64">
    <cfRule type="expression" dxfId="798" priority="191" stopIfTrue="1">
      <formula>$T$56&lt;=$Z$56</formula>
    </cfRule>
  </conditionalFormatting>
  <conditionalFormatting sqref="V57:W57">
    <cfRule type="expression" dxfId="797" priority="130" stopIfTrue="1">
      <formula>$T$56&lt;=$Z$56</formula>
    </cfRule>
  </conditionalFormatting>
  <conditionalFormatting sqref="X48:X57">
    <cfRule type="expression" dxfId="796" priority="157" stopIfTrue="1">
      <formula>$T$56&lt;$Z$56</formula>
    </cfRule>
    <cfRule type="expression" dxfId="795" priority="156" stopIfTrue="1">
      <formula>$T$56=$Z$56</formula>
    </cfRule>
  </conditionalFormatting>
  <conditionalFormatting sqref="Y57:AA57">
    <cfRule type="expression" dxfId="794" priority="133" stopIfTrue="1">
      <formula>$Z$56&lt;=$T$56</formula>
    </cfRule>
  </conditionalFormatting>
  <conditionalFormatting sqref="Y47:AD47">
    <cfRule type="expression" dxfId="793" priority="105" stopIfTrue="1">
      <formula>$Z$46&lt;=$AF$46</formula>
    </cfRule>
  </conditionalFormatting>
  <conditionalFormatting sqref="AB58:AB64">
    <cfRule type="expression" dxfId="792" priority="181" stopIfTrue="1">
      <formula>$Z$56&lt;=$T$56</formula>
    </cfRule>
  </conditionalFormatting>
  <conditionalFormatting sqref="AB81:AB97">
    <cfRule type="expression" dxfId="791" priority="39" stopIfTrue="1">
      <formula>$T$79&lt;=$N$79</formula>
    </cfRule>
  </conditionalFormatting>
  <conditionalFormatting sqref="AE38:AE47">
    <cfRule type="expression" dxfId="790" priority="104" stopIfTrue="1">
      <formula>$AF$46&lt;$Z$46</formula>
    </cfRule>
    <cfRule type="expression" dxfId="789" priority="103" stopIfTrue="1">
      <formula>$AF$46=$Z$46</formula>
    </cfRule>
  </conditionalFormatting>
  <conditionalFormatting sqref="AF47:AJ47">
    <cfRule type="expression" dxfId="788" priority="120" stopIfTrue="1">
      <formula>$AF$46&lt;=$Z$46</formula>
    </cfRule>
  </conditionalFormatting>
  <conditionalFormatting sqref="AG58:AG64">
    <cfRule type="expression" dxfId="787" priority="190" stopIfTrue="1">
      <formula>$AF$56&lt;=$AL$56</formula>
    </cfRule>
  </conditionalFormatting>
  <conditionalFormatting sqref="AH57:AJ57">
    <cfRule type="expression" dxfId="786" priority="146" stopIfTrue="1">
      <formula>$AF$56&lt;=$AL$56</formula>
    </cfRule>
  </conditionalFormatting>
  <conditionalFormatting sqref="AK48:AK57">
    <cfRule type="expression" dxfId="785" priority="164" stopIfTrue="1">
      <formula>$AL$56=$AF$56</formula>
    </cfRule>
    <cfRule type="expression" dxfId="784" priority="165" stopIfTrue="1">
      <formula>$AL$56&lt;$AF$56</formula>
    </cfRule>
  </conditionalFormatting>
  <conditionalFormatting sqref="AL57:AM57">
    <cfRule type="expression" dxfId="783" priority="129" stopIfTrue="1">
      <formula>$AL$56&lt;=$AF$56</formula>
    </cfRule>
  </conditionalFormatting>
  <conditionalFormatting sqref="AM16:AM27">
    <cfRule type="expression" dxfId="782" priority="74" stopIfTrue="1">
      <formula>$AI$26=$AO$26</formula>
    </cfRule>
    <cfRule type="expression" dxfId="781" priority="75" stopIfTrue="1">
      <formula>$AI$26&lt;$AO$26</formula>
    </cfRule>
  </conditionalFormatting>
  <conditionalFormatting sqref="AN58:AN64">
    <cfRule type="expression" dxfId="780" priority="180" stopIfTrue="1">
      <formula>$AL$56&lt;=$AF$56</formula>
    </cfRule>
  </conditionalFormatting>
  <conditionalFormatting sqref="AN27:BH27">
    <cfRule type="expression" dxfId="779" priority="77" stopIfTrue="1">
      <formula>$AO$26&lt;=$AI$26</formula>
    </cfRule>
  </conditionalFormatting>
  <conditionalFormatting sqref="AN15:BY15">
    <cfRule type="expression" dxfId="778" priority="195" stopIfTrue="1">
      <formula>$BV$14&lt;=$CB$14</formula>
    </cfRule>
  </conditionalFormatting>
  <conditionalFormatting sqref="AQ91:AQ97">
    <cfRule type="expression" dxfId="777" priority="70" stopIfTrue="1">
      <formula>$AS$89&lt;=$AY$89</formula>
    </cfRule>
  </conditionalFormatting>
  <conditionalFormatting sqref="AR90:AV90">
    <cfRule type="expression" dxfId="776" priority="66" stopIfTrue="1">
      <formula>$AS$89&lt;=$AY$89</formula>
    </cfRule>
  </conditionalFormatting>
  <conditionalFormatting sqref="AS48:AS64">
    <cfRule type="expression" dxfId="775" priority="172" stopIfTrue="1">
      <formula>$AS$46&lt;=$AY$46</formula>
    </cfRule>
  </conditionalFormatting>
  <conditionalFormatting sqref="AT47:AV47">
    <cfRule type="expression" dxfId="774" priority="138" stopIfTrue="1">
      <formula>$AS$46&lt;=$AY$46</formula>
    </cfRule>
  </conditionalFormatting>
  <conditionalFormatting sqref="AW38:AW47">
    <cfRule type="expression" dxfId="773" priority="111" stopIfTrue="1">
      <formula>$AS$46&lt;$AY$46</formula>
    </cfRule>
    <cfRule type="expression" dxfId="772" priority="110" stopIfTrue="1">
      <formula>$AS$46=$AY$46</formula>
    </cfRule>
  </conditionalFormatting>
  <conditionalFormatting sqref="AW81:AW90">
    <cfRule type="expression" dxfId="771" priority="60" stopIfTrue="1">
      <formula>$AS$89=$AY$89</formula>
    </cfRule>
    <cfRule type="expression" dxfId="770" priority="61" stopIfTrue="1">
      <formula>$AS$89&lt;$AY$89</formula>
    </cfRule>
  </conditionalFormatting>
  <conditionalFormatting sqref="AX47:BB47">
    <cfRule type="expression" dxfId="769" priority="119" stopIfTrue="1">
      <formula>$AY$46&lt;=$AS$46</formula>
    </cfRule>
  </conditionalFormatting>
  <conditionalFormatting sqref="AX90:BC90">
    <cfRule type="expression" dxfId="768" priority="34" stopIfTrue="1">
      <formula>$AY$89&lt;=$AS$89</formula>
    </cfRule>
  </conditionalFormatting>
  <conditionalFormatting sqref="AX80:BE80">
    <cfRule type="expression" dxfId="767" priority="54" stopIfTrue="1">
      <formula>$BB$79&lt;=$BH$79</formula>
    </cfRule>
  </conditionalFormatting>
  <conditionalFormatting sqref="AX37:BH37">
    <cfRule type="expression" dxfId="766" priority="89" stopIfTrue="1">
      <formula>$BD$36&lt;=$BJ$36</formula>
    </cfRule>
  </conditionalFormatting>
  <conditionalFormatting sqref="AY58:AY64">
    <cfRule type="expression" dxfId="765" priority="189" stopIfTrue="1">
      <formula>$AX$56&lt;=$BD$56</formula>
    </cfRule>
  </conditionalFormatting>
  <conditionalFormatting sqref="AZ57:BB57">
    <cfRule type="expression" dxfId="764" priority="145" stopIfTrue="1">
      <formula>$AX$56&lt;=$BD$56</formula>
    </cfRule>
  </conditionalFormatting>
  <conditionalFormatting sqref="BC48:BC57">
    <cfRule type="expression" dxfId="763" priority="163" stopIfTrue="1">
      <formula>$BD$56&lt;$AX$56</formula>
    </cfRule>
    <cfRule type="expression" dxfId="762" priority="162" stopIfTrue="1">
      <formula>$BD$56=$AX$56</formula>
    </cfRule>
  </conditionalFormatting>
  <conditionalFormatting sqref="BD91:BD97">
    <cfRule type="expression" dxfId="761" priority="30" stopIfTrue="1">
      <formula>$AY$89&lt;=$AS$89</formula>
    </cfRule>
  </conditionalFormatting>
  <conditionalFormatting sqref="BD57:BE57">
    <cfRule type="expression" dxfId="760" priority="128" stopIfTrue="1">
      <formula>$BD$56&lt;=$AX$56</formula>
    </cfRule>
  </conditionalFormatting>
  <conditionalFormatting sqref="BF58:BF64">
    <cfRule type="expression" dxfId="759" priority="179" stopIfTrue="1">
      <formula>$BD$56&lt;=$AX$56</formula>
    </cfRule>
  </conditionalFormatting>
  <conditionalFormatting sqref="BF77:BF80">
    <cfRule type="expression" dxfId="758" priority="49" stopIfTrue="1">
      <formula>$BB$79&lt;$BH$79</formula>
    </cfRule>
    <cfRule type="expression" dxfId="757" priority="48" stopIfTrue="1">
      <formula>$BB$79=$BH$79</formula>
    </cfRule>
  </conditionalFormatting>
  <conditionalFormatting sqref="BG80:BO80">
    <cfRule type="expression" dxfId="756" priority="42" stopIfTrue="1">
      <formula>$BH$79&lt;=$BB$79</formula>
    </cfRule>
  </conditionalFormatting>
  <conditionalFormatting sqref="BI28:BI37">
    <cfRule type="expression" dxfId="755" priority="83" stopIfTrue="1">
      <formula>$BJ$36&lt;$BD$36</formula>
    </cfRule>
    <cfRule type="expression" dxfId="754" priority="82" stopIfTrue="1">
      <formula>$BJ$36=$BD$36</formula>
    </cfRule>
  </conditionalFormatting>
  <conditionalFormatting sqref="BJ37:BS37">
    <cfRule type="expression" dxfId="753" priority="94" stopIfTrue="1">
      <formula>$BJ$36&lt;=$BD$36</formula>
    </cfRule>
  </conditionalFormatting>
  <conditionalFormatting sqref="BK58:BK64">
    <cfRule type="expression" dxfId="752" priority="188" stopIfTrue="1">
      <formula>$BJ$56&lt;=$BP$56</formula>
    </cfRule>
  </conditionalFormatting>
  <conditionalFormatting sqref="BL57:BM57">
    <cfRule type="expression" dxfId="751" priority="127" stopIfTrue="1">
      <formula>$BJ$56&lt;=$BP$56</formula>
    </cfRule>
  </conditionalFormatting>
  <conditionalFormatting sqref="BN48:BN57">
    <cfRule type="expression" dxfId="750" priority="154" stopIfTrue="1">
      <formula>$BJ$56=$BP$56</formula>
    </cfRule>
    <cfRule type="expression" dxfId="749" priority="155" stopIfTrue="1">
      <formula>$BJ$56&lt;$BP$56</formula>
    </cfRule>
  </conditionalFormatting>
  <conditionalFormatting sqref="BO57:BQ57">
    <cfRule type="expression" dxfId="748" priority="132" stopIfTrue="1">
      <formula>$BP$56&lt;=$BJ$56</formula>
    </cfRule>
  </conditionalFormatting>
  <conditionalFormatting sqref="BO47:BS47">
    <cfRule type="expression" dxfId="747" priority="118" stopIfTrue="1">
      <formula>$BO$46&lt;=$BU$46</formula>
    </cfRule>
  </conditionalFormatting>
  <conditionalFormatting sqref="BP81:BP97">
    <cfRule type="expression" dxfId="746" priority="38" stopIfTrue="1">
      <formula>$BH$79&lt;=$BB$79</formula>
    </cfRule>
  </conditionalFormatting>
  <conditionalFormatting sqref="BR58:BR64">
    <cfRule type="expression" dxfId="745" priority="178" stopIfTrue="1">
      <formula>$BP$56&lt;=$BJ$56</formula>
    </cfRule>
  </conditionalFormatting>
  <conditionalFormatting sqref="BT38:BT47">
    <cfRule type="expression" dxfId="744" priority="101" stopIfTrue="1">
      <formula>$BU$46&lt;$BO$46</formula>
    </cfRule>
    <cfRule type="expression" dxfId="743" priority="100" stopIfTrue="1">
      <formula>$BU$46=$BO$46</formula>
    </cfRule>
  </conditionalFormatting>
  <conditionalFormatting sqref="BU47:BW47">
    <cfRule type="expression" dxfId="742" priority="137" stopIfTrue="1">
      <formula>$BU$46&lt;=$BO$46</formula>
    </cfRule>
  </conditionalFormatting>
  <conditionalFormatting sqref="BX48:BX64">
    <cfRule type="expression" dxfId="741" priority="170" stopIfTrue="1">
      <formula>$BU$46&lt;=$BO$46</formula>
    </cfRule>
  </conditionalFormatting>
  <conditionalFormatting sqref="BZ11:BZ15">
    <cfRule type="expression" dxfId="740" priority="198" stopIfTrue="1">
      <formula>$BV$14&lt;$CB$14</formula>
    </cfRule>
    <cfRule type="expression" dxfId="739" priority="197" stopIfTrue="1">
      <formula>$BV$14=$CB$14</formula>
    </cfRule>
  </conditionalFormatting>
  <conditionalFormatting sqref="CA15:DJ15">
    <cfRule type="expression" dxfId="738" priority="5">
      <formula>$CB$14&lt;=$BV$14</formula>
    </cfRule>
  </conditionalFormatting>
  <conditionalFormatting sqref="CC48:CC64">
    <cfRule type="expression" dxfId="737" priority="171" stopIfTrue="1">
      <formula>$CC$46&lt;=$CI$46</formula>
    </cfRule>
  </conditionalFormatting>
  <conditionalFormatting sqref="CD47:CF47">
    <cfRule type="expression" dxfId="736" priority="136" stopIfTrue="1">
      <formula>$CC$46&lt;=$CI$46</formula>
    </cfRule>
  </conditionalFormatting>
  <conditionalFormatting sqref="CE91:CE97">
    <cfRule type="expression" dxfId="735" priority="69" stopIfTrue="1">
      <formula>$CG$89&lt;=$CM$89</formula>
    </cfRule>
  </conditionalFormatting>
  <conditionalFormatting sqref="CF90:CJ90">
    <cfRule type="expression" dxfId="734" priority="65" stopIfTrue="1">
      <formula>$CG$89&lt;=$CM$89</formula>
    </cfRule>
  </conditionalFormatting>
  <conditionalFormatting sqref="CG38:CG47">
    <cfRule type="expression" dxfId="733" priority="108" stopIfTrue="1">
      <formula>$CC$46=$CI$46</formula>
    </cfRule>
    <cfRule type="expression" dxfId="732" priority="109" stopIfTrue="1">
      <formula>$CC$46&lt;$CI$46</formula>
    </cfRule>
  </conditionalFormatting>
  <conditionalFormatting sqref="CH47:CL47">
    <cfRule type="expression" dxfId="731" priority="117" stopIfTrue="1">
      <formula>$CI$46&lt;=$CC$46</formula>
    </cfRule>
  </conditionalFormatting>
  <conditionalFormatting sqref="CH37:CQ37">
    <cfRule type="expression" dxfId="730" priority="93" stopIfTrue="1">
      <formula>$CN$36&lt;=$CT$36</formula>
    </cfRule>
  </conditionalFormatting>
  <conditionalFormatting sqref="CI58:CI64">
    <cfRule type="expression" dxfId="729" priority="187" stopIfTrue="1">
      <formula>$CH$56&lt;=$CN$56</formula>
    </cfRule>
  </conditionalFormatting>
  <conditionalFormatting sqref="CJ57:CL57">
    <cfRule type="expression" dxfId="728" priority="144" stopIfTrue="1">
      <formula>$CH$56&lt;=$CN$56</formula>
    </cfRule>
  </conditionalFormatting>
  <conditionalFormatting sqref="CK81:CK90">
    <cfRule type="expression" dxfId="727" priority="59" stopIfTrue="1">
      <formula>$CG$89&lt;$CM$89</formula>
    </cfRule>
    <cfRule type="expression" dxfId="726" priority="58" stopIfTrue="1">
      <formula>$CG$89=$CM$89</formula>
    </cfRule>
  </conditionalFormatting>
  <conditionalFormatting sqref="CL90:CQ90">
    <cfRule type="expression" dxfId="725" priority="33" stopIfTrue="1">
      <formula>$CM$89&lt;=$CG$89</formula>
    </cfRule>
  </conditionalFormatting>
  <conditionalFormatting sqref="CL80:CS80">
    <cfRule type="expression" dxfId="724" priority="53" stopIfTrue="1">
      <formula>$CP$79&lt;=$CV$79</formula>
    </cfRule>
  </conditionalFormatting>
  <conditionalFormatting sqref="CM48:CM57">
    <cfRule type="expression" dxfId="723" priority="161" stopIfTrue="1">
      <formula>$CN$56&lt;$CH$56</formula>
    </cfRule>
    <cfRule type="expression" dxfId="722" priority="160" stopIfTrue="1">
      <formula>$CN$56=$CH$56</formula>
    </cfRule>
  </conditionalFormatting>
  <conditionalFormatting sqref="CN57:CO57">
    <cfRule type="expression" dxfId="721" priority="126" stopIfTrue="1">
      <formula>$CN$56&lt;=$CH$56</formula>
    </cfRule>
  </conditionalFormatting>
  <conditionalFormatting sqref="CP58:CP64">
    <cfRule type="expression" dxfId="720" priority="177" stopIfTrue="1">
      <formula>$CN$56&lt;=$CH$56</formula>
    </cfRule>
  </conditionalFormatting>
  <conditionalFormatting sqref="CR28:CR37">
    <cfRule type="expression" dxfId="719" priority="84" stopIfTrue="1">
      <formula>$CN$36=$CT$36</formula>
    </cfRule>
    <cfRule type="expression" dxfId="718" priority="85" stopIfTrue="1">
      <formula>$CN$36&lt;$CT$36</formula>
    </cfRule>
  </conditionalFormatting>
  <conditionalFormatting sqref="CR91:CR97">
    <cfRule type="expression" dxfId="717" priority="29" stopIfTrue="1">
      <formula>$CM$89&lt;=$CG$89</formula>
    </cfRule>
  </conditionalFormatting>
  <conditionalFormatting sqref="CS37:DC37">
    <cfRule type="expression" dxfId="716" priority="88" stopIfTrue="1">
      <formula>$CT$36&lt;=$CN$36</formula>
    </cfRule>
  </conditionalFormatting>
  <conditionalFormatting sqref="CS27:DJ27">
    <cfRule type="expression" dxfId="715" priority="1">
      <formula>$DF$26&lt;=$DL$26</formula>
    </cfRule>
  </conditionalFormatting>
  <conditionalFormatting sqref="CT77:CT80">
    <cfRule type="expression" dxfId="714" priority="46" stopIfTrue="1">
      <formula>$CP$79=$CV$79</formula>
    </cfRule>
    <cfRule type="expression" dxfId="713" priority="47" stopIfTrue="1">
      <formula>$CP$79&lt;$CV$79</formula>
    </cfRule>
  </conditionalFormatting>
  <conditionalFormatting sqref="CU58:CU64">
    <cfRule type="expression" dxfId="712" priority="186" stopIfTrue="1">
      <formula>$CT$56&lt;=$CZ$56</formula>
    </cfRule>
  </conditionalFormatting>
  <conditionalFormatting sqref="CU80:DC80">
    <cfRule type="expression" dxfId="711" priority="41" stopIfTrue="1">
      <formula>$CV$79&lt;=$CP$79</formula>
    </cfRule>
  </conditionalFormatting>
  <conditionalFormatting sqref="CV57:CW57">
    <cfRule type="expression" dxfId="710" priority="125" stopIfTrue="1">
      <formula>$CT$56&lt;=$CZ$56</formula>
    </cfRule>
  </conditionalFormatting>
  <conditionalFormatting sqref="CX48:CX57">
    <cfRule type="expression" dxfId="709" priority="153" stopIfTrue="1">
      <formula>$CT$56&lt;$CZ$56</formula>
    </cfRule>
    <cfRule type="expression" dxfId="708" priority="152" stopIfTrue="1">
      <formula>$CT$56=$CZ$56</formula>
    </cfRule>
  </conditionalFormatting>
  <conditionalFormatting sqref="CY57:DA57">
    <cfRule type="expression" dxfId="707" priority="143" stopIfTrue="1">
      <formula>$CZ$56&lt;=$CT$56</formula>
    </cfRule>
  </conditionalFormatting>
  <conditionalFormatting sqref="CY47:DC47">
    <cfRule type="expression" dxfId="706" priority="116" stopIfTrue="1">
      <formula>$CY$46&lt;=$DE$46</formula>
    </cfRule>
  </conditionalFormatting>
  <conditionalFormatting sqref="DB58:DB64">
    <cfRule type="expression" dxfId="705" priority="176" stopIfTrue="1">
      <formula>$CZ$56&lt;=$CT$56</formula>
    </cfRule>
  </conditionalFormatting>
  <conditionalFormatting sqref="DD38:DD47">
    <cfRule type="expression" dxfId="704" priority="98" stopIfTrue="1">
      <formula>$DE$46=$CY$46</formula>
    </cfRule>
    <cfRule type="expression" dxfId="703" priority="99" stopIfTrue="1">
      <formula>$DE$46&lt;$CY$46</formula>
    </cfRule>
  </conditionalFormatting>
  <conditionalFormatting sqref="DD81:DD97">
    <cfRule type="expression" dxfId="702" priority="37" stopIfTrue="1">
      <formula>$CV$79&lt;=$CP$79</formula>
    </cfRule>
  </conditionalFormatting>
  <conditionalFormatting sqref="DE47:DG47">
    <cfRule type="expression" dxfId="701" priority="135" stopIfTrue="1">
      <formula>$DE$46&lt;=$CY$46</formula>
    </cfRule>
  </conditionalFormatting>
  <conditionalFormatting sqref="DH48:DH64">
    <cfRule type="expression" dxfId="700" priority="169" stopIfTrue="1">
      <formula>$DE$46&lt;=$CY$46</formula>
    </cfRule>
  </conditionalFormatting>
  <conditionalFormatting sqref="DK16:DK27">
    <cfRule type="expression" dxfId="699" priority="3">
      <formula>$DL$26&lt;$DF$26</formula>
    </cfRule>
    <cfRule type="expression" dxfId="698" priority="4">
      <formula>$DF$26=$DL$26</formula>
    </cfRule>
  </conditionalFormatting>
  <conditionalFormatting sqref="DL27:EB27">
    <cfRule type="expression" dxfId="697" priority="2">
      <formula>$DL$26&lt;=$DF$26</formula>
    </cfRule>
  </conditionalFormatting>
  <conditionalFormatting sqref="DM48:DM64">
    <cfRule type="expression" dxfId="696" priority="23" stopIfTrue="1">
      <formula>$DM$46&lt;=$DS$46</formula>
    </cfRule>
  </conditionalFormatting>
  <conditionalFormatting sqref="DN47:DP47">
    <cfRule type="expression" dxfId="695" priority="16" stopIfTrue="1">
      <formula>$DM$46&lt;=$DS$46</formula>
    </cfRule>
  </conditionalFormatting>
  <conditionalFormatting sqref="DQ38:DQ47">
    <cfRule type="expression" dxfId="694" priority="9" stopIfTrue="1">
      <formula>$DM$46&lt;$DS$46</formula>
    </cfRule>
    <cfRule type="expression" dxfId="693" priority="8" stopIfTrue="1">
      <formula>$DM$46=$DS$46</formula>
    </cfRule>
  </conditionalFormatting>
  <conditionalFormatting sqref="DR47:DV47">
    <cfRule type="expression" dxfId="692" priority="11" stopIfTrue="1">
      <formula>$DS$46&lt;=$DM$46</formula>
    </cfRule>
  </conditionalFormatting>
  <conditionalFormatting sqref="DR37:EB37">
    <cfRule type="expression" dxfId="691" priority="90" stopIfTrue="1">
      <formula>$DX$36&lt;=$ED$36</formula>
    </cfRule>
  </conditionalFormatting>
  <conditionalFormatting sqref="DS58:DS64">
    <cfRule type="expression" dxfId="690" priority="27" stopIfTrue="1">
      <formula>$DR$56&lt;=$DX$56</formula>
    </cfRule>
  </conditionalFormatting>
  <conditionalFormatting sqref="DS91:DS97">
    <cfRule type="expression" dxfId="689" priority="68" stopIfTrue="1">
      <formula>$DU$89&lt;=$EA$89</formula>
    </cfRule>
  </conditionalFormatting>
  <conditionalFormatting sqref="DS9:EF9 ED16:EE17 DS23:EP23">
    <cfRule type="expression" dxfId="688" priority="210" stopIfTrue="1">
      <formula>$EU$1&lt;&gt;3</formula>
    </cfRule>
  </conditionalFormatting>
  <conditionalFormatting sqref="DT57:DV57">
    <cfRule type="expression" dxfId="687" priority="17" stopIfTrue="1">
      <formula>$DR$56&lt;=$DX$56</formula>
    </cfRule>
  </conditionalFormatting>
  <conditionalFormatting sqref="DT90:DX90">
    <cfRule type="expression" dxfId="686" priority="64" stopIfTrue="1">
      <formula>$DU$89&lt;=$EA$89</formula>
    </cfRule>
  </conditionalFormatting>
  <conditionalFormatting sqref="DW16:DW22">
    <cfRule type="expression" dxfId="685" priority="200" stopIfTrue="1">
      <formula>$DZ$14&lt;=$EF$14</formula>
    </cfRule>
    <cfRule type="expression" dxfId="684" priority="199" stopIfTrue="1">
      <formula>$EU$1&lt;&gt;3</formula>
    </cfRule>
  </conditionalFormatting>
  <conditionalFormatting sqref="DW48:DW57">
    <cfRule type="expression" dxfId="683" priority="21" stopIfTrue="1">
      <formula>$DX$56&lt;$DR$56</formula>
    </cfRule>
    <cfRule type="expression" dxfId="682" priority="20" stopIfTrue="1">
      <formula>$DX$56=$DR$56</formula>
    </cfRule>
  </conditionalFormatting>
  <conditionalFormatting sqref="DX57:DY57">
    <cfRule type="expression" dxfId="681" priority="13" stopIfTrue="1">
      <formula>$DX$56&lt;=$DR$56</formula>
    </cfRule>
  </conditionalFormatting>
  <conditionalFormatting sqref="DX15:EC15">
    <cfRule type="expression" dxfId="680" priority="201" stopIfTrue="1">
      <formula>$EU$1&lt;&gt;3</formula>
    </cfRule>
    <cfRule type="expression" dxfId="679" priority="202" stopIfTrue="1">
      <formula>$DZ$14&lt;=$EF$14</formula>
    </cfRule>
  </conditionalFormatting>
  <conditionalFormatting sqref="DY81:DY90">
    <cfRule type="expression" dxfId="678" priority="57" stopIfTrue="1">
      <formula>$DU$89&lt;$EA$89</formula>
    </cfRule>
    <cfRule type="expression" dxfId="677" priority="56" stopIfTrue="1">
      <formula>$DU$89=$EA$89</formula>
    </cfRule>
  </conditionalFormatting>
  <conditionalFormatting sqref="DZ58:DZ64">
    <cfRule type="expression" dxfId="676" priority="25" stopIfTrue="1">
      <formula>$DX$56&lt;=$DR$56</formula>
    </cfRule>
  </conditionalFormatting>
  <conditionalFormatting sqref="DZ90:EE90">
    <cfRule type="expression" dxfId="675" priority="32" stopIfTrue="1">
      <formula>$EA$89&lt;=$DU$89</formula>
    </cfRule>
  </conditionalFormatting>
  <conditionalFormatting sqref="DZ80:EG80">
    <cfRule type="expression" dxfId="674" priority="52" stopIfTrue="1">
      <formula>$ED$79&lt;=$EJ$79</formula>
    </cfRule>
  </conditionalFormatting>
  <conditionalFormatting sqref="EC28:EC37">
    <cfRule type="expression" dxfId="673" priority="81" stopIfTrue="1">
      <formula>$ED$36&lt;$DX$36</formula>
    </cfRule>
    <cfRule type="expression" dxfId="672" priority="80" stopIfTrue="1">
      <formula>$ED$36=$DX$36</formula>
    </cfRule>
  </conditionalFormatting>
  <conditionalFormatting sqref="ED13:ED15">
    <cfRule type="expression" dxfId="671" priority="207" stopIfTrue="1">
      <formula>$EU$1&lt;&gt;3</formula>
    </cfRule>
    <cfRule type="expression" dxfId="670" priority="208" stopIfTrue="1">
      <formula>$DZ$14=$EF$14</formula>
    </cfRule>
    <cfRule type="expression" dxfId="669" priority="209" stopIfTrue="1">
      <formula>$DZ$14&lt;$EF$14</formula>
    </cfRule>
  </conditionalFormatting>
  <conditionalFormatting sqref="ED37:EM37">
    <cfRule type="expression" dxfId="668" priority="92" stopIfTrue="1">
      <formula>$ED$36&lt;=$DX$36</formula>
    </cfRule>
  </conditionalFormatting>
  <conditionalFormatting sqref="EE58:EE64">
    <cfRule type="expression" dxfId="667" priority="26" stopIfTrue="1">
      <formula>$ED$56&lt;=$EJ$56</formula>
    </cfRule>
  </conditionalFormatting>
  <conditionalFormatting sqref="EE15:EK15">
    <cfRule type="expression" dxfId="666" priority="203" stopIfTrue="1">
      <formula>$EU$1&lt;&gt;3</formula>
    </cfRule>
    <cfRule type="expression" dxfId="665" priority="204" stopIfTrue="1">
      <formula>$EF$14&lt;=$DZ$14</formula>
    </cfRule>
  </conditionalFormatting>
  <conditionalFormatting sqref="EF91:EF97">
    <cfRule type="expression" dxfId="664" priority="28" stopIfTrue="1">
      <formula>$EA$89&lt;=$DU$89</formula>
    </cfRule>
  </conditionalFormatting>
  <conditionalFormatting sqref="EF57:EG57">
    <cfRule type="expression" dxfId="663" priority="12" stopIfTrue="1">
      <formula>$ED$56&lt;=$EJ$56</formula>
    </cfRule>
  </conditionalFormatting>
  <conditionalFormatting sqref="EH48:EH57">
    <cfRule type="expression" dxfId="662" priority="19" stopIfTrue="1">
      <formula>$ED$56&lt;$EJ$56</formula>
    </cfRule>
    <cfRule type="expression" dxfId="661" priority="18" stopIfTrue="1">
      <formula>$ED$56=$EJ$56</formula>
    </cfRule>
  </conditionalFormatting>
  <conditionalFormatting sqref="EH77:EH80">
    <cfRule type="expression" dxfId="660" priority="44" stopIfTrue="1">
      <formula>$ED$79=$EJ$79</formula>
    </cfRule>
    <cfRule type="expression" dxfId="659" priority="45" stopIfTrue="1">
      <formula>$ED$79&lt;$EJ$79</formula>
    </cfRule>
  </conditionalFormatting>
  <conditionalFormatting sqref="EI57:EK57">
    <cfRule type="expression" dxfId="658" priority="14" stopIfTrue="1">
      <formula>$EJ$56&lt;=$ED$56</formula>
    </cfRule>
  </conditionalFormatting>
  <conditionalFormatting sqref="EI47:EM47">
    <cfRule type="expression" dxfId="657" priority="10" stopIfTrue="1">
      <formula>$EI$46&lt;=$EO$46</formula>
    </cfRule>
  </conditionalFormatting>
  <conditionalFormatting sqref="EI80:EQ80">
    <cfRule type="expression" dxfId="656" priority="40" stopIfTrue="1">
      <formula>$EJ$79&lt;=$ED$79</formula>
    </cfRule>
  </conditionalFormatting>
  <conditionalFormatting sqref="EL16:EL22">
    <cfRule type="expression" dxfId="655" priority="205" stopIfTrue="1">
      <formula>$EU$1&lt;&gt;3</formula>
    </cfRule>
    <cfRule type="expression" dxfId="654" priority="206" stopIfTrue="1">
      <formula>$EF$14&lt;=$DZ$14</formula>
    </cfRule>
  </conditionalFormatting>
  <conditionalFormatting sqref="EL58:EL64">
    <cfRule type="expression" dxfId="653" priority="24" stopIfTrue="1">
      <formula>$EJ$56&lt;=$ED$56</formula>
    </cfRule>
  </conditionalFormatting>
  <conditionalFormatting sqref="EN38:EN47">
    <cfRule type="expression" dxfId="652" priority="7" stopIfTrue="1">
      <formula>$EO$46&lt;$EI$46</formula>
    </cfRule>
    <cfRule type="expression" dxfId="651" priority="6" stopIfTrue="1">
      <formula>$EO$46=$EI$46</formula>
    </cfRule>
  </conditionalFormatting>
  <conditionalFormatting sqref="EO47:EQ47">
    <cfRule type="expression" dxfId="650" priority="15" stopIfTrue="1">
      <formula>$EO$46&lt;=$EI$46</formula>
    </cfRule>
  </conditionalFormatting>
  <conditionalFormatting sqref="ER48:ER64">
    <cfRule type="expression" dxfId="649" priority="22" stopIfTrue="1">
      <formula>$EO$46&lt;=$EI$46</formula>
    </cfRule>
  </conditionalFormatting>
  <conditionalFormatting sqref="ER81:ER97">
    <cfRule type="expression" dxfId="648" priority="36" stopIfTrue="1">
      <formula>$EJ$79&lt;=$ED$79</formula>
    </cfRule>
  </conditionalFormatting>
  <dataValidations count="1">
    <dataValidation type="list" allowBlank="1" showInputMessage="1" showErrorMessage="1" errorTitle="３を入力！" error="「３」以外は入力できません。" promptTitle="第3代表決定戦" prompt="シードなどの関係で第3代表を決めるときはこのセルに「３」と入力して下さい。" sqref="EU1" xr:uid="{00000000-0002-0000-0300-000000000000}">
      <formula1>"3"</formula1>
    </dataValidation>
  </dataValidations>
  <printOptions horizontalCentered="1"/>
  <pageMargins left="0.39370078740157483" right="0.39370078740157483" top="0.59055118110236227" bottom="0.39370078740157483" header="0.51181102362204722" footer="0.51181102362204722"/>
  <pageSetup paperSize="9" scale="6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pageSetUpPr fitToPage="1"/>
  </sheetPr>
  <dimension ref="A1:FC92"/>
  <sheetViews>
    <sheetView showGridLines="0" view="pageBreakPreview" topLeftCell="A22" zoomScale="85" zoomScaleNormal="85" zoomScaleSheetLayoutView="85" workbookViewId="0">
      <selection activeCell="BR20" sqref="BR20"/>
    </sheetView>
  </sheetViews>
  <sheetFormatPr defaultColWidth="9" defaultRowHeight="14.25" x14ac:dyDescent="0.15"/>
  <cols>
    <col min="1" max="1" width="10" style="76" bestFit="1" customWidth="1"/>
    <col min="2" max="149" width="1" style="76" customWidth="1"/>
    <col min="150" max="150" width="3.375" style="87" bestFit="1" customWidth="1"/>
    <col min="151" max="151" width="9" style="76"/>
    <col min="152" max="152" width="6.375" style="142" bestFit="1" customWidth="1"/>
    <col min="153" max="159" width="3" style="76" bestFit="1" customWidth="1"/>
    <col min="160" max="16384" width="9" style="76"/>
  </cols>
  <sheetData>
    <row r="1" spans="1:159" ht="25.5" thickBot="1" x14ac:dyDescent="0.2">
      <c r="B1" s="95" t="str">
        <f ca="1">"令和"&amp;IF(YEAR(NOW())=2019,"元",YEAR(NOW())-2018)&amp;"年度 第"&amp;YEAR(NOW())-1999&amp;"回 加賀地区中学校サッカー大会 《 北加賀ブロック 》"</f>
        <v>令和6年度 第25回 加賀地区中学校サッカー大会 《 北加賀ブロック 》</v>
      </c>
      <c r="BC1" s="101"/>
      <c r="CE1" s="103"/>
      <c r="CK1" s="103"/>
      <c r="CL1" s="103"/>
      <c r="CM1" s="103"/>
      <c r="CN1" s="103"/>
      <c r="ET1" s="100"/>
    </row>
    <row r="2" spans="1:159" x14ac:dyDescent="0.15">
      <c r="BC2" s="101"/>
      <c r="BJ2" s="102"/>
      <c r="BK2" s="102"/>
      <c r="BL2" s="102"/>
      <c r="CE2" s="103"/>
      <c r="CK2" s="103"/>
      <c r="CL2" s="103"/>
      <c r="CM2" s="103"/>
      <c r="CN2" s="103"/>
    </row>
    <row r="3" spans="1:159" ht="18.75" customHeight="1" x14ac:dyDescent="0.15">
      <c r="A3" s="104" t="str">
        <f>IF(BV13=CB13,"",IF(BV13&gt;CB13,AI15,DO15))</f>
        <v/>
      </c>
      <c r="D3" s="721" t="s">
        <v>108</v>
      </c>
      <c r="E3" s="730"/>
      <c r="F3" s="730"/>
      <c r="G3" s="730"/>
      <c r="H3" s="730"/>
      <c r="I3" s="730"/>
      <c r="J3" s="730"/>
      <c r="K3" s="93"/>
      <c r="L3" s="733" t="str">
        <f>IF(A3="","",IF(VLOOKUP(A3,予選学校名!$C$3:$F$32,3,FALSE)="",IF(VLOOKUP(A3,予選学校名!$C$3:$F$32,4,FALSE)="","",VLOOKUP(A3,予選学校名!$C$3:$F$32,4,FALSE)),VLOOKUP(A3,予選学校名!$C$3:$F$32,3,FALSE)&amp;"立")&amp;A3&amp;"中学校("&amp;VLOOKUP(A3,予選学校名!$C$3:$F$32,2,FALSE)&amp;")")</f>
        <v/>
      </c>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1"/>
      <c r="BF3" s="71"/>
      <c r="BG3" s="721" t="s">
        <v>109</v>
      </c>
      <c r="BH3" s="730"/>
      <c r="BI3" s="730"/>
      <c r="BJ3" s="730"/>
      <c r="BK3" s="730"/>
      <c r="BL3" s="730"/>
      <c r="BM3" s="730"/>
      <c r="BN3" s="730"/>
      <c r="BO3" s="730"/>
      <c r="BP3" s="93"/>
      <c r="BQ3" s="733" t="str">
        <f>IF(A7="","",IF(VLOOKUP(A7,予選学校名!$C$3:$F$32,3,FALSE)="",IF(VLOOKUP(A7,予選学校名!$C$3:$F$32,4,FALSE)="","",VLOOKUP(A7,予選学校名!$C$3:$F$32,4,FALSE)),VLOOKUP(A7,予選学校名!$C$3:$F$32,3,FALSE)&amp;"立")&amp;A7&amp;"中学校("&amp;VLOOKUP(A7,予選学校名!$C$3:$F$32,2,FALSE)&amp;")")</f>
        <v/>
      </c>
      <c r="BR3" s="733"/>
      <c r="BS3" s="733"/>
      <c r="BT3" s="733"/>
      <c r="BU3" s="733"/>
      <c r="BV3" s="733"/>
      <c r="BW3" s="733"/>
      <c r="BX3" s="733"/>
      <c r="BY3" s="733"/>
      <c r="BZ3" s="733"/>
      <c r="CA3" s="733"/>
      <c r="CB3" s="733"/>
      <c r="CC3" s="733"/>
      <c r="CD3" s="733"/>
      <c r="CE3" s="733"/>
      <c r="CF3" s="733"/>
      <c r="CG3" s="733"/>
      <c r="CH3" s="733"/>
      <c r="CI3" s="733"/>
      <c r="CJ3" s="733"/>
      <c r="CK3" s="733"/>
      <c r="CL3" s="733"/>
      <c r="CM3" s="733"/>
      <c r="CN3" s="733"/>
      <c r="CO3" s="733"/>
      <c r="CP3" s="733"/>
      <c r="CQ3" s="733"/>
      <c r="CR3" s="733"/>
      <c r="CS3" s="733"/>
      <c r="CT3" s="733"/>
      <c r="CU3" s="733"/>
      <c r="CV3" s="733"/>
      <c r="CW3" s="733"/>
      <c r="CX3" s="733"/>
      <c r="CY3" s="733"/>
      <c r="CZ3" s="733"/>
      <c r="DA3" s="733"/>
      <c r="DB3" s="733"/>
      <c r="DC3" s="733"/>
      <c r="DD3" s="733"/>
      <c r="DE3" s="733"/>
      <c r="DF3" s="733"/>
      <c r="DG3" s="733"/>
      <c r="DH3" s="733"/>
      <c r="DI3" s="733"/>
      <c r="DJ3" s="105"/>
      <c r="DK3" s="105"/>
      <c r="DL3" s="106"/>
      <c r="DM3" s="62"/>
      <c r="DN3" s="62"/>
      <c r="EU3" s="118">
        <f ca="1">YEAR(NOW())</f>
        <v>2024</v>
      </c>
      <c r="EV3" s="118">
        <v>6</v>
      </c>
      <c r="EW3" s="118">
        <v>17</v>
      </c>
      <c r="EX3" s="118">
        <v>18</v>
      </c>
      <c r="EY3" s="118">
        <v>19</v>
      </c>
      <c r="EZ3" s="118">
        <v>20</v>
      </c>
      <c r="FA3" s="118">
        <v>21</v>
      </c>
      <c r="FB3" s="118">
        <v>22</v>
      </c>
      <c r="FC3" s="118">
        <v>23</v>
      </c>
    </row>
    <row r="4" spans="1:159" ht="18.75" customHeight="1" x14ac:dyDescent="0.15">
      <c r="A4" s="104" t="str">
        <f>IF(BV13=CB13,"",IF(BV13&lt;CB13,AI15,DO15))</f>
        <v/>
      </c>
      <c r="D4" s="721" t="s">
        <v>110</v>
      </c>
      <c r="E4" s="730"/>
      <c r="F4" s="730"/>
      <c r="G4" s="730"/>
      <c r="H4" s="730"/>
      <c r="I4" s="730"/>
      <c r="J4" s="730"/>
      <c r="K4" s="93"/>
      <c r="L4" s="731" t="str">
        <f>IF(A4="","",IF(VLOOKUP(A4,予選学校名!$C$3:$F$32,3,FALSE)="",IF(VLOOKUP(A4,予選学校名!$C$3:$F$32,4,FALSE)="","",VLOOKUP(A4,予選学校名!$C$3:$F$32,4,FALSE)),VLOOKUP(A4,予選学校名!$C$3:$F$32,3,FALSE)&amp;"立")&amp;A4&amp;"中学校("&amp;VLOOKUP(A4,予選学校名!$C$3:$F$32,2,FALSE)&amp;")")</f>
        <v/>
      </c>
      <c r="M4" s="732"/>
      <c r="N4" s="732"/>
      <c r="O4" s="732"/>
      <c r="P4" s="732"/>
      <c r="Q4" s="732"/>
      <c r="R4" s="732"/>
      <c r="S4" s="732"/>
      <c r="T4" s="732"/>
      <c r="U4" s="732"/>
      <c r="V4" s="732"/>
      <c r="W4" s="732"/>
      <c r="X4" s="732"/>
      <c r="Y4" s="732"/>
      <c r="Z4" s="732"/>
      <c r="AA4" s="732"/>
      <c r="AB4" s="732"/>
      <c r="AC4" s="732"/>
      <c r="AD4" s="732"/>
      <c r="AE4" s="732"/>
      <c r="AF4" s="732"/>
      <c r="AG4" s="732"/>
      <c r="AH4" s="732"/>
      <c r="AI4" s="732"/>
      <c r="AJ4" s="732"/>
      <c r="AK4" s="732"/>
      <c r="AL4" s="732"/>
      <c r="AM4" s="732"/>
      <c r="AN4" s="732"/>
      <c r="AO4" s="732"/>
      <c r="AP4" s="732"/>
      <c r="AQ4" s="732"/>
      <c r="AR4" s="732"/>
      <c r="AS4" s="732"/>
      <c r="AT4" s="732"/>
      <c r="AU4" s="732"/>
      <c r="AV4" s="732"/>
      <c r="AW4" s="732"/>
      <c r="AX4" s="732"/>
      <c r="AY4" s="732"/>
      <c r="AZ4" s="732"/>
      <c r="BA4" s="732"/>
      <c r="BB4" s="732"/>
      <c r="BC4" s="732"/>
      <c r="BD4" s="732"/>
      <c r="BE4" s="71"/>
      <c r="BF4" s="71"/>
      <c r="BG4" s="71"/>
      <c r="BH4" s="71"/>
      <c r="BI4" s="71"/>
      <c r="BJ4" s="93"/>
      <c r="BK4" s="93"/>
      <c r="BL4" s="93"/>
      <c r="BM4" s="93"/>
      <c r="BN4" s="93"/>
      <c r="BO4" s="93"/>
      <c r="BP4" s="93"/>
      <c r="BQ4" s="733" t="str">
        <f>IF(A8="","",IF(VLOOKUP(A8,予選学校名!$C$3:$F$32,3,FALSE)="",IF(VLOOKUP(A8,予選学校名!$C$3:$F$32,4,FALSE)="","",VLOOKUP(A8,予選学校名!$C$3:$F$32,4,FALSE)),VLOOKUP(A8,予選学校名!$C$3:$F$32,3,FALSE)&amp;"立")&amp;A8&amp;"中学校("&amp;VLOOKUP(A8,予選学校名!$C$3:$F$32,2,FALSE)&amp;")")</f>
        <v/>
      </c>
      <c r="BR4" s="733"/>
      <c r="BS4" s="733"/>
      <c r="BT4" s="733"/>
      <c r="BU4" s="733"/>
      <c r="BV4" s="733"/>
      <c r="BW4" s="733"/>
      <c r="BX4" s="733"/>
      <c r="BY4" s="733"/>
      <c r="BZ4" s="733"/>
      <c r="CA4" s="733"/>
      <c r="CB4" s="733"/>
      <c r="CC4" s="733"/>
      <c r="CD4" s="733"/>
      <c r="CE4" s="733"/>
      <c r="CF4" s="733"/>
      <c r="CG4" s="733"/>
      <c r="CH4" s="733"/>
      <c r="CI4" s="733"/>
      <c r="CJ4" s="733"/>
      <c r="CK4" s="733"/>
      <c r="CL4" s="733"/>
      <c r="CM4" s="733"/>
      <c r="CN4" s="733"/>
      <c r="CO4" s="733"/>
      <c r="CP4" s="733"/>
      <c r="CQ4" s="733"/>
      <c r="CR4" s="733"/>
      <c r="CS4" s="733"/>
      <c r="CT4" s="733"/>
      <c r="CU4" s="733"/>
      <c r="CV4" s="733"/>
      <c r="CW4" s="733"/>
      <c r="CX4" s="733"/>
      <c r="CY4" s="733"/>
      <c r="CZ4" s="733"/>
      <c r="DA4" s="733"/>
      <c r="DB4" s="733"/>
      <c r="DC4" s="733"/>
      <c r="DD4" s="733"/>
      <c r="DE4" s="733"/>
      <c r="DF4" s="733"/>
      <c r="DG4" s="733"/>
      <c r="DH4" s="733"/>
      <c r="DI4" s="733"/>
      <c r="DJ4" s="105"/>
      <c r="DK4" s="105"/>
      <c r="DL4" s="106"/>
      <c r="DM4" s="62"/>
      <c r="DN4" s="62"/>
      <c r="EU4" s="118"/>
      <c r="EV4" s="118"/>
      <c r="EW4" s="118" t="str">
        <f t="shared" ref="EW4:FC4" ca="1" si="0">CHOOSE(WEEKDAY(DATE($EU$3,$EV$3,EW3)),"","○","","","","","","")</f>
        <v>○</v>
      </c>
      <c r="EX4" s="118" t="str">
        <f t="shared" ca="1" si="0"/>
        <v/>
      </c>
      <c r="EY4" s="118" t="str">
        <f t="shared" ca="1" si="0"/>
        <v/>
      </c>
      <c r="EZ4" s="118" t="str">
        <f t="shared" ca="1" si="0"/>
        <v/>
      </c>
      <c r="FA4" s="118" t="str">
        <f t="shared" ca="1" si="0"/>
        <v/>
      </c>
      <c r="FB4" s="118" t="str">
        <f t="shared" ca="1" si="0"/>
        <v/>
      </c>
      <c r="FC4" s="118" t="str">
        <f t="shared" ca="1" si="0"/>
        <v/>
      </c>
    </row>
    <row r="5" spans="1:159" ht="18.75" customHeight="1" x14ac:dyDescent="0.15">
      <c r="A5" s="104" t="str">
        <f>IF(DX11&lt;&gt;"",DX11,IF(OR($A$3=N26,$A$3=BJ26),$DS$21,$EG$21))</f>
        <v/>
      </c>
      <c r="D5" s="721" t="s">
        <v>111</v>
      </c>
      <c r="E5" s="730"/>
      <c r="F5" s="730"/>
      <c r="G5" s="730"/>
      <c r="H5" s="730"/>
      <c r="I5" s="730"/>
      <c r="J5" s="730"/>
      <c r="K5" s="93"/>
      <c r="L5" s="731" t="str">
        <f>IF(A5="","",IF(VLOOKUP(A5,予選学校名!$C$3:$F$32,3,FALSE)="",IF(VLOOKUP(A5,予選学校名!$C$3:$F$32,4,FALSE)="","",VLOOKUP(A5,予選学校名!$C$3:$F$32,4,FALSE)),VLOOKUP(A5,予選学校名!$C$3:$F$32,3,FALSE)&amp;"立")&amp;A5&amp;"中学校("&amp;VLOOKUP(A5,予選学校名!$C$3:$F$32,2,FALSE)&amp;")")</f>
        <v/>
      </c>
      <c r="M5" s="732"/>
      <c r="N5" s="732"/>
      <c r="O5" s="732"/>
      <c r="P5" s="732"/>
      <c r="Q5" s="732"/>
      <c r="R5" s="732"/>
      <c r="S5" s="732"/>
      <c r="T5" s="732"/>
      <c r="U5" s="732"/>
      <c r="V5" s="732"/>
      <c r="W5" s="732"/>
      <c r="X5" s="732"/>
      <c r="Y5" s="732"/>
      <c r="Z5" s="732"/>
      <c r="AA5" s="732"/>
      <c r="AB5" s="732"/>
      <c r="AC5" s="732"/>
      <c r="AD5" s="732"/>
      <c r="AE5" s="732"/>
      <c r="AF5" s="732"/>
      <c r="AG5" s="732"/>
      <c r="AH5" s="732"/>
      <c r="AI5" s="732"/>
      <c r="AJ5" s="732"/>
      <c r="AK5" s="732"/>
      <c r="AL5" s="732"/>
      <c r="AM5" s="732"/>
      <c r="AN5" s="732"/>
      <c r="AO5" s="732"/>
      <c r="AP5" s="732"/>
      <c r="AQ5" s="732"/>
      <c r="AR5" s="732"/>
      <c r="AS5" s="732"/>
      <c r="AT5" s="732"/>
      <c r="AU5" s="732"/>
      <c r="AV5" s="732"/>
      <c r="AW5" s="732"/>
      <c r="AX5" s="732"/>
      <c r="AY5" s="732"/>
      <c r="AZ5" s="732"/>
      <c r="BA5" s="732"/>
      <c r="BB5" s="732"/>
      <c r="BC5" s="732"/>
      <c r="BD5" s="732"/>
      <c r="BE5" s="71"/>
      <c r="BF5" s="71"/>
      <c r="BG5" s="71"/>
      <c r="BH5" s="71"/>
      <c r="BI5" s="71"/>
      <c r="BJ5" s="93"/>
      <c r="BK5" s="93"/>
      <c r="BL5" s="93"/>
      <c r="BM5" s="93"/>
      <c r="BN5" s="93"/>
      <c r="BO5" s="93"/>
      <c r="BP5" s="93"/>
      <c r="BQ5" s="733" t="str">
        <f>IF(A9="","",IF(VLOOKUP(A9,予選学校名!$C$3:$F$32,3,FALSE)="",IF(VLOOKUP(A9,予選学校名!$C$3:$F$32,4,FALSE)="","",VLOOKUP(A9,予選学校名!$C$3:$F$32,4,FALSE)),VLOOKUP(A9,予選学校名!$C$3:$F$32,3,FALSE)&amp;"立")&amp;A9&amp;"中学校("&amp;VLOOKUP(A9,予選学校名!$C$3:$F$32,2,FALSE)&amp;")")</f>
        <v/>
      </c>
      <c r="BR5" s="733"/>
      <c r="BS5" s="733"/>
      <c r="BT5" s="733"/>
      <c r="BU5" s="733"/>
      <c r="BV5" s="733"/>
      <c r="BW5" s="733"/>
      <c r="BX5" s="733"/>
      <c r="BY5" s="733"/>
      <c r="BZ5" s="733"/>
      <c r="CA5" s="733"/>
      <c r="CB5" s="733"/>
      <c r="CC5" s="733"/>
      <c r="CD5" s="733"/>
      <c r="CE5" s="733"/>
      <c r="CF5" s="733"/>
      <c r="CG5" s="733"/>
      <c r="CH5" s="733"/>
      <c r="CI5" s="733"/>
      <c r="CJ5" s="733"/>
      <c r="CK5" s="733"/>
      <c r="CL5" s="733"/>
      <c r="CM5" s="733"/>
      <c r="CN5" s="733"/>
      <c r="CO5" s="733"/>
      <c r="CP5" s="733"/>
      <c r="CQ5" s="733"/>
      <c r="CR5" s="733"/>
      <c r="CS5" s="733"/>
      <c r="CT5" s="733"/>
      <c r="CU5" s="733"/>
      <c r="CV5" s="733"/>
      <c r="CW5" s="733"/>
      <c r="CX5" s="733"/>
      <c r="CY5" s="733"/>
      <c r="CZ5" s="733"/>
      <c r="DA5" s="733"/>
      <c r="DB5" s="733"/>
      <c r="DC5" s="733"/>
      <c r="DD5" s="733"/>
      <c r="DE5" s="733"/>
      <c r="DF5" s="733"/>
      <c r="DG5" s="733"/>
      <c r="DH5" s="733"/>
      <c r="DI5" s="733"/>
      <c r="DJ5" s="105"/>
      <c r="DK5" s="105"/>
      <c r="DL5" s="106"/>
      <c r="DM5" s="62"/>
      <c r="DN5" s="62"/>
    </row>
    <row r="6" spans="1:159" s="61" customFormat="1" ht="18.75" customHeight="1" x14ac:dyDescent="0.15">
      <c r="A6" s="104" t="str">
        <f>IF(DX11&lt;&gt;"",IF(DX11=DS21,EG21,DS21),IF(OR($A$3=N26,$A$3=BJ26),$EG$21,$DS$21))</f>
        <v/>
      </c>
      <c r="D6" s="93"/>
      <c r="E6" s="70"/>
      <c r="F6" s="70"/>
      <c r="G6" s="70"/>
      <c r="H6" s="70"/>
      <c r="I6" s="70"/>
      <c r="J6" s="70"/>
      <c r="K6" s="70"/>
      <c r="L6" s="731" t="str">
        <f>IF(A6="","",IF(VLOOKUP(A6,予選学校名!$C$3:$F$32,3,FALSE)="",IF(VLOOKUP(A6,予選学校名!$C$3:$F$32,4,FALSE)="","",VLOOKUP(A6,予選学校名!$C$3:$F$32,4,FALSE)),VLOOKUP(A6,予選学校名!$C$3:$F$32,3,FALSE)&amp;"立")&amp;A6&amp;"中学校("&amp;VLOOKUP(A6,予選学校名!$C$3:$F$32,2,FALSE)&amp;")")</f>
        <v/>
      </c>
      <c r="M6" s="731"/>
      <c r="N6" s="731"/>
      <c r="O6" s="731"/>
      <c r="P6" s="731"/>
      <c r="Q6" s="731"/>
      <c r="R6" s="731"/>
      <c r="S6" s="731"/>
      <c r="T6" s="731"/>
      <c r="U6" s="731"/>
      <c r="V6" s="731"/>
      <c r="W6" s="731"/>
      <c r="X6" s="731"/>
      <c r="Y6" s="731"/>
      <c r="Z6" s="731"/>
      <c r="AA6" s="731"/>
      <c r="AB6" s="731"/>
      <c r="AC6" s="731"/>
      <c r="AD6" s="731"/>
      <c r="AE6" s="731"/>
      <c r="AF6" s="731"/>
      <c r="AG6" s="731"/>
      <c r="AH6" s="731"/>
      <c r="AI6" s="731"/>
      <c r="AJ6" s="731"/>
      <c r="AK6" s="731"/>
      <c r="AL6" s="731"/>
      <c r="AM6" s="731"/>
      <c r="AN6" s="731"/>
      <c r="AO6" s="731"/>
      <c r="AP6" s="731"/>
      <c r="AQ6" s="731"/>
      <c r="AR6" s="731"/>
      <c r="AS6" s="731"/>
      <c r="AT6" s="731"/>
      <c r="AU6" s="731"/>
      <c r="AV6" s="731"/>
      <c r="AW6" s="731"/>
      <c r="AX6" s="731"/>
      <c r="AY6" s="731"/>
      <c r="AZ6" s="731"/>
      <c r="BA6" s="731"/>
      <c r="BB6" s="731"/>
      <c r="BC6" s="731"/>
      <c r="BD6" s="731"/>
      <c r="BE6" s="71"/>
      <c r="BF6" s="71"/>
      <c r="BG6" s="71"/>
      <c r="BH6" s="71"/>
      <c r="BI6" s="71"/>
      <c r="BJ6" s="70"/>
      <c r="BK6" s="70"/>
      <c r="BL6" s="70"/>
      <c r="BM6" s="70"/>
      <c r="BN6" s="70"/>
      <c r="BO6" s="70"/>
      <c r="BP6" s="70"/>
      <c r="BQ6" s="733" t="str">
        <f>IF(A10="","",IF(VLOOKUP(A10,予選学校名!$C$3:$F$32,3,FALSE)="",IF(VLOOKUP(A10,予選学校名!$C$3:$F$32,4,FALSE)="","",VLOOKUP(A10,予選学校名!$C$3:$F$32,4,FALSE)),VLOOKUP(A10,予選学校名!$C$3:$F$32,3,FALSE)&amp;"立")&amp;A10&amp;"中学校("&amp;VLOOKUP(A10,予選学校名!$C$3:$F$32,2,FALSE)&amp;")")</f>
        <v/>
      </c>
      <c r="BR6" s="733"/>
      <c r="BS6" s="733"/>
      <c r="BT6" s="733"/>
      <c r="BU6" s="733"/>
      <c r="BV6" s="733"/>
      <c r="BW6" s="733"/>
      <c r="BX6" s="733"/>
      <c r="BY6" s="733"/>
      <c r="BZ6" s="733"/>
      <c r="CA6" s="733"/>
      <c r="CB6" s="733"/>
      <c r="CC6" s="733"/>
      <c r="CD6" s="733"/>
      <c r="CE6" s="733"/>
      <c r="CF6" s="733"/>
      <c r="CG6" s="733"/>
      <c r="CH6" s="733"/>
      <c r="CI6" s="733"/>
      <c r="CJ6" s="733"/>
      <c r="CK6" s="733"/>
      <c r="CL6" s="733"/>
      <c r="CM6" s="733"/>
      <c r="CN6" s="733"/>
      <c r="CO6" s="733"/>
      <c r="CP6" s="733"/>
      <c r="CQ6" s="733"/>
      <c r="CR6" s="733"/>
      <c r="CS6" s="733"/>
      <c r="CT6" s="733"/>
      <c r="CU6" s="733"/>
      <c r="CV6" s="733"/>
      <c r="CW6" s="733"/>
      <c r="CX6" s="733"/>
      <c r="CY6" s="733"/>
      <c r="CZ6" s="733"/>
      <c r="DA6" s="733"/>
      <c r="DB6" s="733"/>
      <c r="DC6" s="733"/>
      <c r="DD6" s="733"/>
      <c r="DE6" s="733"/>
      <c r="DF6" s="733"/>
      <c r="DG6" s="733"/>
      <c r="DH6" s="733"/>
      <c r="DI6" s="733"/>
      <c r="DJ6" s="105"/>
      <c r="DK6" s="105"/>
      <c r="DL6" s="106"/>
      <c r="DM6" s="62"/>
      <c r="DN6" s="62"/>
      <c r="ET6" s="64"/>
      <c r="EV6" s="143"/>
    </row>
    <row r="7" spans="1:159" s="61" customFormat="1" ht="13.5" customHeight="1" x14ac:dyDescent="0.15">
      <c r="A7" s="104" t="str">
        <f>J69</f>
        <v/>
      </c>
      <c r="D7" s="76"/>
      <c r="ET7" s="64"/>
      <c r="EV7" s="143"/>
    </row>
    <row r="8" spans="1:159" s="61" customFormat="1" ht="13.5" customHeight="1" x14ac:dyDescent="0.15">
      <c r="A8" s="104" t="str">
        <f>AX69</f>
        <v/>
      </c>
      <c r="D8" s="76"/>
      <c r="ET8" s="64"/>
      <c r="EV8" s="143"/>
    </row>
    <row r="9" spans="1:159" s="61" customFormat="1" ht="13.5" customHeight="1" x14ac:dyDescent="0.15">
      <c r="A9" s="104" t="str">
        <f>CL69</f>
        <v/>
      </c>
      <c r="D9" s="76"/>
      <c r="AX9" s="725" t="s">
        <v>112</v>
      </c>
      <c r="AY9" s="725"/>
      <c r="AZ9" s="725"/>
      <c r="BA9" s="725"/>
      <c r="BB9" s="725"/>
      <c r="BC9" s="725"/>
      <c r="BD9" s="725"/>
      <c r="BE9" s="725"/>
      <c r="BF9" s="734" t="str">
        <f>IF(L3="","",L3)</f>
        <v/>
      </c>
      <c r="BG9" s="734"/>
      <c r="BH9" s="734"/>
      <c r="BI9" s="734"/>
      <c r="BJ9" s="734"/>
      <c r="BK9" s="734"/>
      <c r="BL9" s="734"/>
      <c r="BM9" s="734"/>
      <c r="BN9" s="734"/>
      <c r="BO9" s="734"/>
      <c r="BP9" s="734"/>
      <c r="BQ9" s="734"/>
      <c r="BR9" s="734"/>
      <c r="BS9" s="734"/>
      <c r="BT9" s="734"/>
      <c r="BU9" s="734"/>
      <c r="BV9" s="734"/>
      <c r="BW9" s="734"/>
      <c r="BX9" s="734"/>
      <c r="BY9" s="734"/>
      <c r="BZ9" s="734"/>
      <c r="CA9" s="734"/>
      <c r="CB9" s="734"/>
      <c r="CC9" s="734"/>
      <c r="CD9" s="734"/>
      <c r="CE9" s="734"/>
      <c r="CF9" s="734"/>
      <c r="CG9" s="734"/>
      <c r="CH9" s="734"/>
      <c r="CI9" s="734"/>
      <c r="CJ9" s="734"/>
      <c r="CK9" s="734"/>
      <c r="CL9" s="734"/>
      <c r="CM9" s="734"/>
      <c r="CN9" s="734"/>
      <c r="CO9" s="734"/>
      <c r="CP9" s="734"/>
      <c r="CQ9" s="734"/>
      <c r="CR9" s="734"/>
      <c r="CS9" s="734"/>
      <c r="CT9" s="734"/>
      <c r="CU9" s="734"/>
      <c r="DS9" s="634" t="s">
        <v>113</v>
      </c>
      <c r="DT9" s="634"/>
      <c r="DU9" s="634"/>
      <c r="DV9" s="634"/>
      <c r="DW9" s="634"/>
      <c r="DX9" s="634"/>
      <c r="DY9" s="634"/>
      <c r="DZ9" s="634"/>
      <c r="EA9" s="634"/>
      <c r="EB9" s="634"/>
      <c r="EC9" s="634"/>
      <c r="ED9" s="634"/>
      <c r="EE9" s="634"/>
      <c r="EF9" s="634"/>
      <c r="ET9" s="64"/>
      <c r="EV9" s="143"/>
    </row>
    <row r="10" spans="1:159" s="61" customFormat="1" ht="13.5" customHeight="1" x14ac:dyDescent="0.15">
      <c r="A10" s="104" t="str">
        <f>DZ69</f>
        <v/>
      </c>
      <c r="D10" s="76"/>
      <c r="AX10" s="725"/>
      <c r="AY10" s="725"/>
      <c r="AZ10" s="725"/>
      <c r="BA10" s="725"/>
      <c r="BB10" s="725"/>
      <c r="BC10" s="725"/>
      <c r="BD10" s="725"/>
      <c r="BE10" s="725"/>
      <c r="BF10" s="735"/>
      <c r="BG10" s="735"/>
      <c r="BH10" s="735"/>
      <c r="BI10" s="735"/>
      <c r="BJ10" s="735"/>
      <c r="BK10" s="735"/>
      <c r="BL10" s="735"/>
      <c r="BM10" s="735"/>
      <c r="BN10" s="735"/>
      <c r="BO10" s="735"/>
      <c r="BP10" s="735"/>
      <c r="BQ10" s="735"/>
      <c r="BR10" s="735"/>
      <c r="BS10" s="735"/>
      <c r="BT10" s="735"/>
      <c r="BU10" s="735"/>
      <c r="BV10" s="735"/>
      <c r="BW10" s="735"/>
      <c r="BX10" s="735"/>
      <c r="BY10" s="735"/>
      <c r="BZ10" s="735"/>
      <c r="CA10" s="735"/>
      <c r="CB10" s="735"/>
      <c r="CC10" s="735"/>
      <c r="CD10" s="735"/>
      <c r="CE10" s="735"/>
      <c r="CF10" s="735"/>
      <c r="CG10" s="735"/>
      <c r="CH10" s="735"/>
      <c r="CI10" s="735"/>
      <c r="CJ10" s="735"/>
      <c r="CK10" s="735"/>
      <c r="CL10" s="735"/>
      <c r="CM10" s="735"/>
      <c r="CN10" s="735"/>
      <c r="CO10" s="735"/>
      <c r="CP10" s="735"/>
      <c r="CQ10" s="735"/>
      <c r="CR10" s="735"/>
      <c r="CS10" s="735"/>
      <c r="CT10" s="735"/>
      <c r="CU10" s="735"/>
      <c r="ET10" s="64"/>
      <c r="EV10" s="144" t="s">
        <v>116</v>
      </c>
    </row>
    <row r="11" spans="1:159" s="61" customFormat="1" ht="13.5" customHeight="1" x14ac:dyDescent="0.15">
      <c r="A11" s="104"/>
      <c r="D11" s="76"/>
      <c r="BZ11" s="699"/>
      <c r="DX11" s="634" t="str">
        <f>IF(DZ13=EF13,"",IF(DZ13&gt;EF13,DS21,EG21))</f>
        <v/>
      </c>
      <c r="DY11" s="634"/>
      <c r="DZ11" s="634"/>
      <c r="EA11" s="634"/>
      <c r="EB11" s="634"/>
      <c r="EC11" s="634"/>
      <c r="ED11" s="634"/>
      <c r="EE11" s="634"/>
      <c r="EF11" s="634"/>
      <c r="EG11" s="634"/>
      <c r="EH11" s="634"/>
      <c r="EI11" s="634"/>
      <c r="EJ11" s="634"/>
      <c r="EK11" s="634"/>
      <c r="ET11" s="64"/>
      <c r="EV11" s="143"/>
    </row>
    <row r="12" spans="1:159" s="61" customFormat="1" ht="13.5" customHeight="1" x14ac:dyDescent="0.15">
      <c r="A12" s="104"/>
      <c r="D12" s="76"/>
      <c r="BV12" s="695" t="str">
        <f>IF(BV15="","",SUM(BV15:BY20))</f>
        <v/>
      </c>
      <c r="BW12" s="695"/>
      <c r="BX12" s="695"/>
      <c r="BY12" s="695"/>
      <c r="BZ12" s="699"/>
      <c r="CB12" s="696" t="str">
        <f>IF(CB15="","",SUM(CB15:CE20))</f>
        <v/>
      </c>
      <c r="CC12" s="696"/>
      <c r="CD12" s="696"/>
      <c r="CE12" s="696"/>
      <c r="DQ12" s="90"/>
      <c r="DR12" s="90"/>
      <c r="DS12" s="90"/>
      <c r="DT12" s="90"/>
      <c r="DU12" s="90"/>
      <c r="DV12" s="90"/>
      <c r="DW12" s="90"/>
      <c r="DX12" s="90"/>
      <c r="DY12" s="90"/>
      <c r="DZ12" s="695" t="str">
        <f>IF(DZ15="","",SUM(DZ15:EC18))</f>
        <v/>
      </c>
      <c r="EA12" s="695"/>
      <c r="EB12" s="695"/>
      <c r="EC12" s="695"/>
      <c r="ED12" s="728"/>
      <c r="EE12" s="90"/>
      <c r="EF12" s="696" t="str">
        <f>IF(EF15="","",SUM(EF15:EI18))</f>
        <v/>
      </c>
      <c r="EG12" s="696"/>
      <c r="EH12" s="696"/>
      <c r="EI12" s="696"/>
      <c r="EJ12" s="90"/>
      <c r="EK12" s="90"/>
      <c r="EL12" s="90"/>
      <c r="EM12" s="90"/>
      <c r="EN12" s="90"/>
      <c r="EO12" s="90"/>
      <c r="EP12" s="90"/>
      <c r="EQ12" s="90"/>
      <c r="ET12" s="64"/>
      <c r="EV12" s="143"/>
    </row>
    <row r="13" spans="1:159" s="90" customFormat="1" ht="13.5" hidden="1" customHeight="1" x14ac:dyDescent="0.15">
      <c r="A13" s="107"/>
      <c r="D13" s="92"/>
      <c r="BV13" s="698">
        <f>SUM(BV15:BY21)</f>
        <v>0</v>
      </c>
      <c r="BW13" s="698"/>
      <c r="BX13" s="698"/>
      <c r="BY13" s="698"/>
      <c r="BZ13" s="699"/>
      <c r="CB13" s="697">
        <f>SUM(CB15:CE21)</f>
        <v>0</v>
      </c>
      <c r="CC13" s="697"/>
      <c r="CD13" s="697"/>
      <c r="CE13" s="697"/>
      <c r="DQ13" s="61"/>
      <c r="DR13" s="61"/>
      <c r="DS13" s="61"/>
      <c r="DT13" s="61"/>
      <c r="DU13" s="61"/>
      <c r="DV13" s="61"/>
      <c r="DW13" s="61"/>
      <c r="DX13" s="61"/>
      <c r="DY13" s="61"/>
      <c r="DZ13" s="698">
        <f>SUM(DZ15:EC19)</f>
        <v>0</v>
      </c>
      <c r="EA13" s="698"/>
      <c r="EB13" s="698"/>
      <c r="EC13" s="698"/>
      <c r="ED13" s="728"/>
      <c r="EE13" s="61"/>
      <c r="EF13" s="697">
        <f>SUM(EF15:EI19)</f>
        <v>0</v>
      </c>
      <c r="EG13" s="697"/>
      <c r="EH13" s="697"/>
      <c r="EI13" s="697"/>
      <c r="EJ13" s="61"/>
      <c r="EK13" s="61"/>
      <c r="EL13" s="61"/>
      <c r="EM13" s="61"/>
      <c r="EN13" s="61"/>
      <c r="EO13" s="61"/>
      <c r="EP13" s="61"/>
      <c r="EQ13" s="61"/>
      <c r="ET13" s="89"/>
      <c r="EV13" s="145"/>
    </row>
    <row r="14" spans="1:159" s="61" customFormat="1" ht="3.75" customHeight="1" thickBot="1" x14ac:dyDescent="0.2">
      <c r="A14" s="104"/>
      <c r="D14" s="76"/>
      <c r="AN14" s="713"/>
      <c r="AO14" s="713"/>
      <c r="AP14" s="713"/>
      <c r="AQ14" s="713"/>
      <c r="AR14" s="713"/>
      <c r="AS14" s="713"/>
      <c r="AT14" s="713"/>
      <c r="AU14" s="713"/>
      <c r="AV14" s="713"/>
      <c r="AW14" s="713"/>
      <c r="AX14" s="713"/>
      <c r="AY14" s="713"/>
      <c r="AZ14" s="713"/>
      <c r="BA14" s="713"/>
      <c r="BB14" s="713"/>
      <c r="BC14" s="713"/>
      <c r="BD14" s="713"/>
      <c r="BE14" s="713"/>
      <c r="BF14" s="713"/>
      <c r="BG14" s="713"/>
      <c r="BH14" s="713"/>
      <c r="BI14" s="713"/>
      <c r="BJ14" s="713"/>
      <c r="BK14" s="713"/>
      <c r="BL14" s="713"/>
      <c r="BM14" s="713"/>
      <c r="BN14" s="713"/>
      <c r="BO14" s="713"/>
      <c r="BP14" s="713"/>
      <c r="BQ14" s="713"/>
      <c r="BR14" s="713"/>
      <c r="BS14" s="713"/>
      <c r="BT14" s="713"/>
      <c r="BU14" s="713"/>
      <c r="BV14" s="713"/>
      <c r="BW14" s="713"/>
      <c r="BX14" s="713"/>
      <c r="BY14" s="713"/>
      <c r="BZ14" s="713"/>
      <c r="CA14" s="737"/>
      <c r="CB14" s="738"/>
      <c r="CC14" s="738"/>
      <c r="CD14" s="738"/>
      <c r="CE14" s="738"/>
      <c r="CF14" s="738"/>
      <c r="CG14" s="738"/>
      <c r="CH14" s="738"/>
      <c r="CI14" s="738"/>
      <c r="CJ14" s="738"/>
      <c r="CK14" s="738"/>
      <c r="CL14" s="738"/>
      <c r="CM14" s="738"/>
      <c r="CN14" s="738"/>
      <c r="CO14" s="738"/>
      <c r="CP14" s="738"/>
      <c r="CQ14" s="738"/>
      <c r="CR14" s="738"/>
      <c r="CS14" s="738"/>
      <c r="CT14" s="738"/>
      <c r="CU14" s="738"/>
      <c r="CV14" s="738"/>
      <c r="CW14" s="738"/>
      <c r="CX14" s="738"/>
      <c r="CY14" s="738"/>
      <c r="CZ14" s="738"/>
      <c r="DA14" s="738"/>
      <c r="DB14" s="738"/>
      <c r="DC14" s="738"/>
      <c r="DD14" s="738"/>
      <c r="DE14" s="738"/>
      <c r="DF14" s="738"/>
      <c r="DG14" s="738"/>
      <c r="DH14" s="738"/>
      <c r="DI14" s="738"/>
      <c r="DJ14" s="738"/>
      <c r="DK14" s="31"/>
      <c r="DL14" s="31"/>
      <c r="DM14" s="31"/>
      <c r="DX14" s="713"/>
      <c r="DY14" s="713"/>
      <c r="DZ14" s="713"/>
      <c r="EA14" s="713"/>
      <c r="EB14" s="713"/>
      <c r="EC14" s="713"/>
      <c r="ED14" s="729"/>
      <c r="EE14" s="713"/>
      <c r="EF14" s="713"/>
      <c r="EG14" s="713"/>
      <c r="EH14" s="713"/>
      <c r="EI14" s="713"/>
      <c r="EJ14" s="713"/>
      <c r="EK14" s="713"/>
      <c r="ET14" s="64"/>
      <c r="EV14" s="143"/>
    </row>
    <row r="15" spans="1:159" s="61" customFormat="1" ht="13.5" customHeight="1" thickTop="1" x14ac:dyDescent="0.15">
      <c r="A15" s="104"/>
      <c r="D15" s="76"/>
      <c r="AI15" s="703" t="str">
        <f>IF(AI24=AO24,"",IF(AI24&gt;AO24,N26,BJ26))</f>
        <v/>
      </c>
      <c r="AJ15" s="703"/>
      <c r="AK15" s="703"/>
      <c r="AL15" s="703"/>
      <c r="AM15" s="699"/>
      <c r="BV15" s="695"/>
      <c r="BW15" s="695"/>
      <c r="BX15" s="695"/>
      <c r="BY15" s="695"/>
      <c r="BZ15" s="634"/>
      <c r="CA15" s="634"/>
      <c r="CB15" s="696"/>
      <c r="CC15" s="696"/>
      <c r="CD15" s="696"/>
      <c r="CE15" s="696"/>
      <c r="DK15" s="221"/>
      <c r="DN15" s="634"/>
      <c r="DO15" s="714" t="str">
        <f>IF(DI24=DO24,"",IF(DI24&gt;DO24,CN26,ED26))</f>
        <v/>
      </c>
      <c r="DP15" s="714"/>
      <c r="DW15" s="699"/>
      <c r="DZ15" s="695"/>
      <c r="EA15" s="695"/>
      <c r="EB15" s="695"/>
      <c r="EC15" s="695"/>
      <c r="ED15" s="618"/>
      <c r="EE15" s="618"/>
      <c r="EF15" s="696"/>
      <c r="EG15" s="696"/>
      <c r="EH15" s="696"/>
      <c r="EI15" s="696"/>
      <c r="EL15" s="686"/>
      <c r="ET15" s="64"/>
      <c r="EV15" s="146">
        <v>0.375</v>
      </c>
    </row>
    <row r="16" spans="1:159" s="61" customFormat="1" ht="13.5" customHeight="1" x14ac:dyDescent="0.15">
      <c r="A16" s="104"/>
      <c r="D16" s="76"/>
      <c r="AI16" s="703"/>
      <c r="AJ16" s="703"/>
      <c r="AK16" s="703"/>
      <c r="AL16" s="703"/>
      <c r="AM16" s="699"/>
      <c r="AO16" s="31"/>
      <c r="AP16" s="31"/>
      <c r="AQ16" s="31"/>
      <c r="AR16" s="31"/>
      <c r="AS16" s="31"/>
      <c r="AT16" s="31"/>
      <c r="AU16" s="31"/>
      <c r="AV16" s="31"/>
      <c r="AW16" s="31"/>
      <c r="AX16" s="31"/>
      <c r="AY16" s="31"/>
      <c r="AZ16" s="31"/>
      <c r="BA16" s="31"/>
      <c r="BB16" s="31"/>
      <c r="BC16" s="31"/>
      <c r="BD16" s="31"/>
      <c r="BE16" s="31"/>
      <c r="BF16" s="31"/>
      <c r="BG16" s="31"/>
      <c r="BH16" s="31"/>
      <c r="BI16" s="634" t="str">
        <f>EV10</f>
        <v>金沢市民サッカー場</v>
      </c>
      <c r="BJ16" s="634"/>
      <c r="BK16" s="634"/>
      <c r="BL16" s="634"/>
      <c r="BM16" s="634"/>
      <c r="BN16" s="634"/>
      <c r="BO16" s="634"/>
      <c r="BP16" s="634"/>
      <c r="BQ16" s="634"/>
      <c r="BR16" s="634"/>
      <c r="BS16" s="634"/>
      <c r="BT16" s="634"/>
      <c r="BU16" s="634"/>
      <c r="BV16" s="634"/>
      <c r="BW16" s="634"/>
      <c r="BX16" s="634"/>
      <c r="BY16" s="634"/>
      <c r="BZ16" s="634"/>
      <c r="CA16" s="634"/>
      <c r="CB16" s="634"/>
      <c r="CC16" s="634"/>
      <c r="CD16" s="634"/>
      <c r="CE16" s="634"/>
      <c r="CF16" s="634"/>
      <c r="CG16" s="634"/>
      <c r="CH16" s="634"/>
      <c r="CI16" s="634"/>
      <c r="CJ16" s="634"/>
      <c r="CK16" s="634"/>
      <c r="CL16" s="634"/>
      <c r="CM16" s="634"/>
      <c r="CN16" s="634"/>
      <c r="CO16" s="634"/>
      <c r="CP16" s="634"/>
      <c r="CQ16" s="634"/>
      <c r="CR16" s="634"/>
      <c r="CS16" s="31"/>
      <c r="CT16" s="31"/>
      <c r="CU16" s="31"/>
      <c r="CV16" s="31"/>
      <c r="CW16" s="31"/>
      <c r="CX16" s="31"/>
      <c r="CY16" s="31"/>
      <c r="CZ16" s="31"/>
      <c r="DA16" s="31"/>
      <c r="DB16" s="31"/>
      <c r="DC16" s="31"/>
      <c r="DD16" s="31"/>
      <c r="DE16" s="31"/>
      <c r="DF16" s="31"/>
      <c r="DG16" s="31"/>
      <c r="DH16" s="31"/>
      <c r="DI16" s="31"/>
      <c r="DJ16" s="31"/>
      <c r="DK16" s="77"/>
      <c r="DL16" s="31"/>
      <c r="DN16" s="634"/>
      <c r="DO16" s="714"/>
      <c r="DP16" s="714"/>
      <c r="DW16" s="699"/>
      <c r="DY16" s="634" t="s">
        <v>117</v>
      </c>
      <c r="DZ16" s="634"/>
      <c r="EA16" s="634"/>
      <c r="EB16" s="634"/>
      <c r="EC16" s="634"/>
      <c r="ED16" s="634"/>
      <c r="EE16" s="634"/>
      <c r="EF16" s="634"/>
      <c r="EG16" s="634"/>
      <c r="EH16" s="634"/>
      <c r="EI16" s="634"/>
      <c r="EJ16" s="634"/>
      <c r="EL16" s="686"/>
      <c r="ET16" s="64"/>
      <c r="EV16" s="146">
        <v>0.43055555555555558</v>
      </c>
    </row>
    <row r="17" spans="1:152" s="61" customFormat="1" ht="13.5" customHeight="1" x14ac:dyDescent="0.15">
      <c r="A17" s="104"/>
      <c r="D17" s="76"/>
      <c r="AI17" s="703"/>
      <c r="AJ17" s="703"/>
      <c r="AK17" s="703"/>
      <c r="AL17" s="703"/>
      <c r="AM17" s="699"/>
      <c r="BV17" s="31"/>
      <c r="BW17" s="31"/>
      <c r="BX17" s="31"/>
      <c r="BY17" s="31"/>
      <c r="BZ17" s="118"/>
      <c r="CA17" s="118"/>
      <c r="CB17" s="31"/>
      <c r="CC17" s="31"/>
      <c r="CD17" s="31"/>
      <c r="CE17" s="31"/>
      <c r="DK17" s="221"/>
      <c r="DN17" s="634"/>
      <c r="DO17" s="714"/>
      <c r="DP17" s="714"/>
      <c r="DW17" s="699"/>
      <c r="DZ17" s="695"/>
      <c r="EA17" s="695"/>
      <c r="EB17" s="695"/>
      <c r="EC17" s="695"/>
      <c r="ED17" s="634" t="str">
        <f>IF(DZ17="","","－")</f>
        <v/>
      </c>
      <c r="EE17" s="634"/>
      <c r="EF17" s="696"/>
      <c r="EG17" s="696"/>
      <c r="EH17" s="696"/>
      <c r="EI17" s="696"/>
      <c r="EL17" s="686"/>
      <c r="ET17" s="64"/>
      <c r="EV17" s="146">
        <v>0.4861111111111111</v>
      </c>
    </row>
    <row r="18" spans="1:152" s="61" customFormat="1" ht="13.5" customHeight="1" x14ac:dyDescent="0.15">
      <c r="A18" s="104"/>
      <c r="D18" s="76"/>
      <c r="AI18" s="703"/>
      <c r="AJ18" s="703"/>
      <c r="AK18" s="703"/>
      <c r="AL18" s="703"/>
      <c r="AM18" s="699"/>
      <c r="AO18" s="248"/>
      <c r="AP18" s="31"/>
      <c r="AQ18" s="31"/>
      <c r="AR18" s="31"/>
      <c r="AS18" s="31"/>
      <c r="AT18" s="31"/>
      <c r="AU18" s="31"/>
      <c r="AV18" s="31"/>
      <c r="AW18" s="31"/>
      <c r="AX18" s="31"/>
      <c r="AY18" s="31"/>
      <c r="AZ18" s="31"/>
      <c r="BA18" s="31"/>
      <c r="BB18" s="31"/>
      <c r="BC18" s="31"/>
      <c r="BD18" s="31"/>
      <c r="BE18" s="31"/>
      <c r="BF18" s="31"/>
      <c r="BG18" s="31"/>
      <c r="BH18" s="31"/>
      <c r="BI18" s="739">
        <v>0.5625</v>
      </c>
      <c r="BJ18" s="739"/>
      <c r="BK18" s="739"/>
      <c r="BL18" s="739"/>
      <c r="BM18" s="739"/>
      <c r="BN18" s="739"/>
      <c r="BO18" s="739"/>
      <c r="BP18" s="739"/>
      <c r="BQ18" s="739"/>
      <c r="BR18" s="739"/>
      <c r="BS18" s="739"/>
      <c r="BT18" s="739"/>
      <c r="BU18" s="739"/>
      <c r="BV18" s="739"/>
      <c r="BW18" s="739"/>
      <c r="BX18" s="739"/>
      <c r="BY18" s="739"/>
      <c r="BZ18" s="739"/>
      <c r="CA18" s="739"/>
      <c r="CB18" s="739"/>
      <c r="CC18" s="739"/>
      <c r="CD18" s="739"/>
      <c r="CE18" s="739"/>
      <c r="CF18" s="739"/>
      <c r="CG18" s="739"/>
      <c r="CH18" s="739"/>
      <c r="CI18" s="739"/>
      <c r="CJ18" s="739"/>
      <c r="CK18" s="739"/>
      <c r="CL18" s="739"/>
      <c r="CM18" s="739"/>
      <c r="CN18" s="739"/>
      <c r="CO18" s="739"/>
      <c r="CP18" s="739"/>
      <c r="CQ18" s="739"/>
      <c r="CR18" s="739"/>
      <c r="CS18" s="31"/>
      <c r="CT18" s="31"/>
      <c r="CU18" s="31"/>
      <c r="CV18" s="31"/>
      <c r="CW18" s="31"/>
      <c r="CX18" s="31"/>
      <c r="CY18" s="31"/>
      <c r="CZ18" s="31"/>
      <c r="DA18" s="31"/>
      <c r="DB18" s="31"/>
      <c r="DC18" s="31"/>
      <c r="DD18" s="31"/>
      <c r="DE18" s="31"/>
      <c r="DF18" s="31"/>
      <c r="DG18" s="31"/>
      <c r="DH18" s="31"/>
      <c r="DI18" s="31"/>
      <c r="DJ18" s="31"/>
      <c r="DK18" s="77"/>
      <c r="DL18" s="31"/>
      <c r="DN18" s="634"/>
      <c r="DO18" s="714"/>
      <c r="DP18" s="714"/>
      <c r="DW18" s="699"/>
      <c r="DY18" s="739"/>
      <c r="DZ18" s="739"/>
      <c r="EA18" s="739"/>
      <c r="EB18" s="739"/>
      <c r="EC18" s="739"/>
      <c r="ED18" s="739"/>
      <c r="EE18" s="739"/>
      <c r="EF18" s="739"/>
      <c r="EG18" s="739"/>
      <c r="EH18" s="739"/>
      <c r="EI18" s="739"/>
      <c r="EJ18" s="739"/>
      <c r="EL18" s="686"/>
      <c r="ET18" s="64"/>
      <c r="EV18" s="146">
        <v>0.54166666666666663</v>
      </c>
    </row>
    <row r="19" spans="1:152" s="61" customFormat="1" ht="13.5" customHeight="1" x14ac:dyDescent="0.15">
      <c r="A19" s="147">
        <f ca="1">DATE(EU3,EV3,INDEX($EW$3:$FC$3,1,MATCH("○",$EW$4:$FC$4,0)))</f>
        <v>45460</v>
      </c>
      <c r="D19" s="76"/>
      <c r="AI19" s="703"/>
      <c r="AJ19" s="703"/>
      <c r="AK19" s="703"/>
      <c r="AL19" s="703"/>
      <c r="AM19" s="699"/>
      <c r="BV19" s="695"/>
      <c r="BW19" s="695"/>
      <c r="BX19" s="695"/>
      <c r="BY19" s="695"/>
      <c r="BZ19" s="618"/>
      <c r="CA19" s="618"/>
      <c r="CB19" s="696"/>
      <c r="CC19" s="696"/>
      <c r="CD19" s="696"/>
      <c r="CE19" s="696"/>
      <c r="DK19" s="221"/>
      <c r="DN19" s="634"/>
      <c r="DO19" s="714"/>
      <c r="DP19" s="714"/>
      <c r="DW19" s="699"/>
      <c r="DZ19" s="695"/>
      <c r="EA19" s="695"/>
      <c r="EB19" s="695"/>
      <c r="EC19" s="695"/>
      <c r="ED19" s="618" t="str">
        <f>IF(DZ19="","","－")</f>
        <v/>
      </c>
      <c r="EE19" s="618"/>
      <c r="EF19" s="696"/>
      <c r="EG19" s="696"/>
      <c r="EH19" s="696"/>
      <c r="EI19" s="696"/>
      <c r="EL19" s="686"/>
      <c r="ET19" s="64"/>
      <c r="EV19" s="146">
        <v>0.59722222222222221</v>
      </c>
    </row>
    <row r="20" spans="1:152" s="61" customFormat="1" ht="13.5" customHeight="1" x14ac:dyDescent="0.15">
      <c r="A20" s="148" t="str">
        <f ca="1">"("&amp;CHOOSE(WEEKDAY(A19),"日","月","火","水","木","金","土")&amp;")"</f>
        <v>(月)</v>
      </c>
      <c r="D20" s="76"/>
      <c r="AM20" s="699"/>
      <c r="BV20" s="695"/>
      <c r="BW20" s="695"/>
      <c r="BX20" s="695"/>
      <c r="BY20" s="695"/>
      <c r="BZ20" s="618"/>
      <c r="CA20" s="618"/>
      <c r="CB20" s="696"/>
      <c r="CC20" s="696"/>
      <c r="CD20" s="696"/>
      <c r="CE20" s="696"/>
      <c r="DK20" s="221"/>
      <c r="DN20" s="634"/>
      <c r="DW20" s="699"/>
      <c r="EC20" s="634" t="str">
        <f>IF(DZ19="","","PK")</f>
        <v/>
      </c>
      <c r="ED20" s="634"/>
      <c r="EE20" s="634"/>
      <c r="EF20" s="634"/>
      <c r="EL20" s="686"/>
      <c r="ET20" s="64"/>
      <c r="EV20" s="146">
        <v>0.65277777777777779</v>
      </c>
    </row>
    <row r="21" spans="1:152" s="61" customFormat="1" ht="13.5" customHeight="1" x14ac:dyDescent="0.15">
      <c r="A21" s="104"/>
      <c r="D21" s="76"/>
      <c r="AM21" s="699"/>
      <c r="BV21" s="695"/>
      <c r="BW21" s="695"/>
      <c r="BX21" s="695"/>
      <c r="BY21" s="695"/>
      <c r="BZ21" s="618"/>
      <c r="CA21" s="618"/>
      <c r="CB21" s="696"/>
      <c r="CC21" s="696"/>
      <c r="CD21" s="696"/>
      <c r="CE21" s="696"/>
      <c r="DK21" s="221"/>
      <c r="DN21" s="634"/>
      <c r="DS21" s="634" t="str">
        <f>IF(AI24=AO24,"",IF(AI24&gt;AO24,BJ26,N26))</f>
        <v/>
      </c>
      <c r="DT21" s="634"/>
      <c r="DU21" s="634"/>
      <c r="DV21" s="634"/>
      <c r="DW21" s="634"/>
      <c r="DX21" s="634"/>
      <c r="DY21" s="634"/>
      <c r="DZ21" s="634"/>
      <c r="EA21" s="634"/>
      <c r="EB21" s="634"/>
      <c r="EG21" s="634" t="str">
        <f>IF(DI24=DO24,"",IF(DI24&gt;DO24,ED26,CN26))</f>
        <v/>
      </c>
      <c r="EH21" s="634"/>
      <c r="EI21" s="634"/>
      <c r="EJ21" s="634"/>
      <c r="EK21" s="634"/>
      <c r="EL21" s="634"/>
      <c r="EM21" s="634"/>
      <c r="EN21" s="634"/>
      <c r="EO21" s="634"/>
      <c r="EP21" s="634"/>
      <c r="ET21" s="64"/>
      <c r="EV21" s="146">
        <v>0.3611111111111111</v>
      </c>
    </row>
    <row r="22" spans="1:152" s="61" customFormat="1" ht="13.5" customHeight="1" x14ac:dyDescent="0.15">
      <c r="A22" s="104"/>
      <c r="D22" s="76"/>
      <c r="AM22" s="699"/>
      <c r="BY22" s="634"/>
      <c r="BZ22" s="634"/>
      <c r="CA22" s="634"/>
      <c r="CB22" s="634"/>
      <c r="DK22" s="221"/>
      <c r="DN22" s="634"/>
      <c r="ET22" s="64"/>
      <c r="EV22" s="149">
        <v>0.41666666666666669</v>
      </c>
    </row>
    <row r="23" spans="1:152" s="61" customFormat="1" ht="13.5" customHeight="1" x14ac:dyDescent="0.15">
      <c r="A23" s="104"/>
      <c r="D23" s="76"/>
      <c r="S23" s="742"/>
      <c r="T23" s="742"/>
      <c r="U23" s="742"/>
      <c r="V23" s="742"/>
      <c r="AI23" s="695" t="str">
        <f>IF(AI26="","",SUM(AI26:AL29))</f>
        <v/>
      </c>
      <c r="AJ23" s="695"/>
      <c r="AK23" s="695"/>
      <c r="AL23" s="695"/>
      <c r="AM23" s="699"/>
      <c r="AO23" s="696" t="str">
        <f>IF(AO26="","",SUM(AO26:AP29))</f>
        <v/>
      </c>
      <c r="AP23" s="696"/>
      <c r="AQ23" s="696"/>
      <c r="AR23" s="696"/>
      <c r="BE23" s="743"/>
      <c r="BF23" s="743"/>
      <c r="BG23" s="743"/>
      <c r="BH23" s="743"/>
      <c r="CS23" s="742"/>
      <c r="CT23" s="742"/>
      <c r="CU23" s="742"/>
      <c r="CV23" s="742"/>
      <c r="DI23" s="31" t="str">
        <f>IF(DI26="","",SUM(DI26:DL29))</f>
        <v/>
      </c>
      <c r="DJ23" s="31"/>
      <c r="DK23" s="77"/>
      <c r="DL23" s="31"/>
      <c r="DN23" s="634"/>
      <c r="DO23" s="696" t="str">
        <f>IF(DO26="","",SUM(DO26:DP29))</f>
        <v/>
      </c>
      <c r="DP23" s="696"/>
      <c r="DY23" s="743"/>
      <c r="DZ23" s="743"/>
      <c r="EA23" s="743"/>
      <c r="EB23" s="743"/>
      <c r="ET23" s="64"/>
      <c r="EV23" s="149">
        <v>0.47222222222222227</v>
      </c>
    </row>
    <row r="24" spans="1:152" s="90" customFormat="1" ht="13.5" hidden="1" customHeight="1" x14ac:dyDescent="0.15">
      <c r="A24" s="107"/>
      <c r="D24" s="92"/>
      <c r="AI24" s="698">
        <f>SUM(AI26:AL30)</f>
        <v>0</v>
      </c>
      <c r="AJ24" s="698"/>
      <c r="AK24" s="698"/>
      <c r="AL24" s="698"/>
      <c r="AM24" s="699"/>
      <c r="AO24" s="697">
        <f>SUM(AO26:AP30)</f>
        <v>0</v>
      </c>
      <c r="AP24" s="697"/>
      <c r="AQ24" s="697"/>
      <c r="AR24" s="697"/>
      <c r="DI24" s="88">
        <f>SUM(DI26:DL30)</f>
        <v>0</v>
      </c>
      <c r="DJ24" s="88"/>
      <c r="DK24" s="249"/>
      <c r="DL24" s="88"/>
      <c r="DN24" s="634"/>
      <c r="DO24" s="697">
        <f>SUM(DO26:DP30)</f>
        <v>0</v>
      </c>
      <c r="DP24" s="697"/>
      <c r="ET24" s="89"/>
      <c r="EV24" s="145"/>
    </row>
    <row r="25" spans="1:152" s="61" customFormat="1" ht="3.75" customHeight="1" x14ac:dyDescent="0.15">
      <c r="A25" s="104"/>
      <c r="D25" s="76"/>
      <c r="S25" s="634"/>
      <c r="T25" s="634"/>
      <c r="U25" s="634"/>
      <c r="V25" s="634"/>
      <c r="W25" s="634"/>
      <c r="X25" s="634"/>
      <c r="Y25" s="634"/>
      <c r="Z25" s="634"/>
      <c r="AA25" s="634"/>
      <c r="AB25" s="634"/>
      <c r="AC25" s="634"/>
      <c r="AD25" s="634"/>
      <c r="AE25" s="634"/>
      <c r="AF25" s="634"/>
      <c r="AG25" s="634"/>
      <c r="AH25" s="634"/>
      <c r="AI25" s="634"/>
      <c r="AJ25" s="634"/>
      <c r="AK25" s="634"/>
      <c r="AL25" s="634"/>
      <c r="AM25" s="699"/>
      <c r="AN25" s="634"/>
      <c r="AO25" s="634"/>
      <c r="AP25" s="634"/>
      <c r="AQ25" s="634"/>
      <c r="AR25" s="634"/>
      <c r="AS25" s="634"/>
      <c r="AT25" s="634"/>
      <c r="AU25" s="634"/>
      <c r="AV25" s="634"/>
      <c r="AW25" s="634"/>
      <c r="AX25" s="634"/>
      <c r="AY25" s="634"/>
      <c r="AZ25" s="634"/>
      <c r="BA25" s="634"/>
      <c r="BB25" s="634"/>
      <c r="BC25" s="634"/>
      <c r="BD25" s="634"/>
      <c r="BE25" s="634"/>
      <c r="BF25" s="634"/>
      <c r="BG25" s="634"/>
      <c r="BH25" s="634"/>
      <c r="CS25" s="31"/>
      <c r="CT25" s="31"/>
      <c r="CU25" s="31"/>
      <c r="CV25" s="31"/>
      <c r="CW25" s="31"/>
      <c r="CX25" s="31"/>
      <c r="CY25" s="31"/>
      <c r="CZ25" s="31"/>
      <c r="DA25" s="31"/>
      <c r="DB25" s="31"/>
      <c r="DC25" s="31"/>
      <c r="DD25" s="31"/>
      <c r="DE25" s="31"/>
      <c r="DF25" s="31"/>
      <c r="DG25" s="31"/>
      <c r="DH25" s="31"/>
      <c r="DI25" s="31"/>
      <c r="DJ25" s="31"/>
      <c r="DK25" s="79"/>
      <c r="DL25" s="80"/>
      <c r="DM25" s="80"/>
      <c r="DN25" s="634"/>
      <c r="DO25" s="634"/>
      <c r="DP25" s="634"/>
      <c r="DQ25" s="634"/>
      <c r="DR25" s="634"/>
      <c r="DS25" s="634"/>
      <c r="DT25" s="634"/>
      <c r="DU25" s="634"/>
      <c r="DV25" s="634"/>
      <c r="DW25" s="634"/>
      <c r="DX25" s="634"/>
      <c r="DY25" s="634"/>
      <c r="DZ25" s="634"/>
      <c r="EA25" s="634"/>
      <c r="EB25" s="634"/>
      <c r="ET25" s="64"/>
      <c r="EV25" s="149">
        <v>0.52777777777777779</v>
      </c>
    </row>
    <row r="26" spans="1:152" s="61" customFormat="1" ht="13.5" customHeight="1" x14ac:dyDescent="0.15">
      <c r="A26" s="104"/>
      <c r="D26" s="76"/>
      <c r="N26" s="703"/>
      <c r="O26" s="703"/>
      <c r="P26" s="703"/>
      <c r="Q26" s="703"/>
      <c r="R26" s="634"/>
      <c r="S26" s="150"/>
      <c r="T26" s="75"/>
      <c r="U26" s="75"/>
      <c r="V26" s="75"/>
      <c r="W26" s="75"/>
      <c r="X26" s="75"/>
      <c r="Y26" s="75"/>
      <c r="Z26" s="75"/>
      <c r="AA26" s="75"/>
      <c r="AB26" s="75"/>
      <c r="AC26" s="75"/>
      <c r="AD26" s="75"/>
      <c r="AE26" s="75"/>
      <c r="AF26" s="75"/>
      <c r="AG26" s="75"/>
      <c r="AH26" s="75"/>
      <c r="AI26" s="744"/>
      <c r="AJ26" s="744"/>
      <c r="AK26" s="744"/>
      <c r="AL26" s="744"/>
      <c r="AM26" s="611"/>
      <c r="AN26" s="611"/>
      <c r="AO26" s="745"/>
      <c r="AP26" s="745"/>
      <c r="AQ26" s="745"/>
      <c r="AR26" s="745"/>
      <c r="AS26" s="75"/>
      <c r="AT26" s="75"/>
      <c r="AU26" s="75"/>
      <c r="AV26" s="75"/>
      <c r="AW26" s="75"/>
      <c r="AX26" s="75"/>
      <c r="AY26" s="75"/>
      <c r="AZ26" s="75"/>
      <c r="BA26" s="75"/>
      <c r="BB26" s="75"/>
      <c r="BC26" s="75"/>
      <c r="BD26" s="75"/>
      <c r="BE26" s="75"/>
      <c r="BF26" s="75"/>
      <c r="BG26" s="75"/>
      <c r="BH26" s="151"/>
      <c r="BI26" s="634"/>
      <c r="BJ26" s="714"/>
      <c r="BK26" s="714"/>
      <c r="BL26" s="714"/>
      <c r="BM26" s="714"/>
      <c r="CN26" s="703"/>
      <c r="CO26" s="703"/>
      <c r="CP26" s="703"/>
      <c r="CQ26" s="703"/>
      <c r="CR26" s="634"/>
      <c r="CS26" s="150"/>
      <c r="CT26" s="75"/>
      <c r="CU26" s="75"/>
      <c r="CV26" s="75"/>
      <c r="CW26" s="75"/>
      <c r="CX26" s="75"/>
      <c r="CY26" s="75"/>
      <c r="CZ26" s="75"/>
      <c r="DA26" s="75"/>
      <c r="DB26" s="75"/>
      <c r="DC26" s="75"/>
      <c r="DD26" s="75"/>
      <c r="DE26" s="75"/>
      <c r="DF26" s="75"/>
      <c r="DG26" s="75"/>
      <c r="DH26" s="75"/>
      <c r="DI26" s="744"/>
      <c r="DJ26" s="744"/>
      <c r="DK26" s="744"/>
      <c r="DL26" s="744"/>
      <c r="DM26" s="611"/>
      <c r="DN26" s="611"/>
      <c r="DO26" s="745"/>
      <c r="DP26" s="745"/>
      <c r="DQ26" s="75"/>
      <c r="DR26" s="75"/>
      <c r="DS26" s="75"/>
      <c r="DT26" s="75"/>
      <c r="DU26" s="75"/>
      <c r="DV26" s="75"/>
      <c r="DW26" s="75"/>
      <c r="DX26" s="75"/>
      <c r="DY26" s="75"/>
      <c r="DZ26" s="75"/>
      <c r="EA26" s="75"/>
      <c r="EB26" s="151"/>
      <c r="EC26" s="634"/>
      <c r="ED26" s="714"/>
      <c r="EE26" s="714"/>
      <c r="EF26" s="714"/>
      <c r="EG26" s="714"/>
      <c r="ET26" s="64"/>
      <c r="EV26" s="149">
        <v>0.58333333333333337</v>
      </c>
    </row>
    <row r="27" spans="1:152" s="61" customFormat="1" ht="13.5" customHeight="1" x14ac:dyDescent="0.15">
      <c r="A27" s="104"/>
      <c r="D27" s="76"/>
      <c r="N27" s="703"/>
      <c r="O27" s="703"/>
      <c r="P27" s="703"/>
      <c r="Q27" s="703"/>
      <c r="R27" s="634"/>
      <c r="S27" s="221"/>
      <c r="T27" s="634" t="str">
        <f>EV10</f>
        <v>金沢市民サッカー場</v>
      </c>
      <c r="U27" s="634"/>
      <c r="V27" s="634"/>
      <c r="W27" s="634"/>
      <c r="X27" s="634"/>
      <c r="Y27" s="634"/>
      <c r="Z27" s="634"/>
      <c r="AA27" s="634"/>
      <c r="AB27" s="634"/>
      <c r="AC27" s="634"/>
      <c r="AD27" s="634"/>
      <c r="AE27" s="634"/>
      <c r="AF27" s="634"/>
      <c r="AG27" s="634"/>
      <c r="AH27" s="634"/>
      <c r="AI27" s="634"/>
      <c r="AJ27" s="634"/>
      <c r="AK27" s="634"/>
      <c r="AL27" s="634"/>
      <c r="AM27" s="634"/>
      <c r="AN27" s="634"/>
      <c r="AO27" s="634"/>
      <c r="AP27" s="634"/>
      <c r="AQ27" s="634"/>
      <c r="AR27" s="634"/>
      <c r="AS27" s="634"/>
      <c r="AT27" s="634"/>
      <c r="AU27" s="634"/>
      <c r="AV27" s="634"/>
      <c r="AW27" s="634"/>
      <c r="AX27" s="634"/>
      <c r="AY27" s="634"/>
      <c r="AZ27" s="634"/>
      <c r="BA27" s="634"/>
      <c r="BB27" s="634"/>
      <c r="BC27" s="634"/>
      <c r="BD27" s="634"/>
      <c r="BE27" s="634"/>
      <c r="BF27" s="634"/>
      <c r="BG27" s="634"/>
      <c r="BH27" s="222"/>
      <c r="BI27" s="634"/>
      <c r="BJ27" s="714"/>
      <c r="BK27" s="714"/>
      <c r="BL27" s="714"/>
      <c r="BM27" s="714"/>
      <c r="CN27" s="703"/>
      <c r="CO27" s="703"/>
      <c r="CP27" s="703"/>
      <c r="CQ27" s="703"/>
      <c r="CR27" s="634"/>
      <c r="CS27" s="221"/>
      <c r="CT27" s="634" t="s">
        <v>118</v>
      </c>
      <c r="CU27" s="634"/>
      <c r="CV27" s="634"/>
      <c r="CW27" s="634"/>
      <c r="CX27" s="634"/>
      <c r="CY27" s="634"/>
      <c r="CZ27" s="634"/>
      <c r="DA27" s="634"/>
      <c r="DB27" s="634"/>
      <c r="DC27" s="634"/>
      <c r="DD27" s="634"/>
      <c r="DE27" s="634"/>
      <c r="DF27" s="634"/>
      <c r="DG27" s="634"/>
      <c r="DH27" s="634"/>
      <c r="DI27" s="634"/>
      <c r="DJ27" s="634"/>
      <c r="DK27" s="634"/>
      <c r="DL27" s="634"/>
      <c r="DM27" s="634"/>
      <c r="DN27" s="634"/>
      <c r="DO27" s="634"/>
      <c r="DP27" s="634"/>
      <c r="DQ27" s="634"/>
      <c r="DR27" s="634"/>
      <c r="DS27" s="634"/>
      <c r="DT27" s="634"/>
      <c r="DU27" s="634"/>
      <c r="DV27" s="634"/>
      <c r="DW27" s="634"/>
      <c r="DX27" s="634"/>
      <c r="DY27" s="634"/>
      <c r="DZ27" s="634"/>
      <c r="EA27" s="634"/>
      <c r="EB27" s="222"/>
      <c r="EC27" s="634"/>
      <c r="ED27" s="714"/>
      <c r="EE27" s="714"/>
      <c r="EF27" s="714"/>
      <c r="EG27" s="714"/>
      <c r="ET27" s="64"/>
      <c r="EV27" s="149">
        <v>0.63888888888888895</v>
      </c>
    </row>
    <row r="28" spans="1:152" s="61" customFormat="1" ht="13.5" customHeight="1" x14ac:dyDescent="0.15">
      <c r="A28" s="104"/>
      <c r="D28" s="76"/>
      <c r="N28" s="703"/>
      <c r="O28" s="703"/>
      <c r="P28" s="703"/>
      <c r="Q28" s="703"/>
      <c r="R28" s="634"/>
      <c r="S28" s="221"/>
      <c r="AI28" s="695"/>
      <c r="AJ28" s="695"/>
      <c r="AK28" s="695"/>
      <c r="AL28" s="695"/>
      <c r="AM28" s="618"/>
      <c r="AN28" s="618"/>
      <c r="AO28" s="696"/>
      <c r="AP28" s="696"/>
      <c r="AQ28" s="696"/>
      <c r="AR28" s="696"/>
      <c r="BH28" s="222"/>
      <c r="BI28" s="634"/>
      <c r="BJ28" s="714"/>
      <c r="BK28" s="714"/>
      <c r="BL28" s="714"/>
      <c r="BM28" s="714"/>
      <c r="CN28" s="703"/>
      <c r="CO28" s="703"/>
      <c r="CP28" s="703"/>
      <c r="CQ28" s="703"/>
      <c r="CR28" s="634"/>
      <c r="CS28" s="221"/>
      <c r="DI28" s="695"/>
      <c r="DJ28" s="695"/>
      <c r="DK28" s="695"/>
      <c r="DL28" s="695"/>
      <c r="DM28" s="618"/>
      <c r="DN28" s="618"/>
      <c r="DO28" s="696"/>
      <c r="DP28" s="696"/>
      <c r="EB28" s="222"/>
      <c r="EC28" s="634"/>
      <c r="ED28" s="714"/>
      <c r="EE28" s="714"/>
      <c r="EF28" s="714"/>
      <c r="EG28" s="714"/>
      <c r="ET28" s="64"/>
      <c r="EV28" s="143"/>
    </row>
    <row r="29" spans="1:152" s="61" customFormat="1" ht="13.5" customHeight="1" x14ac:dyDescent="0.15">
      <c r="A29" s="104"/>
      <c r="D29" s="76"/>
      <c r="N29" s="703"/>
      <c r="O29" s="703"/>
      <c r="P29" s="703"/>
      <c r="Q29" s="703"/>
      <c r="R29" s="634"/>
      <c r="S29" s="221"/>
      <c r="T29" s="746">
        <v>0.375</v>
      </c>
      <c r="U29" s="634"/>
      <c r="V29" s="634"/>
      <c r="W29" s="634"/>
      <c r="X29" s="634"/>
      <c r="Y29" s="634"/>
      <c r="Z29" s="634"/>
      <c r="AA29" s="634"/>
      <c r="AB29" s="634"/>
      <c r="AC29" s="634"/>
      <c r="AD29" s="634"/>
      <c r="AE29" s="634"/>
      <c r="AF29" s="634"/>
      <c r="AG29" s="634"/>
      <c r="AH29" s="634"/>
      <c r="AI29" s="634"/>
      <c r="AJ29" s="634"/>
      <c r="AK29" s="634"/>
      <c r="AL29" s="634"/>
      <c r="AM29" s="634"/>
      <c r="AN29" s="634"/>
      <c r="AO29" s="634"/>
      <c r="AP29" s="634"/>
      <c r="AQ29" s="634"/>
      <c r="AR29" s="634"/>
      <c r="AS29" s="634"/>
      <c r="AT29" s="634"/>
      <c r="AU29" s="634"/>
      <c r="AV29" s="634"/>
      <c r="AW29" s="634"/>
      <c r="AX29" s="634"/>
      <c r="AY29" s="634"/>
      <c r="AZ29" s="634"/>
      <c r="BA29" s="634"/>
      <c r="BB29" s="634"/>
      <c r="BC29" s="634"/>
      <c r="BD29" s="634"/>
      <c r="BE29" s="634"/>
      <c r="BF29" s="634"/>
      <c r="BG29" s="634"/>
      <c r="BH29" s="222"/>
      <c r="BI29" s="634"/>
      <c r="BJ29" s="714"/>
      <c r="BK29" s="714"/>
      <c r="BL29" s="714"/>
      <c r="BM29" s="714"/>
      <c r="CN29" s="703"/>
      <c r="CO29" s="703"/>
      <c r="CP29" s="703"/>
      <c r="CQ29" s="703"/>
      <c r="CR29" s="634"/>
      <c r="CS29" s="221"/>
      <c r="CT29" s="746">
        <v>0.375</v>
      </c>
      <c r="CU29" s="634"/>
      <c r="CV29" s="634"/>
      <c r="CW29" s="634"/>
      <c r="CX29" s="634"/>
      <c r="CY29" s="634"/>
      <c r="CZ29" s="634"/>
      <c r="DA29" s="634"/>
      <c r="DB29" s="634"/>
      <c r="DC29" s="634"/>
      <c r="DD29" s="634"/>
      <c r="DE29" s="634"/>
      <c r="DF29" s="634"/>
      <c r="DG29" s="634"/>
      <c r="DH29" s="634"/>
      <c r="DI29" s="634"/>
      <c r="DJ29" s="634"/>
      <c r="DK29" s="634"/>
      <c r="DL29" s="634"/>
      <c r="DM29" s="634"/>
      <c r="DN29" s="634"/>
      <c r="DO29" s="634"/>
      <c r="DP29" s="634"/>
      <c r="DQ29" s="634"/>
      <c r="DR29" s="634"/>
      <c r="DS29" s="634"/>
      <c r="DT29" s="634"/>
      <c r="DU29" s="634"/>
      <c r="DV29" s="634"/>
      <c r="DW29" s="634"/>
      <c r="DX29" s="634"/>
      <c r="DY29" s="634"/>
      <c r="DZ29" s="634"/>
      <c r="EA29" s="634"/>
      <c r="EB29" s="222"/>
      <c r="EC29" s="634"/>
      <c r="ED29" s="714"/>
      <c r="EE29" s="714"/>
      <c r="EF29" s="714"/>
      <c r="EG29" s="714"/>
      <c r="ET29" s="64"/>
      <c r="EV29" s="143"/>
    </row>
    <row r="30" spans="1:152" s="61" customFormat="1" ht="13.5" customHeight="1" x14ac:dyDescent="0.15">
      <c r="A30" s="152"/>
      <c r="B30" s="223"/>
      <c r="C30" s="223"/>
      <c r="D30" s="153"/>
      <c r="E30" s="223"/>
      <c r="F30" s="223"/>
      <c r="G30" s="223"/>
      <c r="H30" s="223"/>
      <c r="I30" s="223"/>
      <c r="J30" s="223"/>
      <c r="K30" s="223"/>
      <c r="L30" s="223"/>
      <c r="M30" s="223"/>
      <c r="N30" s="748"/>
      <c r="O30" s="748"/>
      <c r="P30" s="748"/>
      <c r="Q30" s="748"/>
      <c r="R30" s="634"/>
      <c r="S30" s="221"/>
      <c r="T30" s="223"/>
      <c r="U30" s="223"/>
      <c r="V30" s="223"/>
      <c r="W30" s="223"/>
      <c r="X30" s="223"/>
      <c r="Y30" s="223"/>
      <c r="Z30" s="223"/>
      <c r="AA30" s="223"/>
      <c r="AB30" s="223"/>
      <c r="AC30" s="223"/>
      <c r="AD30" s="223"/>
      <c r="AE30" s="223"/>
      <c r="AF30" s="223"/>
      <c r="AG30" s="223"/>
      <c r="AH30" s="223"/>
      <c r="AI30" s="747"/>
      <c r="AJ30" s="747"/>
      <c r="AK30" s="747"/>
      <c r="AL30" s="747"/>
      <c r="AM30" s="740"/>
      <c r="AN30" s="740"/>
      <c r="AO30" s="741"/>
      <c r="AP30" s="741"/>
      <c r="AQ30" s="741"/>
      <c r="AR30" s="741"/>
      <c r="AS30" s="223"/>
      <c r="AT30" s="223"/>
      <c r="AU30" s="223"/>
      <c r="AV30" s="223"/>
      <c r="AW30" s="223"/>
      <c r="AX30" s="223"/>
      <c r="AY30" s="223"/>
      <c r="AZ30" s="223"/>
      <c r="BA30" s="223"/>
      <c r="BB30" s="223"/>
      <c r="BC30" s="223"/>
      <c r="BD30" s="223"/>
      <c r="BE30" s="223"/>
      <c r="BF30" s="223"/>
      <c r="BG30" s="223"/>
      <c r="BH30" s="222"/>
      <c r="BI30" s="634"/>
      <c r="BJ30" s="749"/>
      <c r="BK30" s="749"/>
      <c r="BL30" s="749"/>
      <c r="BM30" s="749"/>
      <c r="BN30" s="223"/>
      <c r="BO30" s="223"/>
      <c r="BP30" s="223"/>
      <c r="BQ30" s="223"/>
      <c r="BR30" s="223"/>
      <c r="BS30" s="223"/>
      <c r="BT30" s="223"/>
      <c r="BU30" s="223"/>
      <c r="BV30" s="223"/>
      <c r="BW30" s="223"/>
      <c r="BX30" s="223"/>
      <c r="BY30" s="223"/>
      <c r="BZ30" s="223"/>
      <c r="CA30" s="223"/>
      <c r="CB30" s="223"/>
      <c r="CC30" s="223"/>
      <c r="CD30" s="223"/>
      <c r="CE30" s="223"/>
      <c r="CF30" s="223"/>
      <c r="CG30" s="223"/>
      <c r="CH30" s="223"/>
      <c r="CI30" s="223"/>
      <c r="CJ30" s="223"/>
      <c r="CK30" s="223"/>
      <c r="CL30" s="223"/>
      <c r="CM30" s="223"/>
      <c r="CN30" s="748"/>
      <c r="CO30" s="748"/>
      <c r="CP30" s="748"/>
      <c r="CQ30" s="748"/>
      <c r="CR30" s="634"/>
      <c r="CS30" s="221"/>
      <c r="CT30" s="223"/>
      <c r="CU30" s="223"/>
      <c r="CV30" s="223"/>
      <c r="CW30" s="223"/>
      <c r="CX30" s="223"/>
      <c r="CY30" s="223"/>
      <c r="CZ30" s="223"/>
      <c r="DA30" s="223"/>
      <c r="DB30" s="223"/>
      <c r="DC30" s="223"/>
      <c r="DD30" s="223"/>
      <c r="DE30" s="223"/>
      <c r="DF30" s="223"/>
      <c r="DG30" s="223"/>
      <c r="DH30" s="223"/>
      <c r="DI30" s="747"/>
      <c r="DJ30" s="747"/>
      <c r="DK30" s="747"/>
      <c r="DL30" s="747"/>
      <c r="DM30" s="740"/>
      <c r="DN30" s="740"/>
      <c r="DO30" s="741"/>
      <c r="DP30" s="741"/>
      <c r="DQ30" s="223"/>
      <c r="DR30" s="223"/>
      <c r="DS30" s="223"/>
      <c r="DT30" s="223"/>
      <c r="DU30" s="223"/>
      <c r="DV30" s="223"/>
      <c r="DW30" s="223"/>
      <c r="DX30" s="223"/>
      <c r="DY30" s="223"/>
      <c r="DZ30" s="223"/>
      <c r="EA30" s="223"/>
      <c r="EB30" s="222"/>
      <c r="EC30" s="634"/>
      <c r="ED30" s="749"/>
      <c r="EE30" s="749"/>
      <c r="EF30" s="749"/>
      <c r="EG30" s="749"/>
      <c r="EH30" s="223"/>
      <c r="EI30" s="223"/>
      <c r="EJ30" s="223"/>
      <c r="EK30" s="223"/>
      <c r="EL30" s="223"/>
      <c r="EM30" s="223"/>
      <c r="EN30" s="223"/>
      <c r="EO30" s="223"/>
      <c r="EP30" s="223"/>
      <c r="EQ30" s="223"/>
      <c r="ER30" s="223"/>
      <c r="ES30" s="223"/>
      <c r="ET30" s="64"/>
      <c r="EV30" s="143"/>
    </row>
    <row r="31" spans="1:152" s="61" customFormat="1" ht="13.5" customHeight="1" x14ac:dyDescent="0.15">
      <c r="A31" s="104"/>
      <c r="D31" s="76"/>
      <c r="R31" s="634"/>
      <c r="S31" s="221"/>
      <c r="AL31" s="634"/>
      <c r="AM31" s="634"/>
      <c r="AN31" s="634"/>
      <c r="AO31" s="634"/>
      <c r="BH31" s="222"/>
      <c r="BI31" s="634"/>
      <c r="CR31" s="634"/>
      <c r="CS31" s="221"/>
      <c r="DL31" s="634"/>
      <c r="DM31" s="634"/>
      <c r="DN31" s="634"/>
      <c r="DO31" s="634"/>
      <c r="EB31" s="222"/>
      <c r="EC31" s="634"/>
      <c r="ET31" s="64"/>
      <c r="EV31" s="143"/>
    </row>
    <row r="32" spans="1:152" s="61" customFormat="1" ht="13.5" customHeight="1" x14ac:dyDescent="0.15">
      <c r="A32" s="104"/>
      <c r="D32" s="76"/>
      <c r="H32" s="742"/>
      <c r="I32" s="742"/>
      <c r="J32" s="742"/>
      <c r="K32" s="742"/>
      <c r="N32" s="695"/>
      <c r="O32" s="695"/>
      <c r="P32" s="695"/>
      <c r="Q32" s="695"/>
      <c r="R32" s="634"/>
      <c r="S32" s="221"/>
      <c r="T32" s="696" t="str">
        <f>IF(T35="","",SUM(T35:U38))</f>
        <v/>
      </c>
      <c r="U32" s="696"/>
      <c r="V32" s="696"/>
      <c r="W32" s="696"/>
      <c r="AA32" s="743"/>
      <c r="AB32" s="743"/>
      <c r="AC32" s="743"/>
      <c r="AD32" s="743"/>
      <c r="BD32" s="695"/>
      <c r="BE32" s="695"/>
      <c r="BF32" s="695"/>
      <c r="BG32" s="695"/>
      <c r="BH32" s="222"/>
      <c r="BI32" s="634"/>
      <c r="BJ32" s="696" t="str">
        <f>IF(BJ35="","",SUM(BJ35:BK38))</f>
        <v/>
      </c>
      <c r="BK32" s="696"/>
      <c r="BL32" s="696"/>
      <c r="BM32" s="696"/>
      <c r="CN32" s="695"/>
      <c r="CO32" s="695"/>
      <c r="CP32" s="695"/>
      <c r="CQ32" s="695"/>
      <c r="CR32" s="634"/>
      <c r="CS32" s="221"/>
      <c r="CT32" s="696" t="str">
        <f>IF(CT35="","",SUM(CT35:CU38))</f>
        <v/>
      </c>
      <c r="CU32" s="696"/>
      <c r="CV32" s="696"/>
      <c r="CW32" s="696"/>
      <c r="DX32" s="695"/>
      <c r="DY32" s="695"/>
      <c r="DZ32" s="695"/>
      <c r="EA32" s="695"/>
      <c r="EB32" s="222"/>
      <c r="EC32" s="634"/>
      <c r="ED32" s="696" t="str">
        <f>IF(ED35="","",SUM(ED35:EE38))</f>
        <v/>
      </c>
      <c r="EE32" s="696"/>
      <c r="EF32" s="696"/>
      <c r="EG32" s="696"/>
      <c r="ET32" s="64"/>
      <c r="EV32" s="143"/>
    </row>
    <row r="33" spans="1:152" s="90" customFormat="1" ht="13.5" hidden="1" customHeight="1" x14ac:dyDescent="0.15">
      <c r="A33" s="107"/>
      <c r="D33" s="92"/>
      <c r="N33" s="698">
        <f>SUM(N35:Q39)</f>
        <v>0</v>
      </c>
      <c r="O33" s="698"/>
      <c r="P33" s="698"/>
      <c r="Q33" s="698"/>
      <c r="R33" s="634"/>
      <c r="S33" s="154"/>
      <c r="T33" s="697">
        <f>SUM(T35:U39)</f>
        <v>0</v>
      </c>
      <c r="U33" s="697"/>
      <c r="V33" s="697"/>
      <c r="W33" s="697"/>
      <c r="BD33" s="698">
        <f>SUM(BD35:BG39)</f>
        <v>0</v>
      </c>
      <c r="BE33" s="698"/>
      <c r="BF33" s="698"/>
      <c r="BG33" s="698"/>
      <c r="BH33" s="155"/>
      <c r="BI33" s="634"/>
      <c r="BJ33" s="697">
        <f>SUM(BJ35:BK39)</f>
        <v>0</v>
      </c>
      <c r="BK33" s="697"/>
      <c r="BL33" s="697"/>
      <c r="BM33" s="697"/>
      <c r="CN33" s="698">
        <f>SUM(CN35:CQ39)</f>
        <v>0</v>
      </c>
      <c r="CO33" s="698"/>
      <c r="CP33" s="698"/>
      <c r="CQ33" s="698"/>
      <c r="CR33" s="634"/>
      <c r="CS33" s="154"/>
      <c r="CT33" s="697">
        <f>SUM(CT35:CU39)</f>
        <v>0</v>
      </c>
      <c r="CU33" s="697"/>
      <c r="CV33" s="697"/>
      <c r="CW33" s="697"/>
      <c r="DX33" s="698">
        <f>SUM(DX35:EA39)</f>
        <v>0</v>
      </c>
      <c r="DY33" s="698"/>
      <c r="DZ33" s="698"/>
      <c r="EA33" s="698"/>
      <c r="EB33" s="155"/>
      <c r="EC33" s="634"/>
      <c r="ED33" s="697">
        <f>SUM(ED35:EE39)</f>
        <v>0</v>
      </c>
      <c r="EE33" s="697"/>
      <c r="EF33" s="697"/>
      <c r="EG33" s="697"/>
      <c r="ET33" s="89"/>
      <c r="EV33" s="145"/>
    </row>
    <row r="34" spans="1:152" s="61" customFormat="1" ht="3.75" customHeight="1" x14ac:dyDescent="0.15">
      <c r="A34" s="104"/>
      <c r="D34" s="76"/>
      <c r="H34" s="634"/>
      <c r="I34" s="634"/>
      <c r="J34" s="634"/>
      <c r="K34" s="634"/>
      <c r="L34" s="634"/>
      <c r="M34" s="634"/>
      <c r="N34" s="634"/>
      <c r="O34" s="634"/>
      <c r="P34" s="634"/>
      <c r="Q34" s="634"/>
      <c r="R34" s="634"/>
      <c r="S34" s="752"/>
      <c r="T34" s="634"/>
      <c r="U34" s="634"/>
      <c r="V34" s="634"/>
      <c r="W34" s="634"/>
      <c r="X34" s="634"/>
      <c r="Y34" s="634"/>
      <c r="Z34" s="634"/>
      <c r="AA34" s="634"/>
      <c r="AB34" s="634"/>
      <c r="AC34" s="634"/>
      <c r="AD34" s="634"/>
      <c r="AX34" s="634"/>
      <c r="AY34" s="634"/>
      <c r="AZ34" s="634"/>
      <c r="BA34" s="634"/>
      <c r="BB34" s="634"/>
      <c r="BC34" s="634"/>
      <c r="BD34" s="634"/>
      <c r="BE34" s="634"/>
      <c r="BF34" s="634"/>
      <c r="BG34" s="634"/>
      <c r="BH34" s="750"/>
      <c r="BI34" s="634"/>
      <c r="BJ34" s="634"/>
      <c r="BK34" s="634"/>
      <c r="BL34" s="634"/>
      <c r="BM34" s="634"/>
      <c r="BN34" s="634"/>
      <c r="BO34" s="634"/>
      <c r="BP34" s="634"/>
      <c r="BQ34" s="634"/>
      <c r="BR34" s="634"/>
      <c r="BS34" s="634"/>
      <c r="CH34" s="634"/>
      <c r="CI34" s="634"/>
      <c r="CJ34" s="634"/>
      <c r="CK34" s="634"/>
      <c r="CL34" s="634"/>
      <c r="CM34" s="634"/>
      <c r="CN34" s="634"/>
      <c r="CO34" s="634"/>
      <c r="CP34" s="634"/>
      <c r="CQ34" s="634"/>
      <c r="CR34" s="634"/>
      <c r="CS34" s="752"/>
      <c r="CT34" s="634"/>
      <c r="CU34" s="634"/>
      <c r="CV34" s="634"/>
      <c r="CW34" s="634"/>
      <c r="CX34" s="634"/>
      <c r="CY34" s="634"/>
      <c r="CZ34" s="634"/>
      <c r="DA34" s="634"/>
      <c r="DB34" s="634"/>
      <c r="DC34" s="634"/>
      <c r="DQ34" s="634"/>
      <c r="DR34" s="634"/>
      <c r="DS34" s="634"/>
      <c r="DT34" s="634"/>
      <c r="DU34" s="634"/>
      <c r="DV34" s="634"/>
      <c r="DW34" s="634"/>
      <c r="DX34" s="634"/>
      <c r="DY34" s="634"/>
      <c r="DZ34" s="634"/>
      <c r="EA34" s="634"/>
      <c r="EB34" s="750"/>
      <c r="EC34" s="634"/>
      <c r="ED34" s="634"/>
      <c r="EE34" s="634"/>
      <c r="EF34" s="634"/>
      <c r="EG34" s="634"/>
      <c r="EH34" s="634"/>
      <c r="EI34" s="634"/>
      <c r="EJ34" s="634"/>
      <c r="EK34" s="634"/>
      <c r="EL34" s="634"/>
      <c r="EM34" s="634"/>
      <c r="ET34" s="64"/>
      <c r="EV34" s="143"/>
    </row>
    <row r="35" spans="1:152" s="111" customFormat="1" ht="20.25" customHeight="1" x14ac:dyDescent="0.2">
      <c r="A35" s="156">
        <f ca="1">A19-1</f>
        <v>45459</v>
      </c>
      <c r="C35" s="703"/>
      <c r="D35" s="703"/>
      <c r="E35" s="703"/>
      <c r="F35" s="703"/>
      <c r="G35" s="634"/>
      <c r="H35" s="224"/>
      <c r="I35" s="220"/>
      <c r="J35" s="220"/>
      <c r="K35" s="220"/>
      <c r="L35" s="220"/>
      <c r="M35" s="220"/>
      <c r="N35" s="751" t="s">
        <v>119</v>
      </c>
      <c r="O35" s="751"/>
      <c r="P35" s="751"/>
      <c r="Q35" s="751"/>
      <c r="R35" s="751"/>
      <c r="S35" s="751"/>
      <c r="T35" s="751"/>
      <c r="U35" s="751"/>
      <c r="V35" s="751"/>
      <c r="W35" s="751"/>
      <c r="X35" s="220"/>
      <c r="Y35" s="220"/>
      <c r="Z35" s="220"/>
      <c r="AA35" s="220"/>
      <c r="AB35" s="220"/>
      <c r="AC35" s="220"/>
      <c r="AD35" s="225"/>
      <c r="AE35" s="634"/>
      <c r="AF35" s="714"/>
      <c r="AG35" s="714"/>
      <c r="AH35" s="714"/>
      <c r="AI35" s="714"/>
      <c r="AS35" s="703"/>
      <c r="AT35" s="703"/>
      <c r="AU35" s="703"/>
      <c r="AV35" s="703"/>
      <c r="AW35" s="634"/>
      <c r="AX35" s="224"/>
      <c r="AY35" s="220"/>
      <c r="AZ35" s="220"/>
      <c r="BA35" s="220"/>
      <c r="BB35" s="220"/>
      <c r="BC35" s="220"/>
      <c r="BD35" s="751" t="s">
        <v>120</v>
      </c>
      <c r="BE35" s="751"/>
      <c r="BF35" s="751"/>
      <c r="BG35" s="751"/>
      <c r="BH35" s="751"/>
      <c r="BI35" s="751"/>
      <c r="BJ35" s="751"/>
      <c r="BK35" s="751"/>
      <c r="BL35" s="751"/>
      <c r="BM35" s="751"/>
      <c r="BN35" s="220"/>
      <c r="BO35" s="220"/>
      <c r="BP35" s="220"/>
      <c r="BQ35" s="220"/>
      <c r="BR35" s="220"/>
      <c r="BS35" s="225"/>
      <c r="BT35" s="634"/>
      <c r="BU35" s="714"/>
      <c r="BV35" s="714"/>
      <c r="BW35" s="714"/>
      <c r="BX35" s="714"/>
      <c r="CC35" s="703"/>
      <c r="CD35" s="703"/>
      <c r="CE35" s="703"/>
      <c r="CF35" s="703"/>
      <c r="CG35" s="634"/>
      <c r="CH35" s="224"/>
      <c r="CI35" s="220"/>
      <c r="CJ35" s="220"/>
      <c r="CK35" s="220"/>
      <c r="CL35" s="220"/>
      <c r="CM35" s="220"/>
      <c r="CN35" s="751" t="s">
        <v>121</v>
      </c>
      <c r="CO35" s="751"/>
      <c r="CP35" s="751"/>
      <c r="CQ35" s="751"/>
      <c r="CR35" s="751"/>
      <c r="CS35" s="751"/>
      <c r="CT35" s="751"/>
      <c r="CU35" s="751"/>
      <c r="CV35" s="751"/>
      <c r="CW35" s="751"/>
      <c r="CX35" s="220"/>
      <c r="CY35" s="220"/>
      <c r="CZ35" s="220"/>
      <c r="DA35" s="220"/>
      <c r="DB35" s="220"/>
      <c r="DC35" s="225"/>
      <c r="DD35" s="634"/>
      <c r="DE35" s="714"/>
      <c r="DF35" s="714"/>
      <c r="DG35" s="714"/>
      <c r="DH35" s="714"/>
      <c r="DM35" s="703"/>
      <c r="DN35" s="703"/>
      <c r="DO35" s="703"/>
      <c r="DP35" s="703"/>
      <c r="DQ35" s="634"/>
      <c r="DR35" s="224"/>
      <c r="DS35" s="220"/>
      <c r="DT35" s="220"/>
      <c r="DU35" s="220"/>
      <c r="DV35" s="220"/>
      <c r="DW35" s="220"/>
      <c r="DX35" s="751" t="s">
        <v>122</v>
      </c>
      <c r="DY35" s="751"/>
      <c r="DZ35" s="751"/>
      <c r="EA35" s="751"/>
      <c r="EB35" s="751"/>
      <c r="EC35" s="751"/>
      <c r="ED35" s="751"/>
      <c r="EE35" s="751"/>
      <c r="EF35" s="751"/>
      <c r="EG35" s="751"/>
      <c r="EH35" s="220"/>
      <c r="EI35" s="220"/>
      <c r="EJ35" s="220"/>
      <c r="EK35" s="220"/>
      <c r="EL35" s="220"/>
      <c r="EM35" s="225"/>
      <c r="EN35" s="634"/>
      <c r="EO35" s="714"/>
      <c r="EP35" s="714"/>
      <c r="EQ35" s="714"/>
      <c r="ER35" s="714"/>
      <c r="ET35" s="108"/>
      <c r="EV35" s="157"/>
    </row>
    <row r="36" spans="1:152" s="61" customFormat="1" ht="7.5" customHeight="1" x14ac:dyDescent="0.15">
      <c r="A36" s="755" t="str">
        <f ca="1">"("&amp;CHOOSE(WEEKDAY(A35),"日","月","火","水","木","金","土")&amp;")"</f>
        <v>(日)</v>
      </c>
      <c r="C36" s="703"/>
      <c r="D36" s="703"/>
      <c r="E36" s="703"/>
      <c r="F36" s="703"/>
      <c r="G36" s="634"/>
      <c r="H36" s="221"/>
      <c r="AD36" s="222"/>
      <c r="AE36" s="634"/>
      <c r="AF36" s="714"/>
      <c r="AG36" s="714"/>
      <c r="AH36" s="714"/>
      <c r="AI36" s="714"/>
      <c r="AS36" s="703"/>
      <c r="AT36" s="703"/>
      <c r="AU36" s="703"/>
      <c r="AV36" s="703"/>
      <c r="AW36" s="634"/>
      <c r="AX36" s="221"/>
      <c r="BS36" s="222"/>
      <c r="BT36" s="634"/>
      <c r="BU36" s="714"/>
      <c r="BV36" s="714"/>
      <c r="BW36" s="714"/>
      <c r="BX36" s="714"/>
      <c r="CC36" s="703"/>
      <c r="CD36" s="703"/>
      <c r="CE36" s="703"/>
      <c r="CF36" s="703"/>
      <c r="CG36" s="634"/>
      <c r="CH36" s="221"/>
      <c r="DC36" s="222"/>
      <c r="DD36" s="634"/>
      <c r="DE36" s="714"/>
      <c r="DF36" s="714"/>
      <c r="DG36" s="714"/>
      <c r="DH36" s="714"/>
      <c r="DM36" s="703"/>
      <c r="DN36" s="703"/>
      <c r="DO36" s="703"/>
      <c r="DP36" s="703"/>
      <c r="DQ36" s="634"/>
      <c r="DR36" s="221"/>
      <c r="EM36" s="222"/>
      <c r="EN36" s="634"/>
      <c r="EO36" s="714"/>
      <c r="EP36" s="714"/>
      <c r="EQ36" s="714"/>
      <c r="ER36" s="714"/>
      <c r="ET36" s="64"/>
      <c r="EV36" s="143"/>
    </row>
    <row r="37" spans="1:152" s="61" customFormat="1" ht="13.5" customHeight="1" x14ac:dyDescent="0.15">
      <c r="A37" s="755"/>
      <c r="C37" s="703"/>
      <c r="D37" s="703"/>
      <c r="E37" s="703"/>
      <c r="F37" s="703"/>
      <c r="G37" s="634"/>
      <c r="H37" s="752" t="str">
        <f>EV37</f>
        <v>内灘町サッカー場</v>
      </c>
      <c r="I37" s="634"/>
      <c r="J37" s="634"/>
      <c r="K37" s="634"/>
      <c r="L37" s="634"/>
      <c r="M37" s="634"/>
      <c r="N37" s="634"/>
      <c r="O37" s="634"/>
      <c r="P37" s="634"/>
      <c r="Q37" s="634"/>
      <c r="R37" s="634"/>
      <c r="S37" s="634"/>
      <c r="T37" s="634"/>
      <c r="U37" s="634"/>
      <c r="V37" s="634"/>
      <c r="W37" s="634"/>
      <c r="X37" s="634"/>
      <c r="Y37" s="634"/>
      <c r="Z37" s="634"/>
      <c r="AA37" s="634"/>
      <c r="AB37" s="634"/>
      <c r="AC37" s="634"/>
      <c r="AD37" s="750"/>
      <c r="AE37" s="634"/>
      <c r="AF37" s="714"/>
      <c r="AG37" s="714"/>
      <c r="AH37" s="714"/>
      <c r="AI37" s="714"/>
      <c r="AS37" s="703"/>
      <c r="AT37" s="703"/>
      <c r="AU37" s="703"/>
      <c r="AV37" s="703"/>
      <c r="AW37" s="634"/>
      <c r="AX37" s="752" t="s">
        <v>123</v>
      </c>
      <c r="AY37" s="634"/>
      <c r="AZ37" s="634"/>
      <c r="BA37" s="634"/>
      <c r="BB37" s="634"/>
      <c r="BC37" s="634"/>
      <c r="BD37" s="634"/>
      <c r="BE37" s="634"/>
      <c r="BF37" s="634"/>
      <c r="BG37" s="634"/>
      <c r="BH37" s="634"/>
      <c r="BI37" s="634"/>
      <c r="BJ37" s="634"/>
      <c r="BK37" s="634"/>
      <c r="BL37" s="634"/>
      <c r="BM37" s="634"/>
      <c r="BN37" s="634"/>
      <c r="BO37" s="634"/>
      <c r="BP37" s="634"/>
      <c r="BQ37" s="634"/>
      <c r="BR37" s="634"/>
      <c r="BS37" s="750"/>
      <c r="BT37" s="634"/>
      <c r="BU37" s="714"/>
      <c r="BV37" s="714"/>
      <c r="BW37" s="714"/>
      <c r="BX37" s="714"/>
      <c r="CC37" s="703"/>
      <c r="CD37" s="703"/>
      <c r="CE37" s="703"/>
      <c r="CF37" s="703"/>
      <c r="CG37" s="634"/>
      <c r="CH37" s="752" t="str">
        <f>EV37</f>
        <v>内灘町サッカー場</v>
      </c>
      <c r="CI37" s="634"/>
      <c r="CJ37" s="634"/>
      <c r="CK37" s="634"/>
      <c r="CL37" s="634"/>
      <c r="CM37" s="634"/>
      <c r="CN37" s="634"/>
      <c r="CO37" s="634"/>
      <c r="CP37" s="634"/>
      <c r="CQ37" s="634"/>
      <c r="CR37" s="634"/>
      <c r="CS37" s="634"/>
      <c r="CT37" s="634"/>
      <c r="CU37" s="634"/>
      <c r="CV37" s="634"/>
      <c r="CW37" s="634"/>
      <c r="CX37" s="634"/>
      <c r="CY37" s="634"/>
      <c r="CZ37" s="634"/>
      <c r="DA37" s="634"/>
      <c r="DB37" s="634"/>
      <c r="DC37" s="750"/>
      <c r="DD37" s="634"/>
      <c r="DE37" s="714"/>
      <c r="DF37" s="714"/>
      <c r="DG37" s="714"/>
      <c r="DH37" s="714"/>
      <c r="DM37" s="703"/>
      <c r="DN37" s="703"/>
      <c r="DO37" s="703"/>
      <c r="DP37" s="703"/>
      <c r="DQ37" s="634"/>
      <c r="DR37" s="752" t="s">
        <v>123</v>
      </c>
      <c r="DS37" s="634"/>
      <c r="DT37" s="634"/>
      <c r="DU37" s="634"/>
      <c r="DV37" s="634"/>
      <c r="DW37" s="634"/>
      <c r="DX37" s="634"/>
      <c r="DY37" s="634"/>
      <c r="DZ37" s="634"/>
      <c r="EA37" s="634"/>
      <c r="EB37" s="634"/>
      <c r="EC37" s="634"/>
      <c r="ED37" s="634"/>
      <c r="EE37" s="634"/>
      <c r="EF37" s="634"/>
      <c r="EG37" s="634"/>
      <c r="EH37" s="634"/>
      <c r="EI37" s="634"/>
      <c r="EJ37" s="634"/>
      <c r="EK37" s="634"/>
      <c r="EL37" s="634"/>
      <c r="EM37" s="750"/>
      <c r="EN37" s="634"/>
      <c r="EO37" s="714"/>
      <c r="EP37" s="714"/>
      <c r="EQ37" s="714"/>
      <c r="ER37" s="714"/>
      <c r="ET37" s="64"/>
      <c r="EV37" s="144" t="s">
        <v>124</v>
      </c>
    </row>
    <row r="38" spans="1:152" s="61" customFormat="1" ht="13.5" customHeight="1" x14ac:dyDescent="0.15">
      <c r="A38" s="104"/>
      <c r="C38" s="703"/>
      <c r="D38" s="703"/>
      <c r="E38" s="703"/>
      <c r="F38" s="703"/>
      <c r="G38" s="634"/>
      <c r="H38" s="753"/>
      <c r="I38" s="634"/>
      <c r="J38" s="634"/>
      <c r="K38" s="634"/>
      <c r="L38" s="634"/>
      <c r="M38" s="634"/>
      <c r="N38" s="634"/>
      <c r="O38" s="634"/>
      <c r="P38" s="634"/>
      <c r="Q38" s="634"/>
      <c r="R38" s="634"/>
      <c r="S38" s="634"/>
      <c r="T38" s="634"/>
      <c r="U38" s="634"/>
      <c r="V38" s="634"/>
      <c r="W38" s="634"/>
      <c r="X38" s="634"/>
      <c r="Y38" s="634"/>
      <c r="Z38" s="634"/>
      <c r="AA38" s="634"/>
      <c r="AB38" s="634"/>
      <c r="AC38" s="634"/>
      <c r="AD38" s="750"/>
      <c r="AE38" s="634"/>
      <c r="AF38" s="714"/>
      <c r="AG38" s="714"/>
      <c r="AH38" s="714"/>
      <c r="AI38" s="714"/>
      <c r="AS38" s="703"/>
      <c r="AT38" s="703"/>
      <c r="AU38" s="703"/>
      <c r="AV38" s="703"/>
      <c r="AW38" s="634"/>
      <c r="AX38" s="753"/>
      <c r="AY38" s="634"/>
      <c r="AZ38" s="634"/>
      <c r="BA38" s="634"/>
      <c r="BB38" s="634"/>
      <c r="BC38" s="634"/>
      <c r="BD38" s="634"/>
      <c r="BE38" s="634"/>
      <c r="BF38" s="634"/>
      <c r="BG38" s="634"/>
      <c r="BH38" s="634"/>
      <c r="BI38" s="634"/>
      <c r="BJ38" s="634"/>
      <c r="BK38" s="634"/>
      <c r="BL38" s="634"/>
      <c r="BM38" s="634"/>
      <c r="BN38" s="634"/>
      <c r="BO38" s="634"/>
      <c r="BP38" s="634"/>
      <c r="BQ38" s="634"/>
      <c r="BR38" s="634"/>
      <c r="BS38" s="750"/>
      <c r="BT38" s="634"/>
      <c r="BU38" s="714"/>
      <c r="BV38" s="714"/>
      <c r="BW38" s="714"/>
      <c r="BX38" s="714"/>
      <c r="CC38" s="703"/>
      <c r="CD38" s="703"/>
      <c r="CE38" s="703"/>
      <c r="CF38" s="703"/>
      <c r="CG38" s="634"/>
      <c r="CH38" s="753"/>
      <c r="CI38" s="634"/>
      <c r="CJ38" s="634"/>
      <c r="CK38" s="634"/>
      <c r="CL38" s="634"/>
      <c r="CM38" s="634"/>
      <c r="CN38" s="634"/>
      <c r="CO38" s="634"/>
      <c r="CP38" s="634"/>
      <c r="CQ38" s="634"/>
      <c r="CR38" s="634"/>
      <c r="CS38" s="634"/>
      <c r="CT38" s="634"/>
      <c r="CU38" s="634"/>
      <c r="CV38" s="634"/>
      <c r="CW38" s="634"/>
      <c r="CX38" s="634"/>
      <c r="CY38" s="634"/>
      <c r="CZ38" s="634"/>
      <c r="DA38" s="634"/>
      <c r="DB38" s="634"/>
      <c r="DC38" s="750"/>
      <c r="DD38" s="634"/>
      <c r="DE38" s="714"/>
      <c r="DF38" s="714"/>
      <c r="DG38" s="714"/>
      <c r="DH38" s="714"/>
      <c r="DM38" s="703"/>
      <c r="DN38" s="703"/>
      <c r="DO38" s="703"/>
      <c r="DP38" s="703"/>
      <c r="DQ38" s="634"/>
      <c r="DR38" s="753"/>
      <c r="DS38" s="634"/>
      <c r="DT38" s="634"/>
      <c r="DU38" s="634"/>
      <c r="DV38" s="634"/>
      <c r="DW38" s="634"/>
      <c r="DX38" s="634"/>
      <c r="DY38" s="634"/>
      <c r="DZ38" s="634"/>
      <c r="EA38" s="634"/>
      <c r="EB38" s="634"/>
      <c r="EC38" s="634"/>
      <c r="ED38" s="634"/>
      <c r="EE38" s="634"/>
      <c r="EF38" s="634"/>
      <c r="EG38" s="634"/>
      <c r="EH38" s="634"/>
      <c r="EI38" s="634"/>
      <c r="EJ38" s="634"/>
      <c r="EK38" s="634"/>
      <c r="EL38" s="634"/>
      <c r="EM38" s="750"/>
      <c r="EN38" s="634"/>
      <c r="EO38" s="714"/>
      <c r="EP38" s="714"/>
      <c r="EQ38" s="714"/>
      <c r="ER38" s="714"/>
      <c r="ET38" s="64"/>
      <c r="EV38" s="144" t="s">
        <v>125</v>
      </c>
    </row>
    <row r="39" spans="1:152" s="61" customFormat="1" ht="13.5" customHeight="1" x14ac:dyDescent="0.15">
      <c r="A39" s="104"/>
      <c r="C39" s="703"/>
      <c r="D39" s="703"/>
      <c r="E39" s="703"/>
      <c r="F39" s="703"/>
      <c r="G39" s="634"/>
      <c r="H39" s="753">
        <v>0.39583333333333331</v>
      </c>
      <c r="I39" s="634"/>
      <c r="J39" s="634"/>
      <c r="K39" s="634"/>
      <c r="L39" s="634"/>
      <c r="M39" s="634"/>
      <c r="N39" s="634"/>
      <c r="O39" s="634"/>
      <c r="P39" s="634"/>
      <c r="Q39" s="634"/>
      <c r="R39" s="634"/>
      <c r="S39" s="634"/>
      <c r="T39" s="634"/>
      <c r="U39" s="634"/>
      <c r="V39" s="634"/>
      <c r="W39" s="634"/>
      <c r="X39" s="634"/>
      <c r="Y39" s="634"/>
      <c r="Z39" s="634"/>
      <c r="AA39" s="634"/>
      <c r="AB39" s="634"/>
      <c r="AC39" s="634"/>
      <c r="AD39" s="750"/>
      <c r="AE39" s="634"/>
      <c r="AF39" s="714"/>
      <c r="AG39" s="714"/>
      <c r="AH39" s="714"/>
      <c r="AI39" s="714"/>
      <c r="AS39" s="703"/>
      <c r="AT39" s="703"/>
      <c r="AU39" s="703"/>
      <c r="AV39" s="703"/>
      <c r="AW39" s="634"/>
      <c r="AX39" s="753">
        <v>0.39583333333333331</v>
      </c>
      <c r="AY39" s="634"/>
      <c r="AZ39" s="634"/>
      <c r="BA39" s="634"/>
      <c r="BB39" s="634"/>
      <c r="BC39" s="634"/>
      <c r="BD39" s="634"/>
      <c r="BE39" s="634"/>
      <c r="BF39" s="634"/>
      <c r="BG39" s="634"/>
      <c r="BH39" s="634"/>
      <c r="BI39" s="634"/>
      <c r="BJ39" s="634"/>
      <c r="BK39" s="634"/>
      <c r="BL39" s="634"/>
      <c r="BM39" s="634"/>
      <c r="BN39" s="634"/>
      <c r="BO39" s="634"/>
      <c r="BP39" s="634"/>
      <c r="BQ39" s="634"/>
      <c r="BR39" s="634"/>
      <c r="BS39" s="750"/>
      <c r="BT39" s="634"/>
      <c r="BU39" s="714"/>
      <c r="BV39" s="714"/>
      <c r="BW39" s="714"/>
      <c r="BX39" s="714"/>
      <c r="CC39" s="703"/>
      <c r="CD39" s="703"/>
      <c r="CE39" s="703"/>
      <c r="CF39" s="703"/>
      <c r="CG39" s="634"/>
      <c r="CH39" s="753">
        <v>0.4513888888888889</v>
      </c>
      <c r="CI39" s="634"/>
      <c r="CJ39" s="634"/>
      <c r="CK39" s="634"/>
      <c r="CL39" s="634"/>
      <c r="CM39" s="634"/>
      <c r="CN39" s="634"/>
      <c r="CO39" s="634"/>
      <c r="CP39" s="634"/>
      <c r="CQ39" s="634"/>
      <c r="CR39" s="634"/>
      <c r="CS39" s="634"/>
      <c r="CT39" s="634"/>
      <c r="CU39" s="634"/>
      <c r="CV39" s="634"/>
      <c r="CW39" s="634"/>
      <c r="CX39" s="634"/>
      <c r="CY39" s="634"/>
      <c r="CZ39" s="634"/>
      <c r="DA39" s="634"/>
      <c r="DB39" s="634"/>
      <c r="DC39" s="750"/>
      <c r="DD39" s="634"/>
      <c r="DE39" s="714"/>
      <c r="DF39" s="714"/>
      <c r="DG39" s="714"/>
      <c r="DH39" s="714"/>
      <c r="DM39" s="703"/>
      <c r="DN39" s="703"/>
      <c r="DO39" s="703"/>
      <c r="DP39" s="703"/>
      <c r="DQ39" s="634"/>
      <c r="DR39" s="753">
        <v>0.4513888888888889</v>
      </c>
      <c r="DS39" s="634"/>
      <c r="DT39" s="634"/>
      <c r="DU39" s="634"/>
      <c r="DV39" s="634"/>
      <c r="DW39" s="634"/>
      <c r="DX39" s="634"/>
      <c r="DY39" s="634"/>
      <c r="DZ39" s="634"/>
      <c r="EA39" s="634"/>
      <c r="EB39" s="634"/>
      <c r="EC39" s="634"/>
      <c r="ED39" s="634"/>
      <c r="EE39" s="634"/>
      <c r="EF39" s="634"/>
      <c r="EG39" s="634"/>
      <c r="EH39" s="634"/>
      <c r="EI39" s="634"/>
      <c r="EJ39" s="634"/>
      <c r="EK39" s="634"/>
      <c r="EL39" s="634"/>
      <c r="EM39" s="750"/>
      <c r="EN39" s="634"/>
      <c r="EO39" s="714"/>
      <c r="EP39" s="714"/>
      <c r="EQ39" s="714"/>
      <c r="ER39" s="714"/>
      <c r="ET39" s="64"/>
      <c r="EV39" s="142"/>
    </row>
    <row r="40" spans="1:152" s="61" customFormat="1" ht="13.5" customHeight="1" x14ac:dyDescent="0.15">
      <c r="A40" s="152"/>
      <c r="B40" s="223"/>
      <c r="C40" s="223"/>
      <c r="D40" s="153"/>
      <c r="E40" s="223"/>
      <c r="F40" s="223"/>
      <c r="G40" s="634"/>
      <c r="H40" s="221"/>
      <c r="I40" s="223"/>
      <c r="J40" s="223"/>
      <c r="K40" s="223"/>
      <c r="L40" s="223"/>
      <c r="M40" s="223"/>
      <c r="N40" s="223"/>
      <c r="O40" s="223"/>
      <c r="P40" s="223"/>
      <c r="Q40" s="754"/>
      <c r="R40" s="754"/>
      <c r="S40" s="754"/>
      <c r="T40" s="754"/>
      <c r="U40" s="223"/>
      <c r="V40" s="223"/>
      <c r="W40" s="223"/>
      <c r="X40" s="223"/>
      <c r="Y40" s="223"/>
      <c r="Z40" s="223"/>
      <c r="AA40" s="223"/>
      <c r="AB40" s="223"/>
      <c r="AC40" s="223"/>
      <c r="AD40" s="222"/>
      <c r="AE40" s="634"/>
      <c r="AF40" s="223"/>
      <c r="AG40" s="223"/>
      <c r="AH40" s="223"/>
      <c r="AI40" s="223"/>
      <c r="AJ40" s="223"/>
      <c r="AK40" s="223"/>
      <c r="AL40" s="223"/>
      <c r="AM40" s="223"/>
      <c r="AN40" s="223"/>
      <c r="AO40" s="223"/>
      <c r="AP40" s="223"/>
      <c r="AQ40" s="223"/>
      <c r="AR40" s="223"/>
      <c r="AS40" s="223"/>
      <c r="AT40" s="223"/>
      <c r="AU40" s="223"/>
      <c r="AV40" s="223"/>
      <c r="AW40" s="634"/>
      <c r="AX40" s="221"/>
      <c r="AY40" s="223"/>
      <c r="AZ40" s="223"/>
      <c r="BA40" s="223"/>
      <c r="BB40" s="223"/>
      <c r="BC40" s="223"/>
      <c r="BD40" s="223"/>
      <c r="BE40" s="223"/>
      <c r="BF40" s="223"/>
      <c r="BG40" s="754"/>
      <c r="BH40" s="754"/>
      <c r="BI40" s="754"/>
      <c r="BJ40" s="754"/>
      <c r="BK40" s="223"/>
      <c r="BL40" s="223"/>
      <c r="BM40" s="223"/>
      <c r="BN40" s="223"/>
      <c r="BO40" s="223"/>
      <c r="BP40" s="223"/>
      <c r="BQ40" s="223"/>
      <c r="BR40" s="223"/>
      <c r="BS40" s="222"/>
      <c r="BT40" s="634"/>
      <c r="BU40" s="223"/>
      <c r="BV40" s="223"/>
      <c r="BW40" s="223"/>
      <c r="BX40" s="223"/>
      <c r="BY40" s="223"/>
      <c r="BZ40" s="223"/>
      <c r="CA40" s="223"/>
      <c r="CB40" s="223"/>
      <c r="CC40" s="223"/>
      <c r="CD40" s="223"/>
      <c r="CE40" s="223"/>
      <c r="CF40" s="223"/>
      <c r="CG40" s="634"/>
      <c r="CH40" s="221"/>
      <c r="CI40" s="223"/>
      <c r="CJ40" s="223"/>
      <c r="CK40" s="223"/>
      <c r="CL40" s="223"/>
      <c r="CM40" s="223"/>
      <c r="CN40" s="223"/>
      <c r="CO40" s="223"/>
      <c r="CP40" s="223"/>
      <c r="CQ40" s="754"/>
      <c r="CR40" s="754"/>
      <c r="CS40" s="754"/>
      <c r="CT40" s="754"/>
      <c r="CU40" s="223"/>
      <c r="CV40" s="223"/>
      <c r="CW40" s="223"/>
      <c r="CX40" s="223"/>
      <c r="CY40" s="223"/>
      <c r="CZ40" s="223"/>
      <c r="DA40" s="223"/>
      <c r="DB40" s="223"/>
      <c r="DC40" s="222"/>
      <c r="DD40" s="634"/>
      <c r="DE40" s="223"/>
      <c r="DF40" s="223"/>
      <c r="DG40" s="223"/>
      <c r="DH40" s="223"/>
      <c r="DI40" s="223"/>
      <c r="DJ40" s="223"/>
      <c r="DK40" s="223"/>
      <c r="DL40" s="223"/>
      <c r="DM40" s="223"/>
      <c r="DN40" s="223"/>
      <c r="DO40" s="223"/>
      <c r="DP40" s="223"/>
      <c r="DQ40" s="634"/>
      <c r="DR40" s="221"/>
      <c r="DS40" s="223"/>
      <c r="DT40" s="223"/>
      <c r="DU40" s="223"/>
      <c r="DV40" s="223"/>
      <c r="DW40" s="223"/>
      <c r="DX40" s="223"/>
      <c r="DY40" s="223"/>
      <c r="DZ40" s="223"/>
      <c r="EA40" s="754"/>
      <c r="EB40" s="754"/>
      <c r="EC40" s="754"/>
      <c r="ED40" s="754"/>
      <c r="EE40" s="223"/>
      <c r="EF40" s="223"/>
      <c r="EG40" s="223"/>
      <c r="EH40" s="223"/>
      <c r="EI40" s="223"/>
      <c r="EJ40" s="223"/>
      <c r="EK40" s="223"/>
      <c r="EL40" s="223"/>
      <c r="EM40" s="222"/>
      <c r="EN40" s="634"/>
      <c r="EO40" s="223"/>
      <c r="EP40" s="223"/>
      <c r="EQ40" s="223"/>
      <c r="ER40" s="223"/>
      <c r="ES40" s="223"/>
      <c r="ET40" s="64"/>
      <c r="EV40" s="142"/>
    </row>
    <row r="41" spans="1:152" s="61" customFormat="1" ht="13.5" customHeight="1" x14ac:dyDescent="0.15">
      <c r="A41" s="104"/>
      <c r="C41" s="695"/>
      <c r="D41" s="695"/>
      <c r="E41" s="695"/>
      <c r="F41" s="695"/>
      <c r="G41" s="634"/>
      <c r="H41" s="221"/>
      <c r="I41" s="696" t="str">
        <f>IF(I44="","",SUM(I44:J48))</f>
        <v/>
      </c>
      <c r="J41" s="696"/>
      <c r="K41" s="696"/>
      <c r="L41" s="696"/>
      <c r="Z41" s="695" t="str">
        <f>IF(Z44="","",SUM(Z44:AC48))</f>
        <v/>
      </c>
      <c r="AA41" s="695"/>
      <c r="AB41" s="695"/>
      <c r="AC41" s="695"/>
      <c r="AD41" s="222"/>
      <c r="AE41" s="634"/>
      <c r="AF41" s="696" t="str">
        <f>IF(AF44="","",SUM(AF44:AG48))</f>
        <v/>
      </c>
      <c r="AG41" s="696"/>
      <c r="AH41" s="696"/>
      <c r="AI41" s="696"/>
      <c r="AS41" s="695"/>
      <c r="AT41" s="695"/>
      <c r="AU41" s="695"/>
      <c r="AV41" s="695"/>
      <c r="AW41" s="634"/>
      <c r="AX41" s="221"/>
      <c r="AY41" s="696" t="str">
        <f>IF(AY44="","",SUM(AY44:BB48))</f>
        <v/>
      </c>
      <c r="AZ41" s="696"/>
      <c r="BA41" s="696"/>
      <c r="BB41" s="696"/>
      <c r="BO41" s="695"/>
      <c r="BP41" s="695"/>
      <c r="BQ41" s="695"/>
      <c r="BR41" s="695"/>
      <c r="BS41" s="222"/>
      <c r="BT41" s="634"/>
      <c r="BU41" s="696" t="str">
        <f>IF(BU44="","",SUM(BU44:BW48))</f>
        <v/>
      </c>
      <c r="BV41" s="696"/>
      <c r="BW41" s="696"/>
      <c r="BX41" s="696"/>
      <c r="CC41" s="695"/>
      <c r="CD41" s="695"/>
      <c r="CE41" s="695"/>
      <c r="CF41" s="695"/>
      <c r="CG41" s="634"/>
      <c r="CH41" s="221"/>
      <c r="CI41" s="696" t="str">
        <f>IF(CI44="","",SUM(CI44:CL48))</f>
        <v/>
      </c>
      <c r="CJ41" s="696"/>
      <c r="CK41" s="696"/>
      <c r="CL41" s="696"/>
      <c r="CY41" s="695"/>
      <c r="CZ41" s="695"/>
      <c r="DA41" s="695"/>
      <c r="DB41" s="695"/>
      <c r="DC41" s="222"/>
      <c r="DD41" s="634"/>
      <c r="DE41" s="696" t="str">
        <f>IF(DE44="","",SUM(DE44:DG48))</f>
        <v/>
      </c>
      <c r="DF41" s="696"/>
      <c r="DG41" s="696"/>
      <c r="DH41" s="696"/>
      <c r="DM41" s="695"/>
      <c r="DN41" s="695"/>
      <c r="DO41" s="695"/>
      <c r="DP41" s="695"/>
      <c r="DQ41" s="634"/>
      <c r="DR41" s="221"/>
      <c r="DS41" s="696" t="str">
        <f>IF(DS44="","",SUM(DS44:DV48))</f>
        <v/>
      </c>
      <c r="DT41" s="696"/>
      <c r="DU41" s="696"/>
      <c r="DV41" s="696"/>
      <c r="EI41" s="695"/>
      <c r="EJ41" s="695"/>
      <c r="EK41" s="695"/>
      <c r="EL41" s="695"/>
      <c r="EM41" s="222"/>
      <c r="EN41" s="634"/>
      <c r="EO41" s="696" t="str">
        <f>IF(EO44="","",SUM(EO44:EQ48))</f>
        <v/>
      </c>
      <c r="EP41" s="696"/>
      <c r="EQ41" s="696"/>
      <c r="ER41" s="696"/>
      <c r="ET41" s="64"/>
      <c r="EV41" s="142"/>
    </row>
    <row r="42" spans="1:152" s="90" customFormat="1" ht="13.5" hidden="1" customHeight="1" x14ac:dyDescent="0.15">
      <c r="A42" s="107"/>
      <c r="C42" s="698">
        <f>SUM(D44:F48)</f>
        <v>0.54166666666666663</v>
      </c>
      <c r="D42" s="698"/>
      <c r="E42" s="698"/>
      <c r="F42" s="698"/>
      <c r="G42" s="634"/>
      <c r="H42" s="154"/>
      <c r="I42" s="697">
        <f>SUM(I44:J48)</f>
        <v>0</v>
      </c>
      <c r="J42" s="697"/>
      <c r="K42" s="697"/>
      <c r="L42" s="697"/>
      <c r="Z42" s="698">
        <f>SUM(Z44:AC48)</f>
        <v>0</v>
      </c>
      <c r="AA42" s="698"/>
      <c r="AB42" s="698"/>
      <c r="AC42" s="698"/>
      <c r="AD42" s="155"/>
      <c r="AE42" s="634"/>
      <c r="AF42" s="697">
        <f>SUM(AF44:AG48)</f>
        <v>0</v>
      </c>
      <c r="AG42" s="697"/>
      <c r="AH42" s="697"/>
      <c r="AI42" s="697"/>
      <c r="AS42" s="698">
        <f>SUM(AS44:AV48)</f>
        <v>0.59722222222222221</v>
      </c>
      <c r="AT42" s="698"/>
      <c r="AU42" s="698"/>
      <c r="AV42" s="698"/>
      <c r="AW42" s="634"/>
      <c r="AX42" s="154"/>
      <c r="AY42" s="697">
        <f>SUM(AY44:AZ48)</f>
        <v>0</v>
      </c>
      <c r="AZ42" s="697"/>
      <c r="BA42" s="697"/>
      <c r="BB42" s="697"/>
      <c r="BO42" s="698">
        <f>SUM(BO44:BR48)</f>
        <v>0.59722222222222221</v>
      </c>
      <c r="BP42" s="698"/>
      <c r="BQ42" s="698"/>
      <c r="BR42" s="698"/>
      <c r="BS42" s="155"/>
      <c r="BT42" s="634"/>
      <c r="BU42" s="697">
        <f>SUM(BU44:BW48)</f>
        <v>0</v>
      </c>
      <c r="BV42" s="697"/>
      <c r="BW42" s="697"/>
      <c r="BX42" s="697"/>
      <c r="CC42" s="698">
        <f>SUM(CC44:CF48)</f>
        <v>0.54166666666666663</v>
      </c>
      <c r="CD42" s="698"/>
      <c r="CE42" s="698"/>
      <c r="CF42" s="698"/>
      <c r="CG42" s="634"/>
      <c r="CH42" s="154"/>
      <c r="CI42" s="697">
        <f>SUM(CI44:CL48)</f>
        <v>0</v>
      </c>
      <c r="CJ42" s="697"/>
      <c r="CK42" s="697"/>
      <c r="CL42" s="697"/>
      <c r="CY42" s="698">
        <f>SUM(CY44:DB48)</f>
        <v>0.54166666666666663</v>
      </c>
      <c r="CZ42" s="698"/>
      <c r="DA42" s="698"/>
      <c r="DB42" s="698"/>
      <c r="DC42" s="155"/>
      <c r="DD42" s="634"/>
      <c r="DE42" s="697">
        <f>SUM(DE44:DG48)</f>
        <v>0</v>
      </c>
      <c r="DF42" s="697"/>
      <c r="DG42" s="697"/>
      <c r="DH42" s="697"/>
      <c r="DM42" s="698">
        <f>SUM(DM44:DP48)</f>
        <v>0.59722222222222221</v>
      </c>
      <c r="DN42" s="698"/>
      <c r="DO42" s="698"/>
      <c r="DP42" s="698"/>
      <c r="DQ42" s="634"/>
      <c r="DR42" s="154"/>
      <c r="DS42" s="697">
        <f>SUM(DS44:DT48)</f>
        <v>0</v>
      </c>
      <c r="DT42" s="697"/>
      <c r="DU42" s="697"/>
      <c r="DV42" s="697"/>
      <c r="EI42" s="698">
        <f>SUM(EI44:EL48)</f>
        <v>0.54166666666666663</v>
      </c>
      <c r="EJ42" s="698"/>
      <c r="EK42" s="698"/>
      <c r="EL42" s="698"/>
      <c r="EM42" s="155"/>
      <c r="EN42" s="634"/>
      <c r="EO42" s="697">
        <f>SUM(EO44:EQ48)</f>
        <v>0</v>
      </c>
      <c r="EP42" s="697"/>
      <c r="EQ42" s="697"/>
      <c r="ER42" s="697"/>
      <c r="ET42" s="89"/>
      <c r="EV42" s="158"/>
    </row>
    <row r="43" spans="1:152" s="61" customFormat="1" ht="3.75" customHeight="1" x14ac:dyDescent="0.15">
      <c r="A43" s="104"/>
      <c r="D43" s="634"/>
      <c r="E43" s="634"/>
      <c r="F43" s="634"/>
      <c r="G43" s="634"/>
      <c r="H43" s="752"/>
      <c r="I43" s="634"/>
      <c r="J43" s="634"/>
      <c r="K43" s="634"/>
      <c r="L43" s="634"/>
      <c r="Y43" s="634"/>
      <c r="Z43" s="634"/>
      <c r="AA43" s="634"/>
      <c r="AB43" s="634"/>
      <c r="AC43" s="634"/>
      <c r="AD43" s="750"/>
      <c r="AE43" s="634"/>
      <c r="AF43" s="634"/>
      <c r="AG43" s="634"/>
      <c r="AH43" s="634"/>
      <c r="AI43" s="634"/>
      <c r="AJ43" s="634"/>
      <c r="AT43" s="634"/>
      <c r="AU43" s="634"/>
      <c r="AV43" s="634"/>
      <c r="AW43" s="634"/>
      <c r="AX43" s="752"/>
      <c r="AY43" s="634"/>
      <c r="AZ43" s="634"/>
      <c r="BA43" s="634"/>
      <c r="BB43" s="634"/>
      <c r="BO43" s="634"/>
      <c r="BP43" s="634"/>
      <c r="BQ43" s="634"/>
      <c r="BR43" s="634"/>
      <c r="BS43" s="750"/>
      <c r="BT43" s="634"/>
      <c r="BU43" s="634"/>
      <c r="BV43" s="634"/>
      <c r="BW43" s="634"/>
      <c r="CD43" s="634"/>
      <c r="CE43" s="634"/>
      <c r="CF43" s="634"/>
      <c r="CG43" s="634"/>
      <c r="CH43" s="752"/>
      <c r="CI43" s="634"/>
      <c r="CJ43" s="634"/>
      <c r="CK43" s="634"/>
      <c r="CL43" s="634"/>
      <c r="CY43" s="634"/>
      <c r="CZ43" s="634"/>
      <c r="DA43" s="634"/>
      <c r="DB43" s="634"/>
      <c r="DC43" s="750"/>
      <c r="DD43" s="634"/>
      <c r="DE43" s="634"/>
      <c r="DF43" s="634"/>
      <c r="DG43" s="634"/>
      <c r="DN43" s="634"/>
      <c r="DO43" s="634"/>
      <c r="DP43" s="634"/>
      <c r="DQ43" s="634"/>
      <c r="DR43" s="752"/>
      <c r="DS43" s="634"/>
      <c r="DT43" s="634"/>
      <c r="DU43" s="634"/>
      <c r="DV43" s="634"/>
      <c r="EI43" s="634"/>
      <c r="EJ43" s="634"/>
      <c r="EK43" s="634"/>
      <c r="EL43" s="634"/>
      <c r="EM43" s="750"/>
      <c r="EN43" s="634"/>
      <c r="EO43" s="634"/>
      <c r="EP43" s="634"/>
      <c r="EQ43" s="634"/>
      <c r="ET43" s="64"/>
      <c r="EV43" s="142"/>
    </row>
    <row r="44" spans="1:152" s="111" customFormat="1" ht="20.25" customHeight="1" x14ac:dyDescent="0.2">
      <c r="A44" s="156">
        <f ca="1">A19-2</f>
        <v>45458</v>
      </c>
      <c r="C44" s="750"/>
      <c r="D44" s="756" t="s">
        <v>126</v>
      </c>
      <c r="E44" s="757"/>
      <c r="F44" s="757"/>
      <c r="G44" s="757"/>
      <c r="H44" s="757"/>
      <c r="I44" s="757"/>
      <c r="J44" s="757"/>
      <c r="K44" s="757"/>
      <c r="L44" s="758"/>
      <c r="M44" s="634"/>
      <c r="N44" s="159"/>
      <c r="O44" s="159"/>
      <c r="P44" s="159"/>
      <c r="Q44" s="159"/>
      <c r="T44" s="159"/>
      <c r="U44" s="159"/>
      <c r="V44" s="159"/>
      <c r="W44" s="159"/>
      <c r="X44" s="634"/>
      <c r="Y44" s="759" t="s">
        <v>127</v>
      </c>
      <c r="Z44" s="751"/>
      <c r="AA44" s="751"/>
      <c r="AB44" s="751"/>
      <c r="AC44" s="751"/>
      <c r="AD44" s="751"/>
      <c r="AE44" s="751"/>
      <c r="AF44" s="751"/>
      <c r="AG44" s="751"/>
      <c r="AH44" s="751"/>
      <c r="AI44" s="751"/>
      <c r="AJ44" s="760"/>
      <c r="AK44" s="634"/>
      <c r="AL44" s="159"/>
      <c r="AM44" s="159"/>
      <c r="AN44" s="159"/>
      <c r="AO44" s="159"/>
      <c r="AS44" s="750"/>
      <c r="AT44" s="756" t="s">
        <v>128</v>
      </c>
      <c r="AU44" s="757"/>
      <c r="AV44" s="757"/>
      <c r="AW44" s="757"/>
      <c r="AX44" s="757"/>
      <c r="AY44" s="757"/>
      <c r="AZ44" s="757"/>
      <c r="BA44" s="757"/>
      <c r="BB44" s="758"/>
      <c r="BC44" s="634"/>
      <c r="BD44" s="159"/>
      <c r="BE44" s="159"/>
      <c r="BF44" s="159"/>
      <c r="BG44" s="159"/>
      <c r="BJ44" s="159"/>
      <c r="BK44" s="159"/>
      <c r="BL44" s="159"/>
      <c r="BM44" s="159"/>
      <c r="BN44" s="634"/>
      <c r="BO44" s="759" t="s">
        <v>129</v>
      </c>
      <c r="BP44" s="751"/>
      <c r="BQ44" s="751"/>
      <c r="BR44" s="751"/>
      <c r="BS44" s="751"/>
      <c r="BT44" s="751"/>
      <c r="BU44" s="751"/>
      <c r="BV44" s="751"/>
      <c r="BW44" s="760"/>
      <c r="BX44" s="752"/>
      <c r="CC44" s="750"/>
      <c r="CD44" s="756" t="s">
        <v>130</v>
      </c>
      <c r="CE44" s="757"/>
      <c r="CF44" s="757"/>
      <c r="CG44" s="757"/>
      <c r="CH44" s="757"/>
      <c r="CI44" s="757"/>
      <c r="CJ44" s="757"/>
      <c r="CK44" s="757"/>
      <c r="CL44" s="758"/>
      <c r="CM44" s="634"/>
      <c r="CN44" s="159"/>
      <c r="CO44" s="159"/>
      <c r="CP44" s="159"/>
      <c r="CQ44" s="159"/>
      <c r="CT44" s="159"/>
      <c r="CU44" s="159"/>
      <c r="CV44" s="159"/>
      <c r="CW44" s="159"/>
      <c r="CX44" s="634"/>
      <c r="CY44" s="759" t="s">
        <v>131</v>
      </c>
      <c r="CZ44" s="751"/>
      <c r="DA44" s="751"/>
      <c r="DB44" s="751"/>
      <c r="DC44" s="751"/>
      <c r="DD44" s="751"/>
      <c r="DE44" s="751"/>
      <c r="DF44" s="751"/>
      <c r="DG44" s="760"/>
      <c r="DH44" s="752"/>
      <c r="DM44" s="750"/>
      <c r="DN44" s="756" t="s">
        <v>132</v>
      </c>
      <c r="DO44" s="757"/>
      <c r="DP44" s="757"/>
      <c r="DQ44" s="757"/>
      <c r="DR44" s="757"/>
      <c r="DS44" s="757"/>
      <c r="DT44" s="757"/>
      <c r="DU44" s="757"/>
      <c r="DV44" s="758"/>
      <c r="DW44" s="634"/>
      <c r="DX44" s="159"/>
      <c r="DY44" s="159"/>
      <c r="DZ44" s="159"/>
      <c r="EA44" s="159"/>
      <c r="ED44" s="159"/>
      <c r="EE44" s="159"/>
      <c r="EF44" s="159"/>
      <c r="EG44" s="159"/>
      <c r="EH44" s="634"/>
      <c r="EI44" s="759" t="s">
        <v>133</v>
      </c>
      <c r="EJ44" s="751"/>
      <c r="EK44" s="751"/>
      <c r="EL44" s="751"/>
      <c r="EM44" s="751"/>
      <c r="EN44" s="751"/>
      <c r="EO44" s="751"/>
      <c r="EP44" s="751"/>
      <c r="EQ44" s="760"/>
      <c r="ER44" s="752"/>
      <c r="ET44" s="108"/>
      <c r="EV44" s="112"/>
    </row>
    <row r="45" spans="1:152" s="61" customFormat="1" ht="7.5" customHeight="1" x14ac:dyDescent="0.15">
      <c r="A45" s="755" t="str">
        <f ca="1">"("&amp;CHOOSE(WEEKDAY(A44),"日","月","火","水","木","金","土")&amp;")"</f>
        <v>(土)</v>
      </c>
      <c r="C45" s="750"/>
      <c r="D45" s="624"/>
      <c r="E45" s="624"/>
      <c r="F45" s="624"/>
      <c r="G45" s="634"/>
      <c r="H45" s="634"/>
      <c r="I45" s="696"/>
      <c r="J45" s="696"/>
      <c r="K45" s="696"/>
      <c r="L45" s="761"/>
      <c r="M45" s="634"/>
      <c r="N45" s="160"/>
      <c r="O45" s="160"/>
      <c r="P45" s="160"/>
      <c r="Q45" s="160"/>
      <c r="T45" s="160"/>
      <c r="U45" s="160"/>
      <c r="V45" s="160"/>
      <c r="W45" s="160"/>
      <c r="X45" s="634"/>
      <c r="Y45" s="221"/>
      <c r="Z45" s="695"/>
      <c r="AA45" s="695"/>
      <c r="AB45" s="695"/>
      <c r="AC45" s="695"/>
      <c r="AD45" s="634"/>
      <c r="AE45" s="634"/>
      <c r="AF45" s="696"/>
      <c r="AG45" s="696"/>
      <c r="AH45" s="696"/>
      <c r="AI45" s="696"/>
      <c r="AJ45" s="222"/>
      <c r="AK45" s="634"/>
      <c r="AL45" s="160"/>
      <c r="AM45" s="160"/>
      <c r="AN45" s="160"/>
      <c r="AO45" s="160"/>
      <c r="AS45" s="750"/>
      <c r="AT45" s="624"/>
      <c r="AU45" s="624"/>
      <c r="AV45" s="624"/>
      <c r="AW45" s="634"/>
      <c r="AX45" s="634"/>
      <c r="AY45" s="696"/>
      <c r="AZ45" s="696"/>
      <c r="BA45" s="696"/>
      <c r="BB45" s="761"/>
      <c r="BC45" s="634"/>
      <c r="BD45" s="160"/>
      <c r="BE45" s="160"/>
      <c r="BF45" s="160"/>
      <c r="BG45" s="160"/>
      <c r="BJ45" s="160"/>
      <c r="BK45" s="160"/>
      <c r="BL45" s="160"/>
      <c r="BM45" s="160"/>
      <c r="BN45" s="634"/>
      <c r="BO45" s="762"/>
      <c r="BP45" s="695"/>
      <c r="BQ45" s="695"/>
      <c r="BR45" s="695"/>
      <c r="BS45" s="634"/>
      <c r="BT45" s="634"/>
      <c r="BU45" s="696"/>
      <c r="BV45" s="696"/>
      <c r="BW45" s="696"/>
      <c r="BX45" s="752"/>
      <c r="CC45" s="750"/>
      <c r="CD45" s="624"/>
      <c r="CE45" s="624"/>
      <c r="CF45" s="624"/>
      <c r="CG45" s="634"/>
      <c r="CH45" s="634"/>
      <c r="CI45" s="696"/>
      <c r="CJ45" s="696"/>
      <c r="CK45" s="696"/>
      <c r="CL45" s="761"/>
      <c r="CM45" s="634"/>
      <c r="CN45" s="160"/>
      <c r="CO45" s="160"/>
      <c r="CP45" s="160"/>
      <c r="CQ45" s="160"/>
      <c r="CT45" s="160"/>
      <c r="CU45" s="160"/>
      <c r="CV45" s="160"/>
      <c r="CW45" s="160"/>
      <c r="CX45" s="634"/>
      <c r="CY45" s="762"/>
      <c r="CZ45" s="695"/>
      <c r="DA45" s="695"/>
      <c r="DB45" s="695"/>
      <c r="DC45" s="634"/>
      <c r="DD45" s="634"/>
      <c r="DE45" s="696"/>
      <c r="DF45" s="696"/>
      <c r="DG45" s="696"/>
      <c r="DH45" s="752"/>
      <c r="DM45" s="750"/>
      <c r="DN45" s="624"/>
      <c r="DO45" s="624"/>
      <c r="DP45" s="624"/>
      <c r="DQ45" s="634"/>
      <c r="DR45" s="634"/>
      <c r="DS45" s="696"/>
      <c r="DT45" s="696"/>
      <c r="DU45" s="696"/>
      <c r="DV45" s="761"/>
      <c r="DW45" s="634"/>
      <c r="DX45" s="160"/>
      <c r="DY45" s="160"/>
      <c r="DZ45" s="160"/>
      <c r="EA45" s="160"/>
      <c r="ED45" s="160"/>
      <c r="EE45" s="160"/>
      <c r="EF45" s="160"/>
      <c r="EG45" s="160"/>
      <c r="EH45" s="634"/>
      <c r="EI45" s="762"/>
      <c r="EJ45" s="695"/>
      <c r="EK45" s="695"/>
      <c r="EL45" s="695"/>
      <c r="EM45" s="634"/>
      <c r="EN45" s="634"/>
      <c r="EO45" s="696"/>
      <c r="EP45" s="696"/>
      <c r="EQ45" s="696"/>
      <c r="ER45" s="752"/>
      <c r="ET45" s="64"/>
      <c r="EV45" s="76"/>
    </row>
    <row r="46" spans="1:152" s="61" customFormat="1" ht="13.5" customHeight="1" x14ac:dyDescent="0.2">
      <c r="A46" s="755"/>
      <c r="B46" s="106"/>
      <c r="C46" s="750"/>
      <c r="D46" s="773" t="s">
        <v>134</v>
      </c>
      <c r="E46" s="615"/>
      <c r="F46" s="615"/>
      <c r="G46" s="615"/>
      <c r="H46" s="615"/>
      <c r="I46" s="615"/>
      <c r="J46" s="615"/>
      <c r="K46" s="615"/>
      <c r="L46" s="774"/>
      <c r="M46" s="634"/>
      <c r="N46" s="160"/>
      <c r="O46" s="160"/>
      <c r="P46" s="776"/>
      <c r="Q46" s="776"/>
      <c r="T46" s="160"/>
      <c r="U46" s="160"/>
      <c r="V46" s="160"/>
      <c r="W46" s="160"/>
      <c r="X46" s="634"/>
      <c r="Y46" s="752" t="s">
        <v>69</v>
      </c>
      <c r="Z46" s="634"/>
      <c r="AA46" s="634"/>
      <c r="AB46" s="634"/>
      <c r="AC46" s="634"/>
      <c r="AD46" s="634"/>
      <c r="AE46" s="634"/>
      <c r="AF46" s="634"/>
      <c r="AG46" s="634"/>
      <c r="AH46" s="634"/>
      <c r="AI46" s="634"/>
      <c r="AJ46" s="750"/>
      <c r="AK46" s="634"/>
      <c r="AL46" s="160"/>
      <c r="AM46" s="160"/>
      <c r="AN46" s="160"/>
      <c r="AO46" s="160"/>
      <c r="AS46" s="750"/>
      <c r="AT46" s="773" t="s">
        <v>135</v>
      </c>
      <c r="AU46" s="615"/>
      <c r="AV46" s="615"/>
      <c r="AW46" s="615"/>
      <c r="AX46" s="615"/>
      <c r="AY46" s="615"/>
      <c r="AZ46" s="615"/>
      <c r="BA46" s="615"/>
      <c r="BB46" s="774"/>
      <c r="BC46" s="634"/>
      <c r="BD46" s="160"/>
      <c r="BE46" s="160"/>
      <c r="BF46" s="160"/>
      <c r="BG46" s="160"/>
      <c r="BJ46" s="160"/>
      <c r="BK46" s="160"/>
      <c r="BL46" s="160"/>
      <c r="BM46" s="160"/>
      <c r="BN46" s="634"/>
      <c r="BO46" s="773" t="s">
        <v>134</v>
      </c>
      <c r="BP46" s="615"/>
      <c r="BQ46" s="615"/>
      <c r="BR46" s="615"/>
      <c r="BS46" s="615"/>
      <c r="BT46" s="615"/>
      <c r="BU46" s="615"/>
      <c r="BV46" s="615"/>
      <c r="BW46" s="774"/>
      <c r="BX46" s="752"/>
      <c r="BY46" s="31"/>
      <c r="BZ46" s="31"/>
      <c r="CA46" s="31"/>
      <c r="CB46" s="31"/>
      <c r="CC46" s="750"/>
      <c r="CD46" s="773" t="s">
        <v>135</v>
      </c>
      <c r="CE46" s="615"/>
      <c r="CF46" s="615"/>
      <c r="CG46" s="615"/>
      <c r="CH46" s="615"/>
      <c r="CI46" s="615"/>
      <c r="CJ46" s="615"/>
      <c r="CK46" s="615"/>
      <c r="CL46" s="774"/>
      <c r="CM46" s="634"/>
      <c r="CN46" s="160"/>
      <c r="CO46" s="160"/>
      <c r="CP46" s="160"/>
      <c r="CQ46" s="160"/>
      <c r="CT46" s="160"/>
      <c r="CU46" s="160"/>
      <c r="CV46" s="160"/>
      <c r="CW46" s="160"/>
      <c r="CX46" s="634"/>
      <c r="CY46" s="773" t="s">
        <v>74</v>
      </c>
      <c r="CZ46" s="615"/>
      <c r="DA46" s="615"/>
      <c r="DB46" s="615"/>
      <c r="DC46" s="615"/>
      <c r="DD46" s="615"/>
      <c r="DE46" s="615"/>
      <c r="DF46" s="615"/>
      <c r="DG46" s="774"/>
      <c r="DH46" s="752"/>
      <c r="DM46" s="750"/>
      <c r="DN46" s="773" t="s">
        <v>74</v>
      </c>
      <c r="DO46" s="615"/>
      <c r="DP46" s="615"/>
      <c r="DQ46" s="615"/>
      <c r="DR46" s="615"/>
      <c r="DS46" s="615"/>
      <c r="DT46" s="615"/>
      <c r="DU46" s="615"/>
      <c r="DV46" s="774"/>
      <c r="DW46" s="634"/>
      <c r="DX46" s="160"/>
      <c r="DY46" s="160"/>
      <c r="DZ46" s="160"/>
      <c r="EA46" s="160"/>
      <c r="ED46" s="160"/>
      <c r="EE46" s="160"/>
      <c r="EF46" s="160"/>
      <c r="EG46" s="160"/>
      <c r="EH46" s="634"/>
      <c r="EI46" s="773" t="s">
        <v>69</v>
      </c>
      <c r="EJ46" s="615"/>
      <c r="EK46" s="615"/>
      <c r="EL46" s="615"/>
      <c r="EM46" s="615"/>
      <c r="EN46" s="615"/>
      <c r="EO46" s="615"/>
      <c r="EP46" s="615"/>
      <c r="EQ46" s="774"/>
      <c r="ER46" s="752"/>
      <c r="ES46" s="31"/>
      <c r="ET46" s="64"/>
      <c r="EV46" s="161" t="s">
        <v>69</v>
      </c>
    </row>
    <row r="47" spans="1:152" s="61" customFormat="1" ht="13.5" customHeight="1" x14ac:dyDescent="0.15">
      <c r="A47" s="104"/>
      <c r="B47" s="104"/>
      <c r="C47" s="750"/>
      <c r="D47" s="191"/>
      <c r="E47" s="76"/>
      <c r="F47" s="76"/>
      <c r="G47" s="76"/>
      <c r="H47" s="76"/>
      <c r="I47" s="76"/>
      <c r="J47" s="76"/>
      <c r="K47" s="76"/>
      <c r="L47" s="226"/>
      <c r="M47" s="634"/>
      <c r="N47" s="160"/>
      <c r="O47" s="160"/>
      <c r="P47" s="104"/>
      <c r="Q47" s="104"/>
      <c r="T47" s="160"/>
      <c r="U47" s="160"/>
      <c r="V47" s="160"/>
      <c r="W47" s="160"/>
      <c r="X47" s="634"/>
      <c r="Y47" s="221"/>
      <c r="AJ47" s="222"/>
      <c r="AK47" s="634"/>
      <c r="AL47" s="160"/>
      <c r="AM47" s="160"/>
      <c r="AN47" s="160"/>
      <c r="AO47" s="160"/>
      <c r="AS47" s="750"/>
      <c r="AT47" s="191"/>
      <c r="AU47" s="76"/>
      <c r="AV47" s="76"/>
      <c r="AW47" s="76"/>
      <c r="AX47" s="76"/>
      <c r="AY47" s="76"/>
      <c r="AZ47" s="76"/>
      <c r="BA47" s="76"/>
      <c r="BB47" s="226"/>
      <c r="BC47" s="634"/>
      <c r="BD47" s="160"/>
      <c r="BE47" s="160"/>
      <c r="BF47" s="160"/>
      <c r="BG47" s="160"/>
      <c r="BJ47" s="160"/>
      <c r="BK47" s="160"/>
      <c r="BL47" s="160"/>
      <c r="BM47" s="160"/>
      <c r="BN47" s="634"/>
      <c r="BO47" s="221"/>
      <c r="BW47" s="222"/>
      <c r="BX47" s="752"/>
      <c r="CC47" s="750"/>
      <c r="CD47" s="191"/>
      <c r="CE47" s="76"/>
      <c r="CF47" s="76"/>
      <c r="CG47" s="76"/>
      <c r="CH47" s="76"/>
      <c r="CI47" s="76"/>
      <c r="CJ47" s="76"/>
      <c r="CK47" s="76"/>
      <c r="CL47" s="226"/>
      <c r="CM47" s="634"/>
      <c r="CN47" s="160"/>
      <c r="CO47" s="160"/>
      <c r="CP47" s="160"/>
      <c r="CQ47" s="160"/>
      <c r="CT47" s="160"/>
      <c r="CU47" s="160"/>
      <c r="CV47" s="160"/>
      <c r="CW47" s="160"/>
      <c r="CX47" s="634"/>
      <c r="CY47" s="221"/>
      <c r="DG47" s="222"/>
      <c r="DH47" s="752"/>
      <c r="DM47" s="750"/>
      <c r="DN47" s="191"/>
      <c r="DO47" s="76"/>
      <c r="DP47" s="76"/>
      <c r="DQ47" s="76"/>
      <c r="DR47" s="76"/>
      <c r="DS47" s="76"/>
      <c r="DT47" s="76"/>
      <c r="DU47" s="76"/>
      <c r="DV47" s="226"/>
      <c r="DW47" s="634"/>
      <c r="DX47" s="160"/>
      <c r="DY47" s="160"/>
      <c r="DZ47" s="160"/>
      <c r="EA47" s="160"/>
      <c r="ED47" s="160"/>
      <c r="EE47" s="160"/>
      <c r="EF47" s="160"/>
      <c r="EG47" s="160"/>
      <c r="EH47" s="634"/>
      <c r="EI47" s="221"/>
      <c r="EQ47" s="222"/>
      <c r="ER47" s="752"/>
      <c r="ET47" s="64"/>
      <c r="EV47" s="142" t="s">
        <v>135</v>
      </c>
    </row>
    <row r="48" spans="1:152" s="227" customFormat="1" ht="13.5" customHeight="1" x14ac:dyDescent="0.15">
      <c r="A48" s="775"/>
      <c r="B48" s="775"/>
      <c r="C48" s="750"/>
      <c r="D48" s="763">
        <v>0.54166666666666663</v>
      </c>
      <c r="E48" s="764"/>
      <c r="F48" s="764"/>
      <c r="G48" s="764"/>
      <c r="H48" s="764"/>
      <c r="I48" s="764"/>
      <c r="J48" s="764"/>
      <c r="K48" s="764"/>
      <c r="L48" s="765"/>
      <c r="M48" s="634"/>
      <c r="N48" s="162"/>
      <c r="O48" s="162"/>
      <c r="P48" s="775"/>
      <c r="Q48" s="775"/>
      <c r="T48" s="162"/>
      <c r="U48" s="162"/>
      <c r="V48" s="162"/>
      <c r="W48" s="162"/>
      <c r="X48" s="634"/>
      <c r="Y48" s="766">
        <v>0.63888888888888895</v>
      </c>
      <c r="Z48" s="739"/>
      <c r="AA48" s="739"/>
      <c r="AB48" s="739"/>
      <c r="AC48" s="739"/>
      <c r="AD48" s="739"/>
      <c r="AE48" s="739"/>
      <c r="AF48" s="739"/>
      <c r="AG48" s="739"/>
      <c r="AH48" s="739"/>
      <c r="AI48" s="739"/>
      <c r="AJ48" s="767"/>
      <c r="AK48" s="634"/>
      <c r="AL48" s="162"/>
      <c r="AM48" s="162"/>
      <c r="AN48" s="162"/>
      <c r="AO48" s="162"/>
      <c r="AS48" s="750"/>
      <c r="AT48" s="763">
        <v>0.59722222222222221</v>
      </c>
      <c r="AU48" s="764"/>
      <c r="AV48" s="764"/>
      <c r="AW48" s="764"/>
      <c r="AX48" s="764"/>
      <c r="AY48" s="764"/>
      <c r="AZ48" s="764"/>
      <c r="BA48" s="764"/>
      <c r="BB48" s="765"/>
      <c r="BC48" s="634"/>
      <c r="BD48" s="162"/>
      <c r="BE48" s="162"/>
      <c r="BF48" s="162"/>
      <c r="BG48" s="162"/>
      <c r="BJ48" s="162"/>
      <c r="BK48" s="162"/>
      <c r="BL48" s="162"/>
      <c r="BM48" s="162"/>
      <c r="BN48" s="634"/>
      <c r="BO48" s="766">
        <v>0.59722222222222221</v>
      </c>
      <c r="BP48" s="739"/>
      <c r="BQ48" s="739"/>
      <c r="BR48" s="739"/>
      <c r="BS48" s="739"/>
      <c r="BT48" s="739"/>
      <c r="BU48" s="739"/>
      <c r="BV48" s="739"/>
      <c r="BW48" s="767"/>
      <c r="BX48" s="752"/>
      <c r="BY48" s="242"/>
      <c r="BZ48" s="242"/>
      <c r="CA48" s="242"/>
      <c r="CB48" s="242"/>
      <c r="CC48" s="750"/>
      <c r="CD48" s="763">
        <v>0.54166666666666663</v>
      </c>
      <c r="CE48" s="764"/>
      <c r="CF48" s="764"/>
      <c r="CG48" s="764"/>
      <c r="CH48" s="764"/>
      <c r="CI48" s="764"/>
      <c r="CJ48" s="764"/>
      <c r="CK48" s="764"/>
      <c r="CL48" s="765"/>
      <c r="CM48" s="634"/>
      <c r="CN48" s="162"/>
      <c r="CO48" s="162"/>
      <c r="CP48" s="162"/>
      <c r="CQ48" s="162"/>
      <c r="CT48" s="162"/>
      <c r="CU48" s="162"/>
      <c r="CV48" s="162"/>
      <c r="CW48" s="162"/>
      <c r="CX48" s="634"/>
      <c r="CY48" s="766">
        <v>0.54166666666666663</v>
      </c>
      <c r="CZ48" s="739"/>
      <c r="DA48" s="739"/>
      <c r="DB48" s="739"/>
      <c r="DC48" s="739"/>
      <c r="DD48" s="739"/>
      <c r="DE48" s="739"/>
      <c r="DF48" s="739"/>
      <c r="DG48" s="767"/>
      <c r="DH48" s="752"/>
      <c r="DM48" s="750"/>
      <c r="DN48" s="763">
        <v>0.59722222222222221</v>
      </c>
      <c r="DO48" s="764"/>
      <c r="DP48" s="764"/>
      <c r="DQ48" s="764"/>
      <c r="DR48" s="764"/>
      <c r="DS48" s="764"/>
      <c r="DT48" s="764"/>
      <c r="DU48" s="764"/>
      <c r="DV48" s="765"/>
      <c r="DW48" s="634"/>
      <c r="DX48" s="162"/>
      <c r="DY48" s="162"/>
      <c r="DZ48" s="162"/>
      <c r="EA48" s="162"/>
      <c r="ED48" s="162"/>
      <c r="EE48" s="162"/>
      <c r="EF48" s="162"/>
      <c r="EG48" s="162"/>
      <c r="EH48" s="634"/>
      <c r="EI48" s="766">
        <v>0.54166666666666663</v>
      </c>
      <c r="EJ48" s="739"/>
      <c r="EK48" s="739"/>
      <c r="EL48" s="739"/>
      <c r="EM48" s="739"/>
      <c r="EN48" s="739"/>
      <c r="EO48" s="739"/>
      <c r="EP48" s="739"/>
      <c r="EQ48" s="767"/>
      <c r="ER48" s="752"/>
      <c r="ES48" s="242"/>
      <c r="ET48" s="163"/>
      <c r="EV48" s="142" t="s">
        <v>136</v>
      </c>
    </row>
    <row r="49" spans="1:155" s="61" customFormat="1" ht="13.5" customHeight="1" x14ac:dyDescent="0.15">
      <c r="A49" s="104"/>
      <c r="C49" s="750"/>
      <c r="D49" s="76"/>
      <c r="F49" s="634"/>
      <c r="G49" s="634"/>
      <c r="H49" s="634"/>
      <c r="I49" s="634"/>
      <c r="L49" s="222"/>
      <c r="M49" s="634"/>
      <c r="X49" s="634"/>
      <c r="Y49" s="221"/>
      <c r="AC49" s="634"/>
      <c r="AD49" s="634"/>
      <c r="AE49" s="634"/>
      <c r="AF49" s="634"/>
      <c r="AJ49" s="222"/>
      <c r="AK49" s="634"/>
      <c r="AS49" s="750"/>
      <c r="AT49" s="76"/>
      <c r="AV49" s="634"/>
      <c r="AW49" s="634"/>
      <c r="AX49" s="634"/>
      <c r="AY49" s="634"/>
      <c r="BB49" s="222"/>
      <c r="BC49" s="634"/>
      <c r="BN49" s="634"/>
      <c r="BO49" s="221"/>
      <c r="BR49" s="634"/>
      <c r="BS49" s="634"/>
      <c r="BT49" s="634"/>
      <c r="BU49" s="634"/>
      <c r="BX49" s="752"/>
      <c r="CC49" s="750"/>
      <c r="CD49" s="76"/>
      <c r="CF49" s="634"/>
      <c r="CG49" s="634"/>
      <c r="CH49" s="634"/>
      <c r="CI49" s="634"/>
      <c r="CL49" s="222"/>
      <c r="CM49" s="634"/>
      <c r="CX49" s="634"/>
      <c r="CY49" s="221"/>
      <c r="DB49" s="634"/>
      <c r="DC49" s="634"/>
      <c r="DD49" s="634"/>
      <c r="DE49" s="634"/>
      <c r="DH49" s="752"/>
      <c r="DM49" s="750"/>
      <c r="DN49" s="76"/>
      <c r="DP49" s="634"/>
      <c r="DQ49" s="634"/>
      <c r="DR49" s="634"/>
      <c r="DS49" s="634"/>
      <c r="DV49" s="222"/>
      <c r="DW49" s="634"/>
      <c r="EH49" s="634"/>
      <c r="EI49" s="221"/>
      <c r="EL49" s="634"/>
      <c r="EM49" s="634"/>
      <c r="EN49" s="634"/>
      <c r="EO49" s="634"/>
      <c r="ER49" s="752"/>
      <c r="ET49" s="64"/>
      <c r="EV49" s="164" t="s">
        <v>74</v>
      </c>
    </row>
    <row r="50" spans="1:155" s="61" customFormat="1" ht="13.5" customHeight="1" x14ac:dyDescent="0.15">
      <c r="A50" s="104"/>
      <c r="C50" s="750"/>
      <c r="D50" s="76"/>
      <c r="H50" s="695" t="str">
        <f>IF(J53="","",SUM(J53:K57))</f>
        <v/>
      </c>
      <c r="I50" s="695"/>
      <c r="J50" s="695"/>
      <c r="K50" s="695"/>
      <c r="L50" s="222"/>
      <c r="M50" s="634"/>
      <c r="N50" s="696" t="str">
        <f>IF(N53="","",SUM(N53:O57))</f>
        <v/>
      </c>
      <c r="O50" s="696"/>
      <c r="P50" s="696"/>
      <c r="Q50" s="696"/>
      <c r="T50" s="695" t="str">
        <f>IF(V53="","",SUM(V53:W57))</f>
        <v/>
      </c>
      <c r="U50" s="695"/>
      <c r="V50" s="695"/>
      <c r="W50" s="695"/>
      <c r="X50" s="634"/>
      <c r="Y50" s="221"/>
      <c r="Z50" s="696" t="str">
        <f>IF(Z53="","",SUM(Z53:AA57))</f>
        <v/>
      </c>
      <c r="AA50" s="696"/>
      <c r="AB50" s="696"/>
      <c r="AC50" s="696"/>
      <c r="AF50" s="695" t="str">
        <f>IF(AH53="","",SUM(AH53:AI57))</f>
        <v/>
      </c>
      <c r="AG50" s="695"/>
      <c r="AH50" s="695"/>
      <c r="AI50" s="695"/>
      <c r="AJ50" s="222"/>
      <c r="AK50" s="634"/>
      <c r="AL50" s="696" t="str">
        <f>IF(AL53="","",SUM(AL53:AM57))</f>
        <v/>
      </c>
      <c r="AM50" s="696"/>
      <c r="AN50" s="696"/>
      <c r="AO50" s="696"/>
      <c r="AS50" s="750"/>
      <c r="AT50" s="76"/>
      <c r="AX50" s="695"/>
      <c r="AY50" s="695"/>
      <c r="AZ50" s="695"/>
      <c r="BA50" s="695"/>
      <c r="BB50" s="222"/>
      <c r="BC50" s="634"/>
      <c r="BD50" s="696" t="str">
        <f>IF(BD53="","",SUM(BD53:BE57))</f>
        <v/>
      </c>
      <c r="BE50" s="696"/>
      <c r="BF50" s="696"/>
      <c r="BG50" s="696"/>
      <c r="BJ50" s="695" t="str">
        <f>IF(BL53="","",SUM(BL53:BM57))</f>
        <v/>
      </c>
      <c r="BK50" s="695"/>
      <c r="BL50" s="695"/>
      <c r="BM50" s="695"/>
      <c r="BN50" s="634"/>
      <c r="BO50" s="221"/>
      <c r="BP50" s="696" t="str">
        <f>IF(BP53="","",SUM(BP53:BQ57))</f>
        <v/>
      </c>
      <c r="BQ50" s="696"/>
      <c r="BR50" s="696"/>
      <c r="BS50" s="696"/>
      <c r="BX50" s="752"/>
      <c r="CC50" s="750"/>
      <c r="CD50" s="76"/>
      <c r="CH50" s="695" t="str">
        <f>IF(CJ53="","",SUM(CJ53:CK57))</f>
        <v/>
      </c>
      <c r="CI50" s="695"/>
      <c r="CJ50" s="695"/>
      <c r="CK50" s="695"/>
      <c r="CL50" s="222"/>
      <c r="CM50" s="634"/>
      <c r="CN50" s="696" t="str">
        <f>IF(CN53="","",SUM(CN53:CO57))</f>
        <v/>
      </c>
      <c r="CO50" s="696"/>
      <c r="CP50" s="696"/>
      <c r="CQ50" s="696"/>
      <c r="CT50" s="695" t="str">
        <f>IF(CV53="","",SUM(CV53:CW57))</f>
        <v/>
      </c>
      <c r="CU50" s="695"/>
      <c r="CV50" s="695"/>
      <c r="CW50" s="695"/>
      <c r="CX50" s="634"/>
      <c r="CY50" s="221"/>
      <c r="CZ50" s="696" t="str">
        <f>IF(CZ53="","",SUM(CZ53:DA57))</f>
        <v/>
      </c>
      <c r="DA50" s="696"/>
      <c r="DB50" s="696"/>
      <c r="DC50" s="696"/>
      <c r="DH50" s="752"/>
      <c r="DM50" s="750"/>
      <c r="DN50" s="76"/>
      <c r="DR50" s="695"/>
      <c r="DS50" s="695"/>
      <c r="DT50" s="695"/>
      <c r="DU50" s="695"/>
      <c r="DV50" s="222"/>
      <c r="DW50" s="634"/>
      <c r="DX50" s="696" t="str">
        <f>IF(DX53="","",SUM(DX53:DY57))</f>
        <v/>
      </c>
      <c r="DY50" s="696"/>
      <c r="DZ50" s="696"/>
      <c r="EA50" s="696"/>
      <c r="ED50" s="695" t="str">
        <f>IF(EF53="","",SUM(EF53:EG57))</f>
        <v/>
      </c>
      <c r="EE50" s="695"/>
      <c r="EF50" s="695"/>
      <c r="EG50" s="695"/>
      <c r="EH50" s="634"/>
      <c r="EI50" s="221"/>
      <c r="EJ50" s="696" t="str">
        <f>IF(EJ53="","",SUM(EJ53:EK57))</f>
        <v/>
      </c>
      <c r="EK50" s="696"/>
      <c r="EL50" s="696"/>
      <c r="EM50" s="696"/>
      <c r="ER50" s="752"/>
      <c r="ET50" s="64"/>
      <c r="EV50" s="143"/>
    </row>
    <row r="51" spans="1:155" s="90" customFormat="1" ht="13.5" hidden="1" customHeight="1" x14ac:dyDescent="0.15">
      <c r="A51" s="107"/>
      <c r="C51" s="750"/>
      <c r="D51" s="92"/>
      <c r="H51" s="698">
        <f>SUM(J53:K57)</f>
        <v>0.375</v>
      </c>
      <c r="I51" s="698"/>
      <c r="J51" s="698"/>
      <c r="K51" s="698"/>
      <c r="L51" s="155"/>
      <c r="M51" s="634"/>
      <c r="N51" s="697">
        <f>SUM(N53:O57)</f>
        <v>0</v>
      </c>
      <c r="O51" s="697"/>
      <c r="P51" s="697"/>
      <c r="Q51" s="697"/>
      <c r="T51" s="698">
        <f>SUM(V53:W57)</f>
        <v>0.4861111111111111</v>
      </c>
      <c r="U51" s="698"/>
      <c r="V51" s="698"/>
      <c r="W51" s="698"/>
      <c r="X51" s="634"/>
      <c r="Y51" s="154"/>
      <c r="Z51" s="697">
        <f>SUM(Z53:AA57)</f>
        <v>0</v>
      </c>
      <c r="AA51" s="697"/>
      <c r="AB51" s="697"/>
      <c r="AC51" s="697"/>
      <c r="AF51" s="698">
        <f>SUM(AH53:AI57)</f>
        <v>0.43055555555555558</v>
      </c>
      <c r="AG51" s="698"/>
      <c r="AH51" s="698"/>
      <c r="AI51" s="698"/>
      <c r="AJ51" s="155"/>
      <c r="AK51" s="634"/>
      <c r="AL51" s="697">
        <f>SUM(AL53:AM57)</f>
        <v>0</v>
      </c>
      <c r="AM51" s="697"/>
      <c r="AN51" s="697"/>
      <c r="AO51" s="697"/>
      <c r="AS51" s="750"/>
      <c r="AT51" s="92"/>
      <c r="AX51" s="698">
        <f>SUM(AZ53:BA57)</f>
        <v>0.43055555555555558</v>
      </c>
      <c r="AY51" s="698"/>
      <c r="AZ51" s="698"/>
      <c r="BA51" s="698"/>
      <c r="BB51" s="155"/>
      <c r="BC51" s="634"/>
      <c r="BD51" s="697">
        <f>SUM(BD53:BE57)</f>
        <v>0</v>
      </c>
      <c r="BE51" s="697"/>
      <c r="BF51" s="697"/>
      <c r="BG51" s="697"/>
      <c r="BJ51" s="698">
        <f>SUM(BL53:BM57)</f>
        <v>0.43055555555555558</v>
      </c>
      <c r="BK51" s="698"/>
      <c r="BL51" s="698"/>
      <c r="BM51" s="698"/>
      <c r="BN51" s="634"/>
      <c r="BO51" s="154"/>
      <c r="BP51" s="697">
        <f>SUM(BP53:BQ57)</f>
        <v>0</v>
      </c>
      <c r="BQ51" s="697"/>
      <c r="BR51" s="697"/>
      <c r="BS51" s="697"/>
      <c r="BX51" s="752"/>
      <c r="CC51" s="750"/>
      <c r="CD51" s="92"/>
      <c r="CH51" s="698">
        <f>SUM(CJ53:CK57)</f>
        <v>0.375</v>
      </c>
      <c r="CI51" s="698"/>
      <c r="CJ51" s="698"/>
      <c r="CK51" s="698"/>
      <c r="CL51" s="155"/>
      <c r="CM51" s="634"/>
      <c r="CN51" s="697">
        <f>SUM(CN53:CO57)</f>
        <v>0</v>
      </c>
      <c r="CO51" s="697"/>
      <c r="CP51" s="697"/>
      <c r="CQ51" s="697"/>
      <c r="CT51" s="698">
        <f>SUM(CV53:CW57)</f>
        <v>0.375</v>
      </c>
      <c r="CU51" s="698"/>
      <c r="CV51" s="698"/>
      <c r="CW51" s="698"/>
      <c r="CX51" s="634"/>
      <c r="CY51" s="154"/>
      <c r="CZ51" s="697">
        <f>SUM(CZ53:DA57)</f>
        <v>0</v>
      </c>
      <c r="DA51" s="697"/>
      <c r="DB51" s="697"/>
      <c r="DC51" s="697"/>
      <c r="DH51" s="752"/>
      <c r="DM51" s="750"/>
      <c r="DN51" s="92"/>
      <c r="DR51" s="698">
        <f>SUM(DT53:DU57)</f>
        <v>0.43055555555555558</v>
      </c>
      <c r="DS51" s="698"/>
      <c r="DT51" s="698"/>
      <c r="DU51" s="698"/>
      <c r="DV51" s="155"/>
      <c r="DW51" s="634"/>
      <c r="DX51" s="697">
        <f>SUM(DX53:DY57)</f>
        <v>0</v>
      </c>
      <c r="DY51" s="697"/>
      <c r="DZ51" s="697"/>
      <c r="EA51" s="697"/>
      <c r="ED51" s="698">
        <f>SUM(EF53:EG57)</f>
        <v>0.375</v>
      </c>
      <c r="EE51" s="698"/>
      <c r="EF51" s="698"/>
      <c r="EG51" s="698"/>
      <c r="EH51" s="634"/>
      <c r="EI51" s="154"/>
      <c r="EJ51" s="697">
        <f>SUM(EJ53:EK57)</f>
        <v>0</v>
      </c>
      <c r="EK51" s="697"/>
      <c r="EL51" s="697"/>
      <c r="EM51" s="697"/>
      <c r="ER51" s="752"/>
      <c r="ET51" s="89"/>
      <c r="EV51" s="145"/>
    </row>
    <row r="52" spans="1:155" s="61" customFormat="1" ht="3.75" customHeight="1" x14ac:dyDescent="0.15">
      <c r="A52" s="104"/>
      <c r="C52" s="750"/>
      <c r="D52" s="76"/>
      <c r="J52" s="634"/>
      <c r="K52" s="634"/>
      <c r="L52" s="750"/>
      <c r="M52" s="634"/>
      <c r="N52" s="634"/>
      <c r="O52" s="634"/>
      <c r="V52" s="634"/>
      <c r="W52" s="634"/>
      <c r="X52" s="634"/>
      <c r="Y52" s="752"/>
      <c r="Z52" s="634"/>
      <c r="AA52" s="634"/>
      <c r="AH52" s="634"/>
      <c r="AI52" s="634"/>
      <c r="AJ52" s="750"/>
      <c r="AK52" s="634"/>
      <c r="AL52" s="634"/>
      <c r="AM52" s="634"/>
      <c r="AS52" s="750"/>
      <c r="AT52" s="76"/>
      <c r="AZ52" s="634"/>
      <c r="BA52" s="634"/>
      <c r="BB52" s="750"/>
      <c r="BC52" s="634"/>
      <c r="BD52" s="634"/>
      <c r="BE52" s="634"/>
      <c r="BL52" s="634"/>
      <c r="BM52" s="634"/>
      <c r="BN52" s="634"/>
      <c r="BO52" s="752"/>
      <c r="BP52" s="634"/>
      <c r="BQ52" s="634"/>
      <c r="BX52" s="752"/>
      <c r="CC52" s="750"/>
      <c r="CD52" s="76"/>
      <c r="CJ52" s="634"/>
      <c r="CK52" s="634"/>
      <c r="CL52" s="750"/>
      <c r="CM52" s="634"/>
      <c r="CN52" s="634"/>
      <c r="CO52" s="634"/>
      <c r="CV52" s="634"/>
      <c r="CW52" s="634"/>
      <c r="CX52" s="634"/>
      <c r="CY52" s="752"/>
      <c r="CZ52" s="634"/>
      <c r="DA52" s="634"/>
      <c r="DH52" s="752"/>
      <c r="DM52" s="750"/>
      <c r="DN52" s="76"/>
      <c r="DT52" s="634"/>
      <c r="DU52" s="634"/>
      <c r="DV52" s="750"/>
      <c r="DW52" s="634"/>
      <c r="DX52" s="634"/>
      <c r="DY52" s="634"/>
      <c r="EF52" s="634"/>
      <c r="EG52" s="634"/>
      <c r="EH52" s="634"/>
      <c r="EI52" s="752"/>
      <c r="EJ52" s="634"/>
      <c r="EK52" s="634"/>
      <c r="ER52" s="752"/>
      <c r="ET52" s="64"/>
      <c r="EV52" s="143"/>
    </row>
    <row r="53" spans="1:155" s="61" customFormat="1" ht="13.5" customHeight="1" x14ac:dyDescent="0.15">
      <c r="A53" s="104"/>
      <c r="C53" s="750"/>
      <c r="D53" s="76"/>
      <c r="I53" s="634"/>
      <c r="J53" s="768"/>
      <c r="K53" s="744"/>
      <c r="L53" s="611"/>
      <c r="M53" s="611"/>
      <c r="N53" s="745"/>
      <c r="O53" s="769"/>
      <c r="P53" s="634"/>
      <c r="U53" s="634"/>
      <c r="V53" s="768"/>
      <c r="W53" s="744"/>
      <c r="X53" s="611"/>
      <c r="Y53" s="611"/>
      <c r="Z53" s="745"/>
      <c r="AA53" s="769"/>
      <c r="AB53" s="634"/>
      <c r="AG53" s="634"/>
      <c r="AH53" s="768"/>
      <c r="AI53" s="744"/>
      <c r="AJ53" s="611"/>
      <c r="AK53" s="611"/>
      <c r="AL53" s="745"/>
      <c r="AM53" s="769"/>
      <c r="AN53" s="634"/>
      <c r="AS53" s="750"/>
      <c r="AY53" s="634"/>
      <c r="AZ53" s="768"/>
      <c r="BA53" s="744"/>
      <c r="BB53" s="611"/>
      <c r="BC53" s="611"/>
      <c r="BD53" s="745"/>
      <c r="BE53" s="769"/>
      <c r="BF53" s="634"/>
      <c r="BK53" s="634"/>
      <c r="BL53" s="768"/>
      <c r="BM53" s="744"/>
      <c r="BN53" s="611"/>
      <c r="BO53" s="611"/>
      <c r="BP53" s="745"/>
      <c r="BQ53" s="769"/>
      <c r="BR53" s="634"/>
      <c r="BX53" s="752"/>
      <c r="CC53" s="750"/>
      <c r="CI53" s="634"/>
      <c r="CJ53" s="768"/>
      <c r="CK53" s="744"/>
      <c r="CL53" s="611"/>
      <c r="CM53" s="611"/>
      <c r="CN53" s="745"/>
      <c r="CO53" s="769"/>
      <c r="CP53" s="634"/>
      <c r="CU53" s="634"/>
      <c r="CV53" s="768"/>
      <c r="CW53" s="744"/>
      <c r="CX53" s="611"/>
      <c r="CY53" s="611"/>
      <c r="CZ53" s="745"/>
      <c r="DA53" s="769"/>
      <c r="DB53" s="634"/>
      <c r="DH53" s="752"/>
      <c r="DM53" s="750"/>
      <c r="DS53" s="634"/>
      <c r="DT53" s="768"/>
      <c r="DU53" s="744"/>
      <c r="DV53" s="611"/>
      <c r="DW53" s="611"/>
      <c r="DX53" s="745"/>
      <c r="DY53" s="769"/>
      <c r="DZ53" s="634"/>
      <c r="EE53" s="634"/>
      <c r="EF53" s="768"/>
      <c r="EG53" s="744"/>
      <c r="EH53" s="611"/>
      <c r="EI53" s="611"/>
      <c r="EJ53" s="745"/>
      <c r="EK53" s="769"/>
      <c r="EL53" s="634"/>
      <c r="ER53" s="752"/>
      <c r="ET53" s="64"/>
      <c r="EV53" s="143"/>
    </row>
    <row r="54" spans="1:155" s="61" customFormat="1" ht="13.5" customHeight="1" x14ac:dyDescent="0.15">
      <c r="A54" s="104"/>
      <c r="C54" s="750"/>
      <c r="D54" s="773"/>
      <c r="E54" s="615"/>
      <c r="F54" s="615"/>
      <c r="G54" s="615"/>
      <c r="H54" s="615"/>
      <c r="I54" s="634"/>
      <c r="J54" s="752" t="s">
        <v>134</v>
      </c>
      <c r="K54" s="634"/>
      <c r="L54" s="634"/>
      <c r="M54" s="634"/>
      <c r="N54" s="634"/>
      <c r="O54" s="750"/>
      <c r="P54" s="634"/>
      <c r="Q54" s="634"/>
      <c r="R54" s="634"/>
      <c r="S54" s="634"/>
      <c r="T54" s="634"/>
      <c r="U54" s="634"/>
      <c r="V54" s="752" t="s">
        <v>69</v>
      </c>
      <c r="W54" s="634"/>
      <c r="X54" s="634"/>
      <c r="Y54" s="634"/>
      <c r="Z54" s="634"/>
      <c r="AA54" s="750"/>
      <c r="AB54" s="634"/>
      <c r="AC54" s="634"/>
      <c r="AD54" s="634"/>
      <c r="AE54" s="634"/>
      <c r="AF54" s="634"/>
      <c r="AG54" s="634"/>
      <c r="AH54" s="752" t="s">
        <v>69</v>
      </c>
      <c r="AI54" s="634"/>
      <c r="AJ54" s="634"/>
      <c r="AK54" s="634"/>
      <c r="AL54" s="634"/>
      <c r="AM54" s="750"/>
      <c r="AN54" s="634"/>
      <c r="AO54" s="31"/>
      <c r="AP54" s="31"/>
      <c r="AQ54" s="31"/>
      <c r="AR54" s="31"/>
      <c r="AS54" s="750"/>
      <c r="AU54" s="634"/>
      <c r="AV54" s="634"/>
      <c r="AW54" s="634"/>
      <c r="AX54" s="634"/>
      <c r="AY54" s="634"/>
      <c r="AZ54" s="752" t="s">
        <v>135</v>
      </c>
      <c r="BA54" s="634"/>
      <c r="BB54" s="634"/>
      <c r="BC54" s="634"/>
      <c r="BD54" s="634"/>
      <c r="BE54" s="750"/>
      <c r="BF54" s="634"/>
      <c r="BG54" s="634"/>
      <c r="BH54" s="634"/>
      <c r="BI54" s="634"/>
      <c r="BJ54" s="634"/>
      <c r="BK54" s="634"/>
      <c r="BL54" s="752" t="s">
        <v>134</v>
      </c>
      <c r="BM54" s="634"/>
      <c r="BN54" s="634"/>
      <c r="BO54" s="634"/>
      <c r="BP54" s="634"/>
      <c r="BQ54" s="750"/>
      <c r="BR54" s="634"/>
      <c r="BS54" s="634"/>
      <c r="BT54" s="634"/>
      <c r="BU54" s="634"/>
      <c r="BV54" s="634"/>
      <c r="BX54" s="752"/>
      <c r="CC54" s="750"/>
      <c r="CE54" s="634"/>
      <c r="CF54" s="634"/>
      <c r="CG54" s="634"/>
      <c r="CH54" s="634"/>
      <c r="CI54" s="634"/>
      <c r="CJ54" s="752" t="s">
        <v>135</v>
      </c>
      <c r="CK54" s="634"/>
      <c r="CL54" s="634"/>
      <c r="CM54" s="634"/>
      <c r="CN54" s="634"/>
      <c r="CO54" s="750"/>
      <c r="CP54" s="634"/>
      <c r="CQ54" s="634"/>
      <c r="CR54" s="634"/>
      <c r="CS54" s="634"/>
      <c r="CT54" s="634"/>
      <c r="CU54" s="634"/>
      <c r="CV54" s="752" t="s">
        <v>74</v>
      </c>
      <c r="CW54" s="634"/>
      <c r="CX54" s="634"/>
      <c r="CY54" s="634"/>
      <c r="CZ54" s="634"/>
      <c r="DA54" s="750"/>
      <c r="DB54" s="634"/>
      <c r="DC54" s="634"/>
      <c r="DD54" s="634"/>
      <c r="DE54" s="634"/>
      <c r="DF54" s="634"/>
      <c r="DH54" s="752"/>
      <c r="DI54" s="31"/>
      <c r="DJ54" s="31"/>
      <c r="DK54" s="31"/>
      <c r="DL54" s="31"/>
      <c r="DM54" s="750"/>
      <c r="DO54" s="634"/>
      <c r="DP54" s="634"/>
      <c r="DQ54" s="634"/>
      <c r="DR54" s="634"/>
      <c r="DS54" s="634"/>
      <c r="DT54" s="752" t="s">
        <v>74</v>
      </c>
      <c r="DU54" s="634"/>
      <c r="DV54" s="634"/>
      <c r="DW54" s="634"/>
      <c r="DX54" s="634"/>
      <c r="DY54" s="750"/>
      <c r="DZ54" s="634"/>
      <c r="EA54" s="634"/>
      <c r="EB54" s="634"/>
      <c r="EC54" s="634"/>
      <c r="ED54" s="634"/>
      <c r="EE54" s="634"/>
      <c r="EF54" s="752" t="s">
        <v>69</v>
      </c>
      <c r="EG54" s="634"/>
      <c r="EH54" s="634"/>
      <c r="EI54" s="634"/>
      <c r="EJ54" s="634"/>
      <c r="EK54" s="750"/>
      <c r="EL54" s="634"/>
      <c r="EM54" s="634"/>
      <c r="EN54" s="634"/>
      <c r="EO54" s="634"/>
      <c r="EP54" s="634"/>
      <c r="ER54" s="752"/>
      <c r="ET54" s="64"/>
      <c r="EV54" s="143"/>
    </row>
    <row r="55" spans="1:155" s="61" customFormat="1" ht="13.5" customHeight="1" x14ac:dyDescent="0.15">
      <c r="A55" s="104"/>
      <c r="C55" s="750"/>
      <c r="D55" s="191"/>
      <c r="E55" s="76"/>
      <c r="F55" s="76"/>
      <c r="G55" s="76"/>
      <c r="H55" s="76"/>
      <c r="I55" s="634"/>
      <c r="J55" s="221"/>
      <c r="O55" s="222"/>
      <c r="P55" s="634"/>
      <c r="U55" s="634"/>
      <c r="V55" s="221"/>
      <c r="AA55" s="222"/>
      <c r="AB55" s="634"/>
      <c r="AG55" s="634"/>
      <c r="AH55" s="221"/>
      <c r="AM55" s="222"/>
      <c r="AN55" s="634"/>
      <c r="AS55" s="750"/>
      <c r="AY55" s="634"/>
      <c r="AZ55" s="221"/>
      <c r="BE55" s="222"/>
      <c r="BF55" s="634"/>
      <c r="BK55" s="634"/>
      <c r="BL55" s="221"/>
      <c r="BQ55" s="222"/>
      <c r="BR55" s="634"/>
      <c r="BX55" s="752"/>
      <c r="CC55" s="750"/>
      <c r="CI55" s="634"/>
      <c r="CJ55" s="221"/>
      <c r="CO55" s="222"/>
      <c r="CP55" s="634"/>
      <c r="CU55" s="634"/>
      <c r="CV55" s="221"/>
      <c r="DA55" s="222"/>
      <c r="DB55" s="634"/>
      <c r="DH55" s="752"/>
      <c r="DM55" s="750"/>
      <c r="DS55" s="634"/>
      <c r="DT55" s="221"/>
      <c r="DY55" s="222"/>
      <c r="DZ55" s="634"/>
      <c r="EE55" s="634"/>
      <c r="EF55" s="221"/>
      <c r="EK55" s="222"/>
      <c r="EL55" s="634"/>
      <c r="ER55" s="752"/>
      <c r="ET55" s="64"/>
      <c r="EV55" s="143"/>
    </row>
    <row r="56" spans="1:155" s="229" customFormat="1" ht="13.5" customHeight="1" x14ac:dyDescent="0.15">
      <c r="A56" s="165"/>
      <c r="C56" s="750"/>
      <c r="D56" s="777"/>
      <c r="E56" s="778"/>
      <c r="F56" s="778"/>
      <c r="G56" s="778"/>
      <c r="H56" s="778"/>
      <c r="I56" s="634"/>
      <c r="J56" s="771">
        <v>0.375</v>
      </c>
      <c r="K56" s="770"/>
      <c r="L56" s="770"/>
      <c r="M56" s="770"/>
      <c r="N56" s="770"/>
      <c r="O56" s="772"/>
      <c r="P56" s="634"/>
      <c r="Q56" s="770"/>
      <c r="R56" s="770"/>
      <c r="S56" s="770"/>
      <c r="T56" s="770"/>
      <c r="U56" s="634"/>
      <c r="V56" s="771">
        <v>0.4861111111111111</v>
      </c>
      <c r="W56" s="770"/>
      <c r="X56" s="770"/>
      <c r="Y56" s="770"/>
      <c r="Z56" s="770"/>
      <c r="AA56" s="772"/>
      <c r="AB56" s="634"/>
      <c r="AC56" s="770"/>
      <c r="AD56" s="770"/>
      <c r="AE56" s="770"/>
      <c r="AF56" s="770"/>
      <c r="AG56" s="634"/>
      <c r="AH56" s="771">
        <v>0.43055555555555558</v>
      </c>
      <c r="AI56" s="770"/>
      <c r="AJ56" s="770"/>
      <c r="AK56" s="770"/>
      <c r="AL56" s="770"/>
      <c r="AM56" s="772"/>
      <c r="AN56" s="634"/>
      <c r="AO56" s="241"/>
      <c r="AP56" s="241"/>
      <c r="AQ56" s="241"/>
      <c r="AR56" s="241"/>
      <c r="AS56" s="750"/>
      <c r="AU56" s="770"/>
      <c r="AV56" s="770"/>
      <c r="AW56" s="770"/>
      <c r="AX56" s="770"/>
      <c r="AY56" s="634"/>
      <c r="AZ56" s="771">
        <v>0.43055555555555558</v>
      </c>
      <c r="BA56" s="770"/>
      <c r="BB56" s="770"/>
      <c r="BC56" s="770"/>
      <c r="BD56" s="770"/>
      <c r="BE56" s="772"/>
      <c r="BF56" s="634"/>
      <c r="BG56" s="770"/>
      <c r="BH56" s="770"/>
      <c r="BI56" s="770"/>
      <c r="BJ56" s="770"/>
      <c r="BK56" s="634"/>
      <c r="BL56" s="771">
        <v>0.43055555555555558</v>
      </c>
      <c r="BM56" s="770"/>
      <c r="BN56" s="770"/>
      <c r="BO56" s="770"/>
      <c r="BP56" s="770"/>
      <c r="BQ56" s="772"/>
      <c r="BR56" s="634"/>
      <c r="BS56" s="770"/>
      <c r="BT56" s="770"/>
      <c r="BU56" s="770"/>
      <c r="BV56" s="770"/>
      <c r="BX56" s="752"/>
      <c r="CC56" s="750"/>
      <c r="CE56" s="770"/>
      <c r="CF56" s="770"/>
      <c r="CG56" s="770"/>
      <c r="CH56" s="770"/>
      <c r="CI56" s="634"/>
      <c r="CJ56" s="771">
        <v>0.375</v>
      </c>
      <c r="CK56" s="770"/>
      <c r="CL56" s="770"/>
      <c r="CM56" s="770"/>
      <c r="CN56" s="770"/>
      <c r="CO56" s="772"/>
      <c r="CP56" s="634"/>
      <c r="CQ56" s="770"/>
      <c r="CR56" s="770"/>
      <c r="CS56" s="770"/>
      <c r="CT56" s="770"/>
      <c r="CU56" s="634"/>
      <c r="CV56" s="771">
        <v>0.375</v>
      </c>
      <c r="CW56" s="770"/>
      <c r="CX56" s="770"/>
      <c r="CY56" s="770"/>
      <c r="CZ56" s="770"/>
      <c r="DA56" s="772"/>
      <c r="DB56" s="634"/>
      <c r="DC56" s="770"/>
      <c r="DD56" s="770"/>
      <c r="DE56" s="770"/>
      <c r="DF56" s="770"/>
      <c r="DH56" s="752"/>
      <c r="DI56" s="241"/>
      <c r="DJ56" s="241"/>
      <c r="DK56" s="241"/>
      <c r="DL56" s="241"/>
      <c r="DM56" s="750"/>
      <c r="DO56" s="770"/>
      <c r="DP56" s="770"/>
      <c r="DQ56" s="770"/>
      <c r="DR56" s="770"/>
      <c r="DS56" s="634"/>
      <c r="DT56" s="771">
        <v>0.43055555555555558</v>
      </c>
      <c r="DU56" s="770"/>
      <c r="DV56" s="770"/>
      <c r="DW56" s="770"/>
      <c r="DX56" s="770"/>
      <c r="DY56" s="772"/>
      <c r="DZ56" s="634"/>
      <c r="EA56" s="770"/>
      <c r="EB56" s="770"/>
      <c r="EC56" s="770"/>
      <c r="ED56" s="770"/>
      <c r="EE56" s="634"/>
      <c r="EF56" s="771">
        <v>0.375</v>
      </c>
      <c r="EG56" s="770"/>
      <c r="EH56" s="770"/>
      <c r="EI56" s="770"/>
      <c r="EJ56" s="770"/>
      <c r="EK56" s="772"/>
      <c r="EL56" s="634"/>
      <c r="EM56" s="770"/>
      <c r="EN56" s="770"/>
      <c r="EO56" s="770"/>
      <c r="EP56" s="770"/>
      <c r="ER56" s="752"/>
      <c r="ET56" s="166"/>
      <c r="EV56" s="167"/>
    </row>
    <row r="57" spans="1:155" s="61" customFormat="1" ht="13.5" customHeight="1" x14ac:dyDescent="0.15">
      <c r="A57" s="104"/>
      <c r="C57" s="750"/>
      <c r="D57" s="76"/>
      <c r="I57" s="634"/>
      <c r="J57" s="762"/>
      <c r="K57" s="695"/>
      <c r="L57" s="618"/>
      <c r="M57" s="618"/>
      <c r="N57" s="696"/>
      <c r="O57" s="761"/>
      <c r="P57" s="634"/>
      <c r="U57" s="634"/>
      <c r="V57" s="762"/>
      <c r="W57" s="695"/>
      <c r="X57" s="618"/>
      <c r="Y57" s="618"/>
      <c r="Z57" s="696"/>
      <c r="AA57" s="761"/>
      <c r="AB57" s="634"/>
      <c r="AG57" s="634"/>
      <c r="AH57" s="762"/>
      <c r="AI57" s="695"/>
      <c r="AJ57" s="618"/>
      <c r="AK57" s="618"/>
      <c r="AL57" s="696"/>
      <c r="AM57" s="761"/>
      <c r="AN57" s="634"/>
      <c r="AS57" s="750"/>
      <c r="AY57" s="634"/>
      <c r="AZ57" s="762"/>
      <c r="BA57" s="695"/>
      <c r="BB57" s="618"/>
      <c r="BC57" s="618"/>
      <c r="BD57" s="696"/>
      <c r="BE57" s="761"/>
      <c r="BF57" s="634"/>
      <c r="BK57" s="634"/>
      <c r="BL57" s="762"/>
      <c r="BM57" s="695"/>
      <c r="BN57" s="618"/>
      <c r="BO57" s="618"/>
      <c r="BP57" s="696"/>
      <c r="BQ57" s="761"/>
      <c r="BR57" s="634"/>
      <c r="BX57" s="752"/>
      <c r="CC57" s="750"/>
      <c r="CI57" s="634"/>
      <c r="CJ57" s="762"/>
      <c r="CK57" s="695"/>
      <c r="CL57" s="618"/>
      <c r="CM57" s="618"/>
      <c r="CN57" s="696"/>
      <c r="CO57" s="761"/>
      <c r="CP57" s="634"/>
      <c r="CU57" s="634"/>
      <c r="CV57" s="762"/>
      <c r="CW57" s="695"/>
      <c r="CX57" s="618"/>
      <c r="CY57" s="618"/>
      <c r="CZ57" s="696"/>
      <c r="DA57" s="761"/>
      <c r="DB57" s="634"/>
      <c r="DH57" s="752"/>
      <c r="DM57" s="750"/>
      <c r="DS57" s="634"/>
      <c r="DT57" s="762"/>
      <c r="DU57" s="695"/>
      <c r="DV57" s="618"/>
      <c r="DW57" s="618"/>
      <c r="DX57" s="696"/>
      <c r="DY57" s="761"/>
      <c r="DZ57" s="634"/>
      <c r="EE57" s="634"/>
      <c r="EF57" s="762"/>
      <c r="EG57" s="695"/>
      <c r="EH57" s="618"/>
      <c r="EI57" s="618"/>
      <c r="EJ57" s="696"/>
      <c r="EK57" s="761"/>
      <c r="EL57" s="634"/>
      <c r="ER57" s="752"/>
      <c r="ET57" s="64"/>
      <c r="EV57" s="143"/>
    </row>
    <row r="58" spans="1:155" s="61" customFormat="1" ht="13.5" customHeight="1" x14ac:dyDescent="0.15">
      <c r="A58" s="104"/>
      <c r="C58" s="750"/>
      <c r="D58" s="76"/>
      <c r="I58" s="634"/>
      <c r="J58" s="221"/>
      <c r="K58" s="634"/>
      <c r="L58" s="634"/>
      <c r="M58" s="634"/>
      <c r="N58" s="634"/>
      <c r="O58" s="222"/>
      <c r="P58" s="634"/>
      <c r="U58" s="634"/>
      <c r="V58" s="221"/>
      <c r="W58" s="634"/>
      <c r="X58" s="634"/>
      <c r="Y58" s="634"/>
      <c r="Z58" s="634"/>
      <c r="AA58" s="222"/>
      <c r="AB58" s="634"/>
      <c r="AG58" s="634"/>
      <c r="AH58" s="221"/>
      <c r="AI58" s="634"/>
      <c r="AJ58" s="634"/>
      <c r="AK58" s="634"/>
      <c r="AL58" s="634"/>
      <c r="AM58" s="222"/>
      <c r="AN58" s="634"/>
      <c r="AS58" s="750"/>
      <c r="AY58" s="634"/>
      <c r="AZ58" s="221"/>
      <c r="BA58" s="634"/>
      <c r="BB58" s="634"/>
      <c r="BC58" s="634"/>
      <c r="BD58" s="634"/>
      <c r="BE58" s="222"/>
      <c r="BF58" s="634"/>
      <c r="BK58" s="634"/>
      <c r="BL58" s="221"/>
      <c r="BM58" s="634"/>
      <c r="BN58" s="634"/>
      <c r="BO58" s="634"/>
      <c r="BP58" s="634"/>
      <c r="BQ58" s="222"/>
      <c r="BR58" s="634"/>
      <c r="BX58" s="752"/>
      <c r="CC58" s="750"/>
      <c r="CI58" s="634"/>
      <c r="CJ58" s="221"/>
      <c r="CK58" s="634"/>
      <c r="CL58" s="634"/>
      <c r="CM58" s="634"/>
      <c r="CN58" s="634"/>
      <c r="CO58" s="222"/>
      <c r="CP58" s="634"/>
      <c r="CU58" s="634"/>
      <c r="CV58" s="221"/>
      <c r="CW58" s="634"/>
      <c r="CX58" s="634"/>
      <c r="CY58" s="634"/>
      <c r="CZ58" s="634"/>
      <c r="DA58" s="222"/>
      <c r="DB58" s="634"/>
      <c r="DH58" s="752"/>
      <c r="DM58" s="750"/>
      <c r="DS58" s="634"/>
      <c r="DT58" s="221"/>
      <c r="DU58" s="634"/>
      <c r="DV58" s="634"/>
      <c r="DW58" s="634"/>
      <c r="DX58" s="634"/>
      <c r="DY58" s="222"/>
      <c r="DZ58" s="634"/>
      <c r="EE58" s="634"/>
      <c r="EF58" s="221"/>
      <c r="EG58" s="634"/>
      <c r="EH58" s="634"/>
      <c r="EI58" s="634"/>
      <c r="EJ58" s="634"/>
      <c r="EK58" s="222"/>
      <c r="EL58" s="634"/>
      <c r="ER58" s="752"/>
      <c r="ET58" s="64"/>
      <c r="EV58" s="143"/>
    </row>
    <row r="59" spans="1:155" s="59" customFormat="1" ht="13.5" customHeight="1" x14ac:dyDescent="0.15">
      <c r="B59" s="618">
        <v>1</v>
      </c>
      <c r="C59" s="618"/>
      <c r="D59" s="618"/>
      <c r="E59" s="618"/>
      <c r="H59" s="618">
        <f>B59+1</f>
        <v>2</v>
      </c>
      <c r="I59" s="618"/>
      <c r="J59" s="618"/>
      <c r="K59" s="618"/>
      <c r="N59" s="618">
        <f>H59+1</f>
        <v>3</v>
      </c>
      <c r="O59" s="618"/>
      <c r="P59" s="618"/>
      <c r="Q59" s="618"/>
      <c r="T59" s="618">
        <f>N59+1</f>
        <v>4</v>
      </c>
      <c r="U59" s="618"/>
      <c r="V59" s="618"/>
      <c r="W59" s="618"/>
      <c r="Z59" s="618">
        <f>T59+1</f>
        <v>5</v>
      </c>
      <c r="AA59" s="618"/>
      <c r="AB59" s="618"/>
      <c r="AC59" s="618"/>
      <c r="AF59" s="618">
        <f>Z59+1</f>
        <v>6</v>
      </c>
      <c r="AG59" s="618"/>
      <c r="AH59" s="618"/>
      <c r="AI59" s="618"/>
      <c r="AL59" s="618">
        <f>AF59+1</f>
        <v>7</v>
      </c>
      <c r="AM59" s="618"/>
      <c r="AN59" s="618"/>
      <c r="AO59" s="618"/>
      <c r="AR59" s="618">
        <f>AL59+1</f>
        <v>8</v>
      </c>
      <c r="AS59" s="618"/>
      <c r="AT59" s="618"/>
      <c r="AU59" s="618"/>
      <c r="AX59" s="618">
        <f>AR59+1</f>
        <v>9</v>
      </c>
      <c r="AY59" s="618"/>
      <c r="AZ59" s="618"/>
      <c r="BA59" s="618"/>
      <c r="BD59" s="618">
        <f>AX59+1</f>
        <v>10</v>
      </c>
      <c r="BE59" s="618"/>
      <c r="BF59" s="618"/>
      <c r="BG59" s="618"/>
      <c r="BJ59" s="618">
        <f>BD59+1</f>
        <v>11</v>
      </c>
      <c r="BK59" s="618"/>
      <c r="BL59" s="618"/>
      <c r="BM59" s="618"/>
      <c r="BP59" s="618">
        <f>BJ59+1</f>
        <v>12</v>
      </c>
      <c r="BQ59" s="618"/>
      <c r="BR59" s="618"/>
      <c r="BS59" s="618"/>
      <c r="BV59" s="618">
        <f>BP59+1</f>
        <v>13</v>
      </c>
      <c r="BW59" s="618"/>
      <c r="BX59" s="618"/>
      <c r="BY59" s="618"/>
      <c r="CB59" s="618">
        <f>BV59+1</f>
        <v>14</v>
      </c>
      <c r="CC59" s="618"/>
      <c r="CD59" s="618"/>
      <c r="CE59" s="618"/>
      <c r="CH59" s="618">
        <f>CB59+1</f>
        <v>15</v>
      </c>
      <c r="CI59" s="618"/>
      <c r="CJ59" s="618"/>
      <c r="CK59" s="618"/>
      <c r="CN59" s="618">
        <f>CH59+1</f>
        <v>16</v>
      </c>
      <c r="CO59" s="618"/>
      <c r="CP59" s="618"/>
      <c r="CQ59" s="618"/>
      <c r="CT59" s="618">
        <f>CN59+1</f>
        <v>17</v>
      </c>
      <c r="CU59" s="618"/>
      <c r="CV59" s="618"/>
      <c r="CW59" s="618"/>
      <c r="CZ59" s="618">
        <f>CT59+1</f>
        <v>18</v>
      </c>
      <c r="DA59" s="618"/>
      <c r="DB59" s="618"/>
      <c r="DC59" s="618"/>
      <c r="DF59" s="618">
        <f>CZ59+1</f>
        <v>19</v>
      </c>
      <c r="DG59" s="618"/>
      <c r="DH59" s="618"/>
      <c r="DI59" s="618"/>
      <c r="DL59" s="618">
        <f>DF59+1</f>
        <v>20</v>
      </c>
      <c r="DM59" s="618"/>
      <c r="DN59" s="618"/>
      <c r="DO59" s="618"/>
      <c r="DR59" s="618">
        <f>DL59+1</f>
        <v>21</v>
      </c>
      <c r="DS59" s="618"/>
      <c r="DT59" s="618"/>
      <c r="DU59" s="618"/>
      <c r="DX59" s="618">
        <f>DR59+1</f>
        <v>22</v>
      </c>
      <c r="DY59" s="618"/>
      <c r="DZ59" s="618"/>
      <c r="EA59" s="618"/>
      <c r="ED59" s="618">
        <f>DX59+1</f>
        <v>23</v>
      </c>
      <c r="EE59" s="618"/>
      <c r="EF59" s="618"/>
      <c r="EG59" s="618"/>
      <c r="EJ59" s="618">
        <f>ED59+1</f>
        <v>24</v>
      </c>
      <c r="EK59" s="618"/>
      <c r="EL59" s="618"/>
      <c r="EM59" s="618"/>
      <c r="EP59" s="618">
        <f>EJ59+1</f>
        <v>25</v>
      </c>
      <c r="EQ59" s="618"/>
      <c r="ER59" s="618"/>
      <c r="ES59" s="618"/>
      <c r="ET59" s="60"/>
      <c r="EV59" s="168"/>
    </row>
    <row r="60" spans="1:155" s="169" customFormat="1" ht="98.25" customHeight="1" x14ac:dyDescent="0.15">
      <c r="B60" s="779" t="str">
        <f>IF(ISERROR(MATCH(B59,予選学校名!$B$3:$B$32,0))=TRUE,B59,INDEX(予選学校名!$B$3:$F$32,MATCH(B59,予選学校名!$B$3:$B$32,0),2))</f>
        <v>星稜</v>
      </c>
      <c r="C60" s="780"/>
      <c r="D60" s="780"/>
      <c r="E60" s="781"/>
      <c r="F60" s="170"/>
      <c r="G60" s="171"/>
      <c r="H60" s="779" t="str">
        <f>IF(ISERROR(MATCH(H59,予選学校名!$B$3:$B$32,0))=TRUE,H59,INDEX(予選学校名!$B$3:$F$32,MATCH(H59,予選学校名!$B$3:$B$32,0),2))</f>
        <v>港</v>
      </c>
      <c r="I60" s="780"/>
      <c r="J60" s="780"/>
      <c r="K60" s="781"/>
      <c r="L60" s="170"/>
      <c r="M60" s="171"/>
      <c r="N60" s="779" t="str">
        <f>IF(ISERROR(MATCH(N59,予選学校名!$B$3:$B$32,0))=TRUE,N59,INDEX(予選学校名!$B$3:$F$32,MATCH(N59,予選学校名!$B$3:$B$32,0),2))</f>
        <v>津幡</v>
      </c>
      <c r="O60" s="780"/>
      <c r="P60" s="780"/>
      <c r="Q60" s="781"/>
      <c r="R60" s="170"/>
      <c r="S60" s="171"/>
      <c r="T60" s="779" t="str">
        <f>IF(ISERROR(MATCH(T59,予選学校名!$B$3:$B$32,0))=TRUE,T59,INDEX(予選学校名!$B$3:$F$32,MATCH(T59,予選学校名!$B$3:$B$32,0),2))</f>
        <v>長田</v>
      </c>
      <c r="U60" s="780"/>
      <c r="V60" s="780"/>
      <c r="W60" s="781"/>
      <c r="X60" s="170"/>
      <c r="Y60" s="171"/>
      <c r="Z60" s="779" t="str">
        <f>IF(ISERROR(MATCH(Z59,予選学校名!$B$3:$B$32,0))=TRUE,Z59,INDEX(予選学校名!$B$3:$F$32,MATCH(Z59,予選学校名!$B$3:$B$32,0),2))</f>
        <v>野田</v>
      </c>
      <c r="AA60" s="780"/>
      <c r="AB60" s="780"/>
      <c r="AC60" s="781"/>
      <c r="AD60" s="170"/>
      <c r="AE60" s="171"/>
      <c r="AF60" s="779" t="str">
        <f>IF(ISERROR(MATCH(AF59,予選学校名!$B$3:$B$32,0))=TRUE,AF59,INDEX(予選学校名!$B$3:$F$32,MATCH(AF59,予選学校名!$B$3:$B$32,0),2))</f>
        <v>兼六</v>
      </c>
      <c r="AG60" s="780"/>
      <c r="AH60" s="780"/>
      <c r="AI60" s="781"/>
      <c r="AJ60" s="170"/>
      <c r="AK60" s="171"/>
      <c r="AL60" s="779" t="str">
        <f>IF(ISERROR(MATCH(AL59,予選学校名!$B$3:$B$32,0))=TRUE,AL59,INDEX(予選学校名!$B$3:$F$32,MATCH(AL59,予選学校名!$B$3:$B$32,0),2))</f>
        <v>高岡</v>
      </c>
      <c r="AM60" s="780"/>
      <c r="AN60" s="780"/>
      <c r="AO60" s="781"/>
      <c r="AP60" s="170"/>
      <c r="AQ60" s="171"/>
      <c r="AR60" s="779" t="str">
        <f>IF(ISERROR(MATCH(AR59,予選学校名!$B$3:$B$32,0))=TRUE,AR59,INDEX(予選学校名!$B$3:$F$32,MATCH(AR59,予選学校名!$B$3:$B$32,0),2))</f>
        <v>森本</v>
      </c>
      <c r="AS60" s="780"/>
      <c r="AT60" s="780"/>
      <c r="AU60" s="781"/>
      <c r="AV60" s="170"/>
      <c r="AW60" s="171"/>
      <c r="AX60" s="779" t="str">
        <f>IF(ISERROR(MATCH(AX59,予選学校名!$B$3:$B$32,0))=TRUE,AX59,INDEX(予選学校名!$B$3:$F$32,MATCH(AX59,予選学校名!$B$3:$B$32,0),2))</f>
        <v>泉･高尾台</v>
      </c>
      <c r="AY60" s="780"/>
      <c r="AZ60" s="780"/>
      <c r="BA60" s="781"/>
      <c r="BB60" s="170"/>
      <c r="BC60" s="171"/>
      <c r="BD60" s="779" t="str">
        <f>IF(ISERROR(MATCH(BD59,予選学校名!$B$3:$B$32,0))=TRUE,BD59,INDEX(予選学校名!$B$3:$F$32,MATCH(BD59,予選学校名!$B$3:$B$32,0),2))</f>
        <v>城南</v>
      </c>
      <c r="BE60" s="780"/>
      <c r="BF60" s="780"/>
      <c r="BG60" s="781"/>
      <c r="BH60" s="170"/>
      <c r="BI60" s="171"/>
      <c r="BJ60" s="779" t="str">
        <f>IF(ISERROR(MATCH(BJ59,予選学校名!$B$3:$B$32,0))=TRUE,BJ59,INDEX(予選学校名!$B$3:$F$32,MATCH(BJ59,予選学校名!$B$3:$B$32,0),2))</f>
        <v>浅野川</v>
      </c>
      <c r="BK60" s="780"/>
      <c r="BL60" s="780"/>
      <c r="BM60" s="781"/>
      <c r="BN60" s="170"/>
      <c r="BO60" s="171"/>
      <c r="BP60" s="779" t="str">
        <f>IF(ISERROR(MATCH(BP59,予選学校名!$B$3:$B$32,0))=TRUE,BP59,INDEX(予選学校名!$B$3:$F$32,MATCH(BP59,予選学校名!$B$3:$B$32,0),2))</f>
        <v>学院附属</v>
      </c>
      <c r="BQ60" s="780"/>
      <c r="BR60" s="780"/>
      <c r="BS60" s="781"/>
      <c r="BT60" s="170"/>
      <c r="BU60" s="171"/>
      <c r="BV60" s="779" t="str">
        <f>IF(ISERROR(MATCH(BV59,予選学校名!$B$3:$B$32,0))=TRUE,BV59,INDEX(予選学校名!$B$3:$F$32,MATCH(BV59,予選学校名!$B$3:$B$32,0),2))</f>
        <v>大徳</v>
      </c>
      <c r="BW60" s="780"/>
      <c r="BX60" s="780"/>
      <c r="BY60" s="781"/>
      <c r="BZ60" s="170"/>
      <c r="CA60" s="171"/>
      <c r="CB60" s="779" t="str">
        <f>IF(ISERROR(MATCH(CB59,予選学校名!$B$3:$B$32,0))=TRUE,CB59,INDEX(予選学校名!$B$3:$F$32,MATCH(CB59,予選学校名!$B$3:$B$32,0),2))</f>
        <v>錦丘･緑</v>
      </c>
      <c r="CC60" s="780"/>
      <c r="CD60" s="780"/>
      <c r="CE60" s="781"/>
      <c r="CF60" s="170"/>
      <c r="CG60" s="171"/>
      <c r="CH60" s="779" t="str">
        <f>IF(ISERROR(MATCH(CH59,予選学校名!$B$3:$B$32,0))=TRUE,CH59,INDEX(予選学校名!$B$3:$F$32,MATCH(CH59,予選学校名!$B$3:$B$32,0),2))</f>
        <v>金大附属</v>
      </c>
      <c r="CI60" s="780"/>
      <c r="CJ60" s="780"/>
      <c r="CK60" s="781"/>
      <c r="CL60" s="170"/>
      <c r="CM60" s="171"/>
      <c r="CN60" s="779" t="str">
        <f>IF(ISERROR(MATCH(CN59,予選学校名!$B$3:$B$32,0))=TRUE,CN59,INDEX(予選学校名!$B$3:$F$32,MATCH(CN59,予選学校名!$B$3:$B$32,0),2))</f>
        <v>内灘</v>
      </c>
      <c r="CO60" s="780"/>
      <c r="CP60" s="780"/>
      <c r="CQ60" s="781"/>
      <c r="CR60" s="170"/>
      <c r="CS60" s="171"/>
      <c r="CT60" s="779" t="str">
        <f>IF(ISERROR(MATCH(CT59,予選学校名!$B$3:$B$32,0))=TRUE,CT59,INDEX(予選学校名!$B$3:$F$32,MATCH(CT59,予選学校名!$B$3:$B$32,0),2))</f>
        <v>清泉</v>
      </c>
      <c r="CU60" s="780"/>
      <c r="CV60" s="780"/>
      <c r="CW60" s="781"/>
      <c r="CX60" s="170"/>
      <c r="CY60" s="171"/>
      <c r="CZ60" s="779" t="str">
        <f>IF(ISERROR(MATCH(CZ59,予選学校名!$B$3:$B$32,0))=TRUE,CZ59,INDEX(予選学校名!$B$3:$F$32,MATCH(CZ59,予選学校名!$B$3:$B$32,0),2))</f>
        <v>西南部</v>
      </c>
      <c r="DA60" s="780"/>
      <c r="DB60" s="780"/>
      <c r="DC60" s="781"/>
      <c r="DD60" s="170"/>
      <c r="DE60" s="171"/>
      <c r="DF60" s="779" t="str">
        <f>IF(ISERROR(MATCH(DF59,予選学校名!$B$3:$B$32,0))=TRUE,DF59,INDEX(予選学校名!$B$3:$F$32,MATCH(DF59,予選学校名!$B$3:$B$32,0),2))</f>
        <v>金石</v>
      </c>
      <c r="DG60" s="780"/>
      <c r="DH60" s="780"/>
      <c r="DI60" s="781"/>
      <c r="DJ60" s="170"/>
      <c r="DK60" s="171"/>
      <c r="DL60" s="779" t="str">
        <f>IF(ISERROR(MATCH(DL59,予選学校名!$B$3:$B$32,0))=TRUE,DL59,INDEX(予選学校名!$B$3:$F$32,MATCH(DL59,予選学校名!$B$3:$B$32,0),2))</f>
        <v>紫錦台</v>
      </c>
      <c r="DM60" s="780"/>
      <c r="DN60" s="780"/>
      <c r="DO60" s="781"/>
      <c r="DP60" s="170"/>
      <c r="DQ60" s="171"/>
      <c r="DR60" s="779" t="str">
        <f>IF(ISERROR(MATCH(DR59,予選学校名!$B$3:$B$32,0))=TRUE,DR59,INDEX(予選学校名!$B$3:$F$32,MATCH(DR59,予選学校名!$B$3:$B$32,0),2))</f>
        <v>北鳴</v>
      </c>
      <c r="DS60" s="789"/>
      <c r="DT60" s="789"/>
      <c r="DU60" s="789"/>
      <c r="DV60" s="172"/>
      <c r="DW60" s="170"/>
      <c r="DX60" s="779" t="str">
        <f>IF(ISERROR(MATCH(DX59,予選学校名!$B$3:$B$32,0))=TRUE,DX59,INDEX(予選学校名!$B$3:$F$32,MATCH(DX59,予選学校名!$B$3:$B$32,0),2))</f>
        <v>津幡南</v>
      </c>
      <c r="DY60" s="780"/>
      <c r="DZ60" s="780"/>
      <c r="EA60" s="781"/>
      <c r="EB60" s="170"/>
      <c r="EC60" s="171"/>
      <c r="ED60" s="779">
        <f>IF(ISERROR(MATCH(ED59,予選学校名!$B$3:$B$32,0))=TRUE,ED59,INDEX(予選学校名!$B$3:$F$32,MATCH(ED59,予選学校名!$B$3:$B$32,0),2))</f>
        <v>23</v>
      </c>
      <c r="EE60" s="780"/>
      <c r="EF60" s="780"/>
      <c r="EG60" s="781"/>
      <c r="EJ60" s="779">
        <f>IF(ISERROR(MATCH(EJ59,予選学校名!$B$3:$B$32,0))=TRUE,EJ59,INDEX(予選学校名!$B$3:$F$32,MATCH(EJ59,予選学校名!$B$3:$B$32,0),2))</f>
        <v>24</v>
      </c>
      <c r="EK60" s="780"/>
      <c r="EL60" s="780"/>
      <c r="EM60" s="781"/>
      <c r="EN60" s="170"/>
      <c r="EO60" s="171"/>
      <c r="EP60" s="779">
        <f>IF(ISERROR(MATCH(EP59,予選学校名!$B$3:$B$32,0))=TRUE,EP59,INDEX(予選学校名!$B$3:$F$32,MATCH(EP59,予選学校名!$B$3:$B$32,0),2))</f>
        <v>25</v>
      </c>
      <c r="EQ60" s="780"/>
      <c r="ER60" s="780"/>
      <c r="ES60" s="781"/>
      <c r="ET60" s="173"/>
      <c r="EU60" s="174"/>
      <c r="EV60" s="787" t="s">
        <v>137</v>
      </c>
      <c r="EW60" s="787"/>
      <c r="EX60" s="787"/>
      <c r="EY60" s="787"/>
    </row>
    <row r="61" spans="1:155" s="175" customFormat="1" ht="13.5" customHeight="1" x14ac:dyDescent="0.15">
      <c r="H61" s="788"/>
      <c r="I61" s="788"/>
      <c r="J61" s="788"/>
      <c r="K61" s="788"/>
      <c r="N61" s="788"/>
      <c r="O61" s="788"/>
      <c r="P61" s="788"/>
      <c r="Q61" s="788"/>
      <c r="AX61" s="788"/>
      <c r="AY61" s="788"/>
      <c r="AZ61" s="788"/>
      <c r="BA61" s="788"/>
      <c r="BD61" s="787"/>
      <c r="BE61" s="787"/>
      <c r="BF61" s="787"/>
      <c r="BG61" s="787"/>
      <c r="BJ61" s="802"/>
      <c r="BK61" s="802"/>
      <c r="BL61" s="802"/>
      <c r="BM61" s="802"/>
      <c r="BN61" s="251"/>
      <c r="BP61" s="802"/>
      <c r="BQ61" s="802"/>
      <c r="BR61" s="802"/>
      <c r="BS61" s="802"/>
      <c r="BT61" s="251"/>
      <c r="DL61" s="788"/>
      <c r="DM61" s="788"/>
      <c r="DN61" s="788"/>
      <c r="DO61" s="788"/>
      <c r="EP61" s="787"/>
      <c r="EQ61" s="787"/>
      <c r="ER61" s="787"/>
      <c r="ES61" s="787"/>
      <c r="ET61" s="142"/>
      <c r="EV61" s="142"/>
    </row>
    <row r="62" spans="1:155" ht="13.5" hidden="1" customHeight="1" x14ac:dyDescent="0.15"/>
    <row r="63" spans="1:155" ht="13.5" hidden="1" customHeight="1" x14ac:dyDescent="0.15"/>
    <row r="64" spans="1:155" ht="13.5" customHeight="1" x14ac:dyDescent="0.15"/>
    <row r="65" spans="1:152" ht="13.5" customHeight="1" x14ac:dyDescent="0.15">
      <c r="C65" s="707" t="s">
        <v>115</v>
      </c>
      <c r="D65" s="708"/>
      <c r="E65" s="708"/>
      <c r="F65" s="708"/>
      <c r="G65" s="708"/>
      <c r="H65" s="708"/>
      <c r="I65" s="708"/>
      <c r="J65" s="708"/>
      <c r="K65" s="708"/>
      <c r="L65" s="708"/>
      <c r="M65" s="708"/>
      <c r="N65" s="708"/>
      <c r="O65" s="708"/>
      <c r="P65" s="708"/>
      <c r="Q65" s="708"/>
      <c r="R65" s="708"/>
      <c r="S65" s="708"/>
      <c r="T65" s="709"/>
      <c r="U65" s="709"/>
      <c r="V65" s="709"/>
      <c r="W65" s="709"/>
      <c r="X65" s="709"/>
      <c r="Y65" s="710"/>
      <c r="AQ65" s="785"/>
      <c r="AR65" s="785"/>
      <c r="AS65" s="785"/>
      <c r="AT65" s="785"/>
      <c r="AU65" s="785"/>
      <c r="AV65" s="785"/>
      <c r="AW65" s="785"/>
      <c r="AX65" s="785"/>
      <c r="AY65" s="785"/>
      <c r="AZ65" s="785"/>
      <c r="BA65" s="785"/>
      <c r="BB65" s="785"/>
      <c r="BC65" s="785"/>
      <c r="BD65" s="785"/>
      <c r="BE65" s="785"/>
      <c r="BF65" s="785"/>
      <c r="BG65" s="785"/>
      <c r="BH65" s="785"/>
      <c r="BI65" s="785"/>
      <c r="BJ65" s="785"/>
      <c r="BK65" s="785"/>
      <c r="BL65" s="785"/>
      <c r="BM65" s="785"/>
      <c r="BN65" s="785"/>
      <c r="BO65" s="785"/>
      <c r="BP65" s="785"/>
      <c r="BQ65" s="785"/>
      <c r="BR65" s="785"/>
      <c r="BS65" s="785"/>
      <c r="BT65" s="785"/>
      <c r="BU65" s="785"/>
      <c r="BV65" s="785"/>
      <c r="BW65" s="785"/>
      <c r="BX65" s="785"/>
      <c r="BY65" s="785"/>
      <c r="BZ65" s="785"/>
      <c r="CA65" s="785"/>
      <c r="CB65" s="785"/>
      <c r="CC65" s="785"/>
      <c r="CD65" s="785"/>
      <c r="CE65" s="785"/>
      <c r="CF65" s="785"/>
      <c r="CG65" s="785"/>
      <c r="CH65" s="785"/>
      <c r="CI65" s="785"/>
      <c r="CJ65" s="785"/>
      <c r="CK65" s="785"/>
      <c r="CL65" s="785"/>
      <c r="CM65" s="785"/>
      <c r="CN65" s="785"/>
      <c r="CO65" s="785"/>
      <c r="CP65" s="785"/>
      <c r="CQ65" s="785"/>
      <c r="CR65" s="785"/>
      <c r="CS65" s="785"/>
      <c r="CT65" s="785"/>
      <c r="CU65" s="785"/>
      <c r="CV65" s="785"/>
      <c r="CW65" s="785"/>
      <c r="CX65" s="785"/>
      <c r="CY65" s="785"/>
      <c r="CZ65" s="785"/>
      <c r="DA65" s="785"/>
      <c r="DB65" s="785"/>
      <c r="DC65" s="785"/>
      <c r="DD65" s="785"/>
      <c r="DE65" s="785"/>
      <c r="DF65" s="785"/>
      <c r="DG65" s="785"/>
      <c r="DH65" s="785"/>
      <c r="DI65" s="785"/>
      <c r="DJ65" s="785"/>
      <c r="DK65" s="785"/>
    </row>
    <row r="66" spans="1:152" ht="13.5" customHeight="1" x14ac:dyDescent="0.15">
      <c r="AQ66" s="785"/>
      <c r="AR66" s="785"/>
      <c r="AS66" s="785"/>
      <c r="AT66" s="785"/>
      <c r="AU66" s="785"/>
      <c r="AV66" s="785"/>
      <c r="AW66" s="785"/>
      <c r="AX66" s="785"/>
      <c r="AY66" s="785"/>
      <c r="AZ66" s="785"/>
      <c r="BA66" s="785"/>
      <c r="BB66" s="785"/>
      <c r="BC66" s="785"/>
      <c r="BD66" s="785"/>
      <c r="BE66" s="785"/>
      <c r="BF66" s="785"/>
      <c r="BG66" s="785"/>
      <c r="BH66" s="785"/>
      <c r="BI66" s="785"/>
      <c r="BJ66" s="785"/>
      <c r="BK66" s="785"/>
      <c r="BL66" s="785"/>
      <c r="BM66" s="785"/>
      <c r="BN66" s="785"/>
      <c r="BO66" s="785"/>
      <c r="BP66" s="785"/>
      <c r="BQ66" s="785"/>
      <c r="BR66" s="785"/>
      <c r="BS66" s="785"/>
      <c r="BT66" s="785"/>
      <c r="BU66" s="785"/>
      <c r="BV66" s="785"/>
      <c r="BW66" s="785"/>
      <c r="BX66" s="785"/>
      <c r="BY66" s="785"/>
      <c r="BZ66" s="785"/>
      <c r="CA66" s="785"/>
      <c r="CB66" s="785"/>
      <c r="CC66" s="785"/>
      <c r="CD66" s="785"/>
      <c r="CE66" s="785"/>
      <c r="CF66" s="785"/>
      <c r="CG66" s="785"/>
      <c r="CH66" s="785"/>
      <c r="CI66" s="785"/>
      <c r="CJ66" s="785"/>
      <c r="CK66" s="785"/>
      <c r="CL66" s="785"/>
      <c r="CM66" s="785"/>
      <c r="CN66" s="785"/>
      <c r="CO66" s="785"/>
      <c r="CP66" s="785"/>
      <c r="CQ66" s="785"/>
      <c r="CR66" s="785"/>
      <c r="CS66" s="785"/>
      <c r="CT66" s="785"/>
      <c r="CU66" s="785"/>
      <c r="CV66" s="785"/>
      <c r="CW66" s="785"/>
      <c r="CX66" s="785"/>
      <c r="CY66" s="785"/>
      <c r="CZ66" s="785"/>
      <c r="DA66" s="785"/>
      <c r="DB66" s="785"/>
      <c r="DC66" s="785"/>
      <c r="DD66" s="785"/>
      <c r="DE66" s="785"/>
      <c r="DF66" s="785"/>
      <c r="DG66" s="785"/>
      <c r="DH66" s="785"/>
      <c r="DI66" s="785"/>
      <c r="DJ66" s="785"/>
      <c r="DK66" s="785"/>
    </row>
    <row r="67" spans="1:152" ht="13.5" hidden="1" customHeight="1" x14ac:dyDescent="0.15"/>
    <row r="68" spans="1:152" ht="13.5" hidden="1" customHeight="1" x14ac:dyDescent="0.15"/>
    <row r="69" spans="1:152" s="176" customFormat="1" ht="13.5" customHeight="1" x14ac:dyDescent="0.15">
      <c r="J69" s="786" t="str">
        <f>IF(N72=T72,"",IF(N72&lt;T72,Z89,E74))</f>
        <v/>
      </c>
      <c r="K69" s="786"/>
      <c r="L69" s="786"/>
      <c r="M69" s="786"/>
      <c r="N69" s="786"/>
      <c r="O69" s="786"/>
      <c r="P69" s="786"/>
      <c r="Q69" s="786"/>
      <c r="R69" s="786"/>
      <c r="S69" s="786"/>
      <c r="T69" s="786"/>
      <c r="U69" s="786"/>
      <c r="V69" s="786"/>
      <c r="W69" s="786"/>
      <c r="X69" s="786"/>
      <c r="Y69" s="786"/>
      <c r="Z69" s="786"/>
      <c r="AA69" s="786"/>
      <c r="AH69" s="177"/>
      <c r="AI69" s="177"/>
      <c r="AJ69" s="177"/>
      <c r="AK69" s="177"/>
      <c r="AL69" s="177"/>
      <c r="AM69" s="177"/>
      <c r="AN69" s="177"/>
      <c r="AX69" s="786" t="str">
        <f>IF(BB72=BH72,"",IF(BB72&lt;BH72,BN89,AS74))</f>
        <v/>
      </c>
      <c r="AY69" s="786"/>
      <c r="AZ69" s="786"/>
      <c r="BA69" s="786"/>
      <c r="BB69" s="786"/>
      <c r="BC69" s="786"/>
      <c r="BD69" s="786"/>
      <c r="BE69" s="786"/>
      <c r="BF69" s="786"/>
      <c r="BG69" s="786"/>
      <c r="BH69" s="786"/>
      <c r="BI69" s="786"/>
      <c r="BJ69" s="786"/>
      <c r="BK69" s="786"/>
      <c r="BL69" s="786"/>
      <c r="BM69" s="786"/>
      <c r="BN69" s="786"/>
      <c r="BO69" s="786"/>
      <c r="BZ69" s="177"/>
      <c r="CA69" s="177"/>
      <c r="CB69" s="177"/>
      <c r="CL69" s="230" t="str">
        <f>IF(CP72=CV72,"",IF(CP72&lt;CV72,DB89,CG74))</f>
        <v/>
      </c>
      <c r="CM69" s="230"/>
      <c r="CN69" s="230"/>
      <c r="CO69" s="230"/>
      <c r="CP69" s="230"/>
      <c r="CQ69" s="230"/>
      <c r="CR69" s="230"/>
      <c r="CS69" s="230"/>
      <c r="CT69" s="230"/>
      <c r="CU69" s="230"/>
      <c r="CV69" s="230"/>
      <c r="CW69" s="230"/>
      <c r="CX69" s="230"/>
      <c r="CY69" s="230"/>
      <c r="CZ69" s="230"/>
      <c r="DA69" s="230"/>
      <c r="DB69" s="230"/>
      <c r="DC69" s="230"/>
      <c r="DJ69" s="177"/>
      <c r="DK69" s="177"/>
      <c r="DP69" s="177"/>
      <c r="DZ69" s="786" t="str">
        <f>IF(ED72=EJ72,"",IF(ED72&lt;EJ72,EP89,DU74))</f>
        <v/>
      </c>
      <c r="EA69" s="786"/>
      <c r="EB69" s="786"/>
      <c r="EC69" s="786"/>
      <c r="ED69" s="786"/>
      <c r="EE69" s="786"/>
      <c r="EF69" s="786"/>
      <c r="EG69" s="786"/>
      <c r="EH69" s="786"/>
      <c r="EI69" s="786"/>
      <c r="EJ69" s="786"/>
      <c r="EK69" s="786"/>
      <c r="EL69" s="786"/>
      <c r="EM69" s="786"/>
      <c r="EN69" s="786"/>
      <c r="EO69" s="786"/>
      <c r="EP69" s="786"/>
      <c r="EQ69" s="786"/>
      <c r="EV69" s="178"/>
    </row>
    <row r="70" spans="1:152" s="61" customFormat="1" ht="13.5" customHeight="1" x14ac:dyDescent="0.15">
      <c r="N70" s="126"/>
      <c r="R70" s="750"/>
      <c r="AJ70" s="126"/>
      <c r="BB70" s="126"/>
      <c r="BF70" s="750"/>
      <c r="CP70" s="126"/>
      <c r="CT70" s="222"/>
      <c r="ED70" s="126"/>
      <c r="EH70" s="750"/>
      <c r="EV70" s="143"/>
    </row>
    <row r="71" spans="1:152" s="61" customFormat="1" ht="13.5" customHeight="1" x14ac:dyDescent="0.15">
      <c r="N71" s="695" t="str">
        <f>IF(N74="","",SUM(N74:Q77))</f>
        <v/>
      </c>
      <c r="O71" s="695"/>
      <c r="P71" s="695"/>
      <c r="Q71" s="695"/>
      <c r="R71" s="750"/>
      <c r="T71" s="696" t="str">
        <f>IF(T74="","",SUM(T74:W77))</f>
        <v/>
      </c>
      <c r="U71" s="696"/>
      <c r="V71" s="696"/>
      <c r="W71" s="696"/>
      <c r="AJ71" s="126"/>
      <c r="BB71" s="695" t="str">
        <f>IF(BB74="","",SUM(BB74:BE77))</f>
        <v/>
      </c>
      <c r="BC71" s="695"/>
      <c r="BD71" s="695"/>
      <c r="BE71" s="695"/>
      <c r="BF71" s="750"/>
      <c r="BH71" s="696" t="str">
        <f>IF(BH74="","",SUM(BH74:BK77))</f>
        <v/>
      </c>
      <c r="BI71" s="696"/>
      <c r="BJ71" s="696"/>
      <c r="BK71" s="696"/>
      <c r="CP71" s="64" t="str">
        <f>IF(CP74="","",SUM(CP74:CS77))</f>
        <v/>
      </c>
      <c r="CQ71" s="64"/>
      <c r="CR71" s="64"/>
      <c r="CS71" s="64"/>
      <c r="CT71" s="222"/>
      <c r="CV71" s="65" t="str">
        <f>IF(CV74="","",SUM(CV74:CY77))</f>
        <v/>
      </c>
      <c r="CW71" s="65"/>
      <c r="CX71" s="65"/>
      <c r="CY71" s="65"/>
      <c r="ED71" s="695" t="str">
        <f>IF(ED74="","",SUM(ED74:EG77))</f>
        <v/>
      </c>
      <c r="EE71" s="695"/>
      <c r="EF71" s="695"/>
      <c r="EG71" s="695"/>
      <c r="EH71" s="750"/>
      <c r="EJ71" s="696" t="str">
        <f>IF(EJ74="","",SUM(EJ74:EM77))</f>
        <v/>
      </c>
      <c r="EK71" s="696"/>
      <c r="EL71" s="696"/>
      <c r="EM71" s="696"/>
      <c r="EV71" s="143"/>
    </row>
    <row r="72" spans="1:152" s="61" customFormat="1" ht="13.5" hidden="1" customHeight="1" x14ac:dyDescent="0.15">
      <c r="H72" s="127"/>
      <c r="I72" s="31"/>
      <c r="J72" s="31"/>
      <c r="K72" s="31"/>
      <c r="N72" s="698">
        <f>SUM(N74:Q78)</f>
        <v>0</v>
      </c>
      <c r="O72" s="698"/>
      <c r="P72" s="698"/>
      <c r="Q72" s="698"/>
      <c r="R72" s="750"/>
      <c r="T72" s="697">
        <f>SUM(T74:W78)</f>
        <v>0</v>
      </c>
      <c r="U72" s="697"/>
      <c r="V72" s="697"/>
      <c r="W72" s="697"/>
      <c r="AF72" s="127"/>
      <c r="AG72" s="31"/>
      <c r="AH72" s="31"/>
      <c r="AI72" s="31"/>
      <c r="AJ72" s="31"/>
      <c r="AK72" s="126"/>
      <c r="AL72" s="31"/>
      <c r="AM72" s="31"/>
      <c r="AN72" s="31"/>
      <c r="AV72" s="127"/>
      <c r="AW72" s="31"/>
      <c r="AX72" s="31"/>
      <c r="AY72" s="31"/>
      <c r="BB72" s="698">
        <f>SUM(BB74:BE78)</f>
        <v>0</v>
      </c>
      <c r="BC72" s="698"/>
      <c r="BD72" s="698"/>
      <c r="BE72" s="698"/>
      <c r="BF72" s="750"/>
      <c r="BH72" s="697">
        <f>SUM(BH74:BK78)</f>
        <v>0</v>
      </c>
      <c r="BI72" s="697"/>
      <c r="BJ72" s="697"/>
      <c r="BK72" s="697"/>
      <c r="BX72" s="127"/>
      <c r="BY72" s="31"/>
      <c r="BZ72" s="31"/>
      <c r="CA72" s="31"/>
      <c r="CJ72" s="127"/>
      <c r="CK72" s="31"/>
      <c r="CL72" s="31"/>
      <c r="CM72" s="31"/>
      <c r="CP72" s="89">
        <f>SUM(CP74:CS78)</f>
        <v>0</v>
      </c>
      <c r="CQ72" s="89"/>
      <c r="CR72" s="89"/>
      <c r="CS72" s="89"/>
      <c r="CT72" s="222"/>
      <c r="CV72" s="91">
        <f>SUM(CV74:CY78)</f>
        <v>0</v>
      </c>
      <c r="CW72" s="91"/>
      <c r="CX72" s="91"/>
      <c r="CY72" s="91"/>
      <c r="DH72" s="127"/>
      <c r="DI72" s="31"/>
      <c r="DJ72" s="31"/>
      <c r="DK72" s="31"/>
      <c r="DX72" s="127"/>
      <c r="DY72" s="31"/>
      <c r="DZ72" s="31"/>
      <c r="EA72" s="31"/>
      <c r="ED72" s="698">
        <f>SUM(ED74:EG78)</f>
        <v>0</v>
      </c>
      <c r="EE72" s="698"/>
      <c r="EF72" s="698"/>
      <c r="EG72" s="698"/>
      <c r="EH72" s="750"/>
      <c r="EJ72" s="697">
        <f>SUM(EJ74:EM78)</f>
        <v>0</v>
      </c>
      <c r="EK72" s="697"/>
      <c r="EL72" s="697"/>
      <c r="EM72" s="697"/>
      <c r="EV72" s="143"/>
    </row>
    <row r="73" spans="1:152" s="61" customFormat="1" ht="4.5" customHeight="1" x14ac:dyDescent="0.15">
      <c r="G73" s="127"/>
      <c r="H73" s="31"/>
      <c r="I73" s="31"/>
      <c r="J73" s="782"/>
      <c r="K73" s="783"/>
      <c r="L73" s="783"/>
      <c r="M73" s="783"/>
      <c r="N73" s="783"/>
      <c r="O73" s="783"/>
      <c r="P73" s="783"/>
      <c r="Q73" s="783"/>
      <c r="R73" s="750"/>
      <c r="S73" s="784"/>
      <c r="T73" s="783"/>
      <c r="U73" s="783"/>
      <c r="V73" s="783"/>
      <c r="W73" s="783"/>
      <c r="X73" s="783"/>
      <c r="Y73" s="783"/>
      <c r="Z73" s="783"/>
      <c r="AA73" s="783"/>
      <c r="AE73" s="127"/>
      <c r="AF73" s="31"/>
      <c r="AG73" s="31"/>
      <c r="AH73" s="31"/>
      <c r="AI73" s="31"/>
      <c r="AJ73" s="31"/>
      <c r="AK73" s="65"/>
      <c r="AL73" s="65"/>
      <c r="AM73" s="65"/>
      <c r="AN73" s="65"/>
      <c r="AO73" s="65"/>
      <c r="AU73" s="127"/>
      <c r="AV73" s="31"/>
      <c r="AW73" s="31"/>
      <c r="AX73" s="782"/>
      <c r="AY73" s="783"/>
      <c r="AZ73" s="783"/>
      <c r="BA73" s="783"/>
      <c r="BB73" s="783"/>
      <c r="BC73" s="783"/>
      <c r="BD73" s="783"/>
      <c r="BE73" s="783"/>
      <c r="BF73" s="750"/>
      <c r="BG73" s="784"/>
      <c r="BH73" s="783"/>
      <c r="BI73" s="783"/>
      <c r="BJ73" s="783"/>
      <c r="BK73" s="783"/>
      <c r="BL73" s="783"/>
      <c r="BM73" s="783"/>
      <c r="BN73" s="783"/>
      <c r="BO73" s="783"/>
      <c r="BX73" s="31"/>
      <c r="BY73" s="31"/>
      <c r="BZ73" s="31"/>
      <c r="CA73" s="31"/>
      <c r="CB73" s="31"/>
      <c r="CI73" s="127"/>
      <c r="CJ73" s="31"/>
      <c r="CK73" s="31"/>
      <c r="CL73" s="127"/>
      <c r="CM73" s="31"/>
      <c r="CN73" s="31"/>
      <c r="CO73" s="31"/>
      <c r="CP73" s="31"/>
      <c r="CQ73" s="31"/>
      <c r="CR73" s="31"/>
      <c r="CS73" s="31"/>
      <c r="CT73" s="222"/>
      <c r="CU73" s="105"/>
      <c r="CV73" s="31"/>
      <c r="CW73" s="31"/>
      <c r="CX73" s="31"/>
      <c r="CY73" s="31"/>
      <c r="CZ73" s="31"/>
      <c r="DA73" s="31"/>
      <c r="DB73" s="31"/>
      <c r="DC73" s="31"/>
      <c r="DG73" s="127"/>
      <c r="DH73" s="31"/>
      <c r="DI73" s="31"/>
      <c r="DJ73" s="31"/>
      <c r="DK73" s="31"/>
      <c r="DP73" s="31"/>
      <c r="DQ73" s="65"/>
      <c r="DW73" s="127"/>
      <c r="DX73" s="31"/>
      <c r="DY73" s="31"/>
      <c r="DZ73" s="782"/>
      <c r="EA73" s="783"/>
      <c r="EB73" s="783"/>
      <c r="EC73" s="783"/>
      <c r="ED73" s="783"/>
      <c r="EE73" s="783"/>
      <c r="EF73" s="783"/>
      <c r="EG73" s="783"/>
      <c r="EH73" s="750"/>
      <c r="EI73" s="784"/>
      <c r="EJ73" s="783"/>
      <c r="EK73" s="783"/>
      <c r="EL73" s="783"/>
      <c r="EM73" s="783"/>
      <c r="EN73" s="783"/>
      <c r="EO73" s="783"/>
      <c r="EP73" s="783"/>
      <c r="EQ73" s="783"/>
      <c r="EV73" s="143"/>
    </row>
    <row r="74" spans="1:152" s="61" customFormat="1" ht="13.5" customHeight="1" x14ac:dyDescent="0.15">
      <c r="D74" s="128"/>
      <c r="E74" s="703" t="str">
        <f>IF(G81=K81,"",IF(G81&lt;K81,N89,B89))</f>
        <v/>
      </c>
      <c r="F74" s="703"/>
      <c r="G74" s="703"/>
      <c r="H74" s="703"/>
      <c r="I74" s="634"/>
      <c r="J74" s="179"/>
      <c r="K74" s="180"/>
      <c r="L74" s="218"/>
      <c r="M74" s="218"/>
      <c r="N74" s="744"/>
      <c r="O74" s="744"/>
      <c r="P74" s="744"/>
      <c r="Q74" s="744"/>
      <c r="R74" s="611"/>
      <c r="S74" s="611"/>
      <c r="T74" s="745"/>
      <c r="U74" s="745"/>
      <c r="V74" s="745"/>
      <c r="W74" s="745"/>
      <c r="X74" s="219"/>
      <c r="Y74" s="219"/>
      <c r="Z74" s="219"/>
      <c r="AA74" s="219"/>
      <c r="AB74" s="790"/>
      <c r="AH74" s="129"/>
      <c r="AI74" s="129"/>
      <c r="AK74" s="130"/>
      <c r="AL74" s="131"/>
      <c r="AM74" s="131"/>
      <c r="AR74" s="128"/>
      <c r="AS74" s="703" t="str">
        <f>IF(AU81=AY81,"",IF(AU81&lt;AY81,BB89,AP89))</f>
        <v/>
      </c>
      <c r="AT74" s="703"/>
      <c r="AU74" s="703"/>
      <c r="AV74" s="703"/>
      <c r="AW74" s="634"/>
      <c r="AX74" s="179"/>
      <c r="AY74" s="180"/>
      <c r="AZ74" s="218"/>
      <c r="BA74" s="218"/>
      <c r="BB74" s="744"/>
      <c r="BC74" s="744"/>
      <c r="BD74" s="744"/>
      <c r="BE74" s="744"/>
      <c r="BF74" s="611"/>
      <c r="BG74" s="611"/>
      <c r="BH74" s="745"/>
      <c r="BI74" s="745"/>
      <c r="BJ74" s="745"/>
      <c r="BK74" s="745"/>
      <c r="BL74" s="219"/>
      <c r="BM74" s="219"/>
      <c r="BN74" s="219"/>
      <c r="BO74" s="219"/>
      <c r="BP74" s="790"/>
      <c r="BZ74" s="129"/>
      <c r="CA74" s="129"/>
      <c r="CF74" s="128"/>
      <c r="CG74" s="743"/>
      <c r="CH74" s="743"/>
      <c r="CI74" s="743"/>
      <c r="CJ74" s="743"/>
      <c r="CL74" s="179"/>
      <c r="CM74" s="180"/>
      <c r="CN74" s="218"/>
      <c r="CO74" s="218"/>
      <c r="CP74" s="218"/>
      <c r="CQ74" s="218"/>
      <c r="CR74" s="218"/>
      <c r="CS74" s="218"/>
      <c r="CT74" s="75"/>
      <c r="CU74" s="75"/>
      <c r="CV74" s="219"/>
      <c r="CW74" s="219"/>
      <c r="CX74" s="219"/>
      <c r="CY74" s="219"/>
      <c r="CZ74" s="219"/>
      <c r="DA74" s="219"/>
      <c r="DB74" s="219"/>
      <c r="DC74" s="219"/>
      <c r="DD74" s="231"/>
      <c r="DE74" s="742"/>
      <c r="DF74" s="742"/>
      <c r="DG74" s="742"/>
      <c r="DH74" s="742"/>
      <c r="DJ74" s="129"/>
      <c r="DK74" s="129"/>
      <c r="DT74" s="128"/>
      <c r="DU74" s="703" t="str">
        <f>IF(DW81=EA81,"",IF(DW81&lt;EA81,ED89,DR89))</f>
        <v/>
      </c>
      <c r="DV74" s="703"/>
      <c r="DW74" s="703"/>
      <c r="DX74" s="703"/>
      <c r="DY74" s="634"/>
      <c r="DZ74" s="179"/>
      <c r="EA74" s="180"/>
      <c r="EB74" s="218"/>
      <c r="EC74" s="218"/>
      <c r="ED74" s="744"/>
      <c r="EE74" s="744"/>
      <c r="EF74" s="744"/>
      <c r="EG74" s="744"/>
      <c r="EH74" s="611"/>
      <c r="EI74" s="611"/>
      <c r="EJ74" s="745"/>
      <c r="EK74" s="745"/>
      <c r="EL74" s="745"/>
      <c r="EM74" s="745"/>
      <c r="EN74" s="219"/>
      <c r="EO74" s="219"/>
      <c r="EP74" s="219"/>
      <c r="EQ74" s="219"/>
      <c r="ER74" s="790"/>
      <c r="EV74" s="143"/>
    </row>
    <row r="75" spans="1:152" s="61" customFormat="1" ht="13.5" customHeight="1" x14ac:dyDescent="0.15">
      <c r="D75" s="128"/>
      <c r="E75" s="703"/>
      <c r="F75" s="703"/>
      <c r="G75" s="703"/>
      <c r="H75" s="703"/>
      <c r="I75" s="634"/>
      <c r="J75" s="792" t="s">
        <v>138</v>
      </c>
      <c r="K75" s="793"/>
      <c r="L75" s="793"/>
      <c r="M75" s="793"/>
      <c r="N75" s="793"/>
      <c r="O75" s="793"/>
      <c r="P75" s="793"/>
      <c r="Q75" s="793"/>
      <c r="R75" s="793"/>
      <c r="S75" s="793"/>
      <c r="T75" s="793"/>
      <c r="U75" s="793"/>
      <c r="V75" s="793"/>
      <c r="W75" s="793"/>
      <c r="X75" s="793"/>
      <c r="Y75" s="793"/>
      <c r="Z75" s="793"/>
      <c r="AA75" s="794"/>
      <c r="AB75" s="791"/>
      <c r="AH75" s="129"/>
      <c r="AI75" s="129"/>
      <c r="AK75" s="130"/>
      <c r="AL75" s="131"/>
      <c r="AM75" s="131"/>
      <c r="AR75" s="128"/>
      <c r="AS75" s="703"/>
      <c r="AT75" s="703"/>
      <c r="AU75" s="703"/>
      <c r="AV75" s="703"/>
      <c r="AW75" s="634"/>
      <c r="AX75" s="792" t="s">
        <v>139</v>
      </c>
      <c r="AY75" s="793"/>
      <c r="AZ75" s="793"/>
      <c r="BA75" s="793"/>
      <c r="BB75" s="793"/>
      <c r="BC75" s="793"/>
      <c r="BD75" s="793"/>
      <c r="BE75" s="793"/>
      <c r="BF75" s="793"/>
      <c r="BG75" s="793"/>
      <c r="BH75" s="793"/>
      <c r="BI75" s="793"/>
      <c r="BJ75" s="793"/>
      <c r="BK75" s="793"/>
      <c r="BL75" s="793"/>
      <c r="BM75" s="793"/>
      <c r="BN75" s="793"/>
      <c r="BO75" s="794"/>
      <c r="BP75" s="791"/>
      <c r="BZ75" s="129"/>
      <c r="CA75" s="129"/>
      <c r="CF75" s="128"/>
      <c r="CG75" s="236"/>
      <c r="CH75" s="236"/>
      <c r="CI75" s="236"/>
      <c r="CJ75" s="236"/>
      <c r="CL75" s="792" t="s">
        <v>138</v>
      </c>
      <c r="CM75" s="793"/>
      <c r="CN75" s="793"/>
      <c r="CO75" s="793"/>
      <c r="CP75" s="793"/>
      <c r="CQ75" s="793"/>
      <c r="CR75" s="793"/>
      <c r="CS75" s="793"/>
      <c r="CT75" s="793"/>
      <c r="CU75" s="793"/>
      <c r="CV75" s="793"/>
      <c r="CW75" s="793"/>
      <c r="CX75" s="793"/>
      <c r="CY75" s="793"/>
      <c r="CZ75" s="793"/>
      <c r="DA75" s="793"/>
      <c r="DB75" s="793"/>
      <c r="DC75" s="794"/>
      <c r="DD75" s="77"/>
      <c r="DE75" s="235"/>
      <c r="DF75" s="235"/>
      <c r="DG75" s="235"/>
      <c r="DH75" s="235"/>
      <c r="DJ75" s="129"/>
      <c r="DK75" s="129"/>
      <c r="DT75" s="128"/>
      <c r="DU75" s="703"/>
      <c r="DV75" s="703"/>
      <c r="DW75" s="703"/>
      <c r="DX75" s="703"/>
      <c r="DY75" s="634"/>
      <c r="DZ75" s="792" t="s">
        <v>139</v>
      </c>
      <c r="EA75" s="793"/>
      <c r="EB75" s="793"/>
      <c r="EC75" s="793"/>
      <c r="ED75" s="793"/>
      <c r="EE75" s="793"/>
      <c r="EF75" s="793"/>
      <c r="EG75" s="793"/>
      <c r="EH75" s="793"/>
      <c r="EI75" s="793"/>
      <c r="EJ75" s="793"/>
      <c r="EK75" s="793"/>
      <c r="EL75" s="793"/>
      <c r="EM75" s="793"/>
      <c r="EN75" s="793"/>
      <c r="EO75" s="793"/>
      <c r="EP75" s="793"/>
      <c r="EQ75" s="794"/>
      <c r="ER75" s="791"/>
      <c r="EV75" s="143"/>
    </row>
    <row r="76" spans="1:152" s="61" customFormat="1" ht="13.5" customHeight="1" x14ac:dyDescent="0.15">
      <c r="A76" s="181">
        <f ca="1">A19</f>
        <v>45460</v>
      </c>
      <c r="D76" s="128"/>
      <c r="E76" s="703"/>
      <c r="F76" s="703"/>
      <c r="G76" s="703"/>
      <c r="H76" s="703"/>
      <c r="I76" s="634"/>
      <c r="J76" s="795"/>
      <c r="K76" s="793"/>
      <c r="L76" s="793"/>
      <c r="M76" s="793"/>
      <c r="N76" s="793"/>
      <c r="O76" s="793"/>
      <c r="P76" s="793"/>
      <c r="Q76" s="793"/>
      <c r="R76" s="793"/>
      <c r="S76" s="793"/>
      <c r="T76" s="793"/>
      <c r="U76" s="793"/>
      <c r="V76" s="793"/>
      <c r="W76" s="793"/>
      <c r="X76" s="793"/>
      <c r="Y76" s="793"/>
      <c r="Z76" s="793"/>
      <c r="AA76" s="794"/>
      <c r="AB76" s="791"/>
      <c r="AH76" s="129"/>
      <c r="AI76" s="129"/>
      <c r="AK76" s="130"/>
      <c r="AL76" s="131"/>
      <c r="AM76" s="131"/>
      <c r="AR76" s="128"/>
      <c r="AS76" s="703"/>
      <c r="AT76" s="703"/>
      <c r="AU76" s="703"/>
      <c r="AV76" s="703"/>
      <c r="AW76" s="634"/>
      <c r="AX76" s="795"/>
      <c r="AY76" s="793"/>
      <c r="AZ76" s="793"/>
      <c r="BA76" s="793"/>
      <c r="BB76" s="793"/>
      <c r="BC76" s="793"/>
      <c r="BD76" s="793"/>
      <c r="BE76" s="793"/>
      <c r="BF76" s="793"/>
      <c r="BG76" s="793"/>
      <c r="BH76" s="793"/>
      <c r="BI76" s="793"/>
      <c r="BJ76" s="793"/>
      <c r="BK76" s="793"/>
      <c r="BL76" s="793"/>
      <c r="BM76" s="793"/>
      <c r="BN76" s="793"/>
      <c r="BO76" s="794"/>
      <c r="BP76" s="791"/>
      <c r="BZ76" s="129"/>
      <c r="CA76" s="129"/>
      <c r="CF76" s="128"/>
      <c r="CG76" s="236"/>
      <c r="CH76" s="236"/>
      <c r="CI76" s="236"/>
      <c r="CJ76" s="236"/>
      <c r="CL76" s="234"/>
      <c r="CM76" s="232"/>
      <c r="CN76" s="232"/>
      <c r="CO76" s="232"/>
      <c r="CP76" s="232"/>
      <c r="CQ76" s="232"/>
      <c r="CR76" s="232"/>
      <c r="CS76" s="232"/>
      <c r="CT76" s="232"/>
      <c r="CU76" s="232"/>
      <c r="CV76" s="232"/>
      <c r="CW76" s="232"/>
      <c r="CX76" s="232"/>
      <c r="CY76" s="232"/>
      <c r="CZ76" s="232"/>
      <c r="DA76" s="232"/>
      <c r="DB76" s="232"/>
      <c r="DC76" s="233"/>
      <c r="DD76" s="77"/>
      <c r="DE76" s="235"/>
      <c r="DF76" s="235"/>
      <c r="DG76" s="235"/>
      <c r="DH76" s="235"/>
      <c r="DJ76" s="129"/>
      <c r="DK76" s="129"/>
      <c r="DT76" s="128"/>
      <c r="DU76" s="703"/>
      <c r="DV76" s="703"/>
      <c r="DW76" s="703"/>
      <c r="DX76" s="703"/>
      <c r="DY76" s="634"/>
      <c r="DZ76" s="795"/>
      <c r="EA76" s="793"/>
      <c r="EB76" s="793"/>
      <c r="EC76" s="793"/>
      <c r="ED76" s="793"/>
      <c r="EE76" s="793"/>
      <c r="EF76" s="793"/>
      <c r="EG76" s="793"/>
      <c r="EH76" s="793"/>
      <c r="EI76" s="793"/>
      <c r="EJ76" s="793"/>
      <c r="EK76" s="793"/>
      <c r="EL76" s="793"/>
      <c r="EM76" s="793"/>
      <c r="EN76" s="793"/>
      <c r="EO76" s="793"/>
      <c r="EP76" s="793"/>
      <c r="EQ76" s="794"/>
      <c r="ER76" s="791"/>
      <c r="EV76" s="143"/>
    </row>
    <row r="77" spans="1:152" s="61" customFormat="1" ht="13.5" customHeight="1" x14ac:dyDescent="0.15">
      <c r="A77" s="182" t="str">
        <f ca="1">A20</f>
        <v>(月)</v>
      </c>
      <c r="E77" s="703"/>
      <c r="F77" s="703"/>
      <c r="G77" s="703"/>
      <c r="H77" s="703"/>
      <c r="I77" s="634"/>
      <c r="J77" s="795">
        <v>0.4375</v>
      </c>
      <c r="K77" s="793"/>
      <c r="L77" s="793"/>
      <c r="M77" s="793"/>
      <c r="N77" s="793"/>
      <c r="O77" s="793"/>
      <c r="P77" s="793"/>
      <c r="Q77" s="793"/>
      <c r="R77" s="793"/>
      <c r="S77" s="793"/>
      <c r="T77" s="793"/>
      <c r="U77" s="793"/>
      <c r="V77" s="793"/>
      <c r="W77" s="793"/>
      <c r="X77" s="793"/>
      <c r="Y77" s="793"/>
      <c r="Z77" s="793"/>
      <c r="AA77" s="794"/>
      <c r="AB77" s="791"/>
      <c r="AH77" s="129"/>
      <c r="AI77" s="129"/>
      <c r="AJ77" s="105"/>
      <c r="AK77" s="130"/>
      <c r="AL77" s="131"/>
      <c r="AM77" s="131"/>
      <c r="AS77" s="703"/>
      <c r="AT77" s="703"/>
      <c r="AU77" s="703"/>
      <c r="AV77" s="703"/>
      <c r="AW77" s="634"/>
      <c r="AX77" s="795">
        <v>0.4375</v>
      </c>
      <c r="AY77" s="793"/>
      <c r="AZ77" s="793"/>
      <c r="BA77" s="793"/>
      <c r="BB77" s="793"/>
      <c r="BC77" s="793"/>
      <c r="BD77" s="793"/>
      <c r="BE77" s="793"/>
      <c r="BF77" s="793"/>
      <c r="BG77" s="793"/>
      <c r="BH77" s="793"/>
      <c r="BI77" s="793"/>
      <c r="BJ77" s="793"/>
      <c r="BK77" s="793"/>
      <c r="BL77" s="793"/>
      <c r="BM77" s="793"/>
      <c r="BN77" s="793"/>
      <c r="BO77" s="794"/>
      <c r="BP77" s="791"/>
      <c r="BZ77" s="129"/>
      <c r="CA77" s="129"/>
      <c r="CB77" s="105"/>
      <c r="CG77" s="236"/>
      <c r="CH77" s="236"/>
      <c r="CI77" s="236"/>
      <c r="CJ77" s="236"/>
      <c r="CL77" s="795">
        <v>0.49305555555555558</v>
      </c>
      <c r="CM77" s="803"/>
      <c r="CN77" s="803"/>
      <c r="CO77" s="803"/>
      <c r="CP77" s="803"/>
      <c r="CQ77" s="803"/>
      <c r="CR77" s="803"/>
      <c r="CS77" s="803"/>
      <c r="CT77" s="803"/>
      <c r="CU77" s="803"/>
      <c r="CV77" s="803"/>
      <c r="CW77" s="803"/>
      <c r="CX77" s="803"/>
      <c r="CY77" s="803"/>
      <c r="CZ77" s="803"/>
      <c r="DA77" s="803"/>
      <c r="DB77" s="803"/>
      <c r="DC77" s="804"/>
      <c r="DD77" s="77"/>
      <c r="DE77" s="235"/>
      <c r="DF77" s="235"/>
      <c r="DG77" s="235"/>
      <c r="DH77" s="235"/>
      <c r="DJ77" s="129"/>
      <c r="DK77" s="129"/>
      <c r="DP77" s="105"/>
      <c r="DU77" s="703"/>
      <c r="DV77" s="703"/>
      <c r="DW77" s="703"/>
      <c r="DX77" s="703"/>
      <c r="DY77" s="634"/>
      <c r="DZ77" s="795">
        <v>0.49305555555555558</v>
      </c>
      <c r="EA77" s="793"/>
      <c r="EB77" s="793"/>
      <c r="EC77" s="793"/>
      <c r="ED77" s="793"/>
      <c r="EE77" s="793"/>
      <c r="EF77" s="793"/>
      <c r="EG77" s="793"/>
      <c r="EH77" s="793"/>
      <c r="EI77" s="793"/>
      <c r="EJ77" s="793"/>
      <c r="EK77" s="793"/>
      <c r="EL77" s="793"/>
      <c r="EM77" s="793"/>
      <c r="EN77" s="793"/>
      <c r="EO77" s="793"/>
      <c r="EP77" s="793"/>
      <c r="EQ77" s="794"/>
      <c r="ER77" s="791"/>
      <c r="EV77" s="143"/>
    </row>
    <row r="78" spans="1:152" s="61" customFormat="1" ht="13.5" customHeight="1" x14ac:dyDescent="0.15">
      <c r="E78" s="703"/>
      <c r="F78" s="703"/>
      <c r="G78" s="703"/>
      <c r="H78" s="703"/>
      <c r="I78" s="634"/>
      <c r="J78" s="183"/>
      <c r="K78" s="129"/>
      <c r="L78" s="105"/>
      <c r="M78" s="105"/>
      <c r="N78" s="695"/>
      <c r="O78" s="695"/>
      <c r="P78" s="695"/>
      <c r="Q78" s="695"/>
      <c r="R78" s="618"/>
      <c r="S78" s="618"/>
      <c r="T78" s="696"/>
      <c r="U78" s="696"/>
      <c r="V78" s="696"/>
      <c r="W78" s="696"/>
      <c r="AB78" s="791"/>
      <c r="AH78" s="129"/>
      <c r="AI78" s="129"/>
      <c r="AJ78" s="105"/>
      <c r="AK78" s="130"/>
      <c r="AL78" s="131"/>
      <c r="AM78" s="131"/>
      <c r="AS78" s="703"/>
      <c r="AT78" s="703"/>
      <c r="AU78" s="703"/>
      <c r="AV78" s="703"/>
      <c r="AW78" s="634"/>
      <c r="AX78" s="183"/>
      <c r="AY78" s="129"/>
      <c r="AZ78" s="105"/>
      <c r="BA78" s="105"/>
      <c r="BB78" s="695"/>
      <c r="BC78" s="695"/>
      <c r="BD78" s="695"/>
      <c r="BE78" s="695"/>
      <c r="BF78" s="618"/>
      <c r="BG78" s="618"/>
      <c r="BH78" s="696"/>
      <c r="BI78" s="696"/>
      <c r="BJ78" s="696"/>
      <c r="BK78" s="696"/>
      <c r="BP78" s="791"/>
      <c r="BZ78" s="129"/>
      <c r="CA78" s="129"/>
      <c r="CB78" s="105"/>
      <c r="CG78" s="236"/>
      <c r="CH78" s="236"/>
      <c r="CI78" s="236"/>
      <c r="CJ78" s="236"/>
      <c r="CL78" s="183"/>
      <c r="CM78" s="129"/>
      <c r="CN78" s="105"/>
      <c r="CO78" s="105"/>
      <c r="CP78" s="64"/>
      <c r="CQ78" s="64"/>
      <c r="CR78" s="64"/>
      <c r="CS78" s="64"/>
      <c r="CT78" s="59"/>
      <c r="CU78" s="59"/>
      <c r="CV78" s="65"/>
      <c r="CW78" s="65"/>
      <c r="CX78" s="65"/>
      <c r="CY78" s="65"/>
      <c r="DD78" s="77"/>
      <c r="DE78" s="235"/>
      <c r="DF78" s="235"/>
      <c r="DG78" s="235"/>
      <c r="DH78" s="235"/>
      <c r="DJ78" s="129"/>
      <c r="DK78" s="129"/>
      <c r="DP78" s="105"/>
      <c r="DU78" s="703"/>
      <c r="DV78" s="703"/>
      <c r="DW78" s="703"/>
      <c r="DX78" s="703"/>
      <c r="DY78" s="634"/>
      <c r="DZ78" s="183"/>
      <c r="EA78" s="129"/>
      <c r="EB78" s="105"/>
      <c r="EC78" s="105"/>
      <c r="ED78" s="695"/>
      <c r="EE78" s="695"/>
      <c r="EF78" s="695"/>
      <c r="EG78" s="695"/>
      <c r="EH78" s="618"/>
      <c r="EI78" s="618"/>
      <c r="EJ78" s="696"/>
      <c r="EK78" s="696"/>
      <c r="EL78" s="696"/>
      <c r="EM78" s="696"/>
      <c r="ER78" s="791"/>
      <c r="EV78" s="143"/>
    </row>
    <row r="79" spans="1:152" s="61" customFormat="1" ht="13.5" customHeight="1" x14ac:dyDescent="0.15">
      <c r="I79" s="634"/>
      <c r="J79" s="183"/>
      <c r="K79" s="129"/>
      <c r="L79" s="105"/>
      <c r="M79" s="105"/>
      <c r="Q79" s="634"/>
      <c r="R79" s="634"/>
      <c r="S79" s="634"/>
      <c r="T79" s="634"/>
      <c r="AB79" s="791"/>
      <c r="AH79" s="129"/>
      <c r="AI79" s="129"/>
      <c r="AJ79" s="105"/>
      <c r="AK79" s="130"/>
      <c r="AL79" s="131"/>
      <c r="AM79" s="131"/>
      <c r="AW79" s="634"/>
      <c r="AX79" s="183"/>
      <c r="AY79" s="129"/>
      <c r="AZ79" s="105"/>
      <c r="BA79" s="105"/>
      <c r="BE79" s="634"/>
      <c r="BF79" s="634"/>
      <c r="BG79" s="634"/>
      <c r="BH79" s="634"/>
      <c r="BP79" s="791"/>
      <c r="BZ79" s="129"/>
      <c r="CA79" s="129"/>
      <c r="CB79" s="105"/>
      <c r="CL79" s="183"/>
      <c r="CM79" s="129"/>
      <c r="CN79" s="105"/>
      <c r="CO79" s="105"/>
      <c r="DD79" s="77"/>
      <c r="DE79" s="223"/>
      <c r="DF79" s="223"/>
      <c r="DG79" s="223"/>
      <c r="DH79" s="223"/>
      <c r="DI79" s="223"/>
      <c r="DJ79" s="243"/>
      <c r="DK79" s="243"/>
      <c r="DL79" s="223"/>
      <c r="DM79" s="223"/>
      <c r="DN79" s="223"/>
      <c r="DO79" s="223"/>
      <c r="DP79" s="244"/>
      <c r="DQ79" s="223"/>
      <c r="DR79" s="223"/>
      <c r="DS79" s="223"/>
      <c r="DT79" s="223"/>
      <c r="DU79" s="223"/>
      <c r="DV79" s="223"/>
      <c r="DW79" s="223"/>
      <c r="DX79" s="223"/>
      <c r="DY79" s="634"/>
      <c r="DZ79" s="183"/>
      <c r="EA79" s="129"/>
      <c r="EB79" s="105"/>
      <c r="EC79" s="105"/>
      <c r="EG79" s="634"/>
      <c r="EH79" s="634"/>
      <c r="EI79" s="634"/>
      <c r="EJ79" s="634"/>
      <c r="ER79" s="791"/>
      <c r="EV79" s="143"/>
    </row>
    <row r="80" spans="1:152" s="61" customFormat="1" ht="13.5" customHeight="1" x14ac:dyDescent="0.15">
      <c r="A80" s="184"/>
      <c r="B80" s="184"/>
      <c r="C80" s="184"/>
      <c r="D80" s="184"/>
      <c r="E80" s="797" t="str">
        <f>IF(E83="","",SUM(E83:H86))</f>
        <v/>
      </c>
      <c r="F80" s="797"/>
      <c r="G80" s="797"/>
      <c r="H80" s="797"/>
      <c r="I80" s="634"/>
      <c r="J80" s="183"/>
      <c r="K80" s="796" t="str">
        <f>IF(K83="","",SUM(K83:N86))</f>
        <v/>
      </c>
      <c r="L80" s="796"/>
      <c r="M80" s="796"/>
      <c r="N80" s="796"/>
      <c r="O80" s="185"/>
      <c r="P80" s="184"/>
      <c r="Q80" s="184"/>
      <c r="R80" s="184"/>
      <c r="S80" s="184"/>
      <c r="T80" s="184"/>
      <c r="U80" s="184"/>
      <c r="V80" s="184"/>
      <c r="W80" s="184"/>
      <c r="X80" s="184"/>
      <c r="Y80" s="184"/>
      <c r="Z80" s="184"/>
      <c r="AB80" s="791"/>
      <c r="AC80" s="184"/>
      <c r="AD80" s="184"/>
      <c r="AE80" s="184"/>
      <c r="AF80" s="184"/>
      <c r="AG80" s="184"/>
      <c r="AH80" s="186"/>
      <c r="AI80" s="186"/>
      <c r="AJ80" s="187"/>
      <c r="AK80" s="185"/>
      <c r="AL80" s="188"/>
      <c r="AM80" s="188"/>
      <c r="AN80" s="184"/>
      <c r="AO80" s="184"/>
      <c r="AP80" s="184"/>
      <c r="AQ80" s="184"/>
      <c r="AR80" s="184"/>
      <c r="AS80" s="797" t="str">
        <f>IF(AS83="","",SUM(AS83:AV86))</f>
        <v/>
      </c>
      <c r="AT80" s="797"/>
      <c r="AU80" s="797"/>
      <c r="AV80" s="797"/>
      <c r="AW80" s="634"/>
      <c r="AX80" s="183"/>
      <c r="AY80" s="796" t="str">
        <f>IF(AY83="","",SUM(AY83:BB86))</f>
        <v/>
      </c>
      <c r="AZ80" s="796"/>
      <c r="BA80" s="796"/>
      <c r="BB80" s="796"/>
      <c r="BC80" s="185"/>
      <c r="BD80" s="184"/>
      <c r="BE80" s="184"/>
      <c r="BF80" s="184"/>
      <c r="BG80" s="184"/>
      <c r="BH80" s="184"/>
      <c r="BI80" s="184"/>
      <c r="BJ80" s="184"/>
      <c r="BK80" s="184"/>
      <c r="BL80" s="184"/>
      <c r="BM80" s="184"/>
      <c r="BN80" s="184"/>
      <c r="BP80" s="791"/>
      <c r="BQ80" s="184"/>
      <c r="BR80" s="184"/>
      <c r="BS80" s="184"/>
      <c r="BT80" s="184"/>
      <c r="BU80" s="184"/>
      <c r="BV80" s="184"/>
      <c r="BW80" s="184"/>
      <c r="BX80" s="184"/>
      <c r="BY80" s="184"/>
      <c r="BZ80" s="186"/>
      <c r="CA80" s="186"/>
      <c r="CB80" s="187"/>
      <c r="CC80" s="184"/>
      <c r="CD80" s="184"/>
      <c r="CE80" s="184"/>
      <c r="CF80" s="184"/>
      <c r="CG80" s="237" t="str">
        <f>IF(CG83="","",SUM(CG83:CJ86))</f>
        <v/>
      </c>
      <c r="CH80" s="237"/>
      <c r="CI80" s="237"/>
      <c r="CJ80" s="237"/>
      <c r="CL80" s="183"/>
      <c r="CM80" s="238" t="str">
        <f>IF(CM83="","",SUM(CM83:CP86))</f>
        <v/>
      </c>
      <c r="CN80" s="238"/>
      <c r="CO80" s="238"/>
      <c r="CP80" s="238"/>
      <c r="CQ80" s="185"/>
      <c r="CR80" s="184"/>
      <c r="CS80" s="184"/>
      <c r="CT80" s="184"/>
      <c r="CU80" s="184"/>
      <c r="CV80" s="184"/>
      <c r="CW80" s="184"/>
      <c r="CX80" s="184"/>
      <c r="CY80" s="184"/>
      <c r="CZ80" s="184"/>
      <c r="DA80" s="184"/>
      <c r="DB80" s="184"/>
      <c r="DD80" s="77"/>
      <c r="DJ80" s="129"/>
      <c r="DK80" s="129"/>
      <c r="DP80" s="105"/>
      <c r="DU80" s="695" t="str">
        <f>IF(DU83="","",SUM(DU83:DX86))</f>
        <v/>
      </c>
      <c r="DV80" s="695"/>
      <c r="DW80" s="695"/>
      <c r="DX80" s="695"/>
      <c r="DY80" s="634"/>
      <c r="DZ80" s="183"/>
      <c r="EA80" s="796" t="str">
        <f>IF(EA83="","",SUM(EA83:ED86))</f>
        <v/>
      </c>
      <c r="EB80" s="796"/>
      <c r="EC80" s="796"/>
      <c r="ED80" s="796"/>
      <c r="EE80" s="185"/>
      <c r="EF80" s="184"/>
      <c r="EG80" s="184"/>
      <c r="EH80" s="184"/>
      <c r="EI80" s="184"/>
      <c r="EJ80" s="184"/>
      <c r="EK80" s="184"/>
      <c r="EL80" s="184"/>
      <c r="EM80" s="184"/>
      <c r="EN80" s="184"/>
      <c r="EO80" s="184"/>
      <c r="EP80" s="184"/>
      <c r="ER80" s="791"/>
      <c r="ES80" s="184"/>
      <c r="EV80" s="143"/>
    </row>
    <row r="81" spans="1:152" s="61" customFormat="1" ht="13.5" hidden="1" customHeight="1" x14ac:dyDescent="0.15">
      <c r="C81" s="127"/>
      <c r="D81" s="127"/>
      <c r="E81" s="698">
        <f>SUM(E83:H87)</f>
        <v>0</v>
      </c>
      <c r="F81" s="698"/>
      <c r="G81" s="698"/>
      <c r="H81" s="698"/>
      <c r="I81" s="634"/>
      <c r="J81" s="221"/>
      <c r="K81" s="697">
        <f>SUM(K83:N87)</f>
        <v>0</v>
      </c>
      <c r="L81" s="697"/>
      <c r="M81" s="697"/>
      <c r="N81" s="697"/>
      <c r="AA81" s="127"/>
      <c r="AB81" s="791"/>
      <c r="AF81" s="126"/>
      <c r="AG81" s="126"/>
      <c r="AH81" s="126"/>
      <c r="AQ81" s="127"/>
      <c r="AR81" s="127"/>
      <c r="AS81" s="698">
        <f>SUM(AS83:AV87)</f>
        <v>0</v>
      </c>
      <c r="AT81" s="698"/>
      <c r="AU81" s="698"/>
      <c r="AV81" s="698"/>
      <c r="AW81" s="634"/>
      <c r="AX81" s="221"/>
      <c r="AY81" s="697">
        <f>SUM(AY83:BB87)</f>
        <v>0</v>
      </c>
      <c r="AZ81" s="697"/>
      <c r="BA81" s="697"/>
      <c r="BB81" s="697"/>
      <c r="BO81" s="127"/>
      <c r="BP81" s="791"/>
      <c r="BX81" s="126"/>
      <c r="BY81" s="126"/>
      <c r="BZ81" s="126"/>
      <c r="CE81" s="127"/>
      <c r="CF81" s="127"/>
      <c r="CG81" s="89">
        <f>SUM(CG83:CJ87)</f>
        <v>0</v>
      </c>
      <c r="CH81" s="89"/>
      <c r="CI81" s="89"/>
      <c r="CJ81" s="89"/>
      <c r="CL81" s="221"/>
      <c r="CM81" s="91">
        <f>SUM(CM83:CP87)</f>
        <v>0</v>
      </c>
      <c r="CN81" s="91"/>
      <c r="CO81" s="91"/>
      <c r="CP81" s="91"/>
      <c r="DC81" s="127"/>
      <c r="DD81" s="77"/>
      <c r="DH81" s="126"/>
      <c r="DI81" s="126"/>
      <c r="DJ81" s="126"/>
      <c r="DS81" s="127"/>
      <c r="DT81" s="127"/>
      <c r="DU81" s="698">
        <f>SUM(DU83:DX87)</f>
        <v>0</v>
      </c>
      <c r="DV81" s="698"/>
      <c r="DW81" s="698"/>
      <c r="DX81" s="698"/>
      <c r="DY81" s="634"/>
      <c r="DZ81" s="221"/>
      <c r="EA81" s="697">
        <f>SUM(EA83:ED87)</f>
        <v>0</v>
      </c>
      <c r="EB81" s="697"/>
      <c r="EC81" s="697"/>
      <c r="ED81" s="697"/>
      <c r="EQ81" s="127"/>
      <c r="ER81" s="791"/>
      <c r="EV81" s="143"/>
    </row>
    <row r="82" spans="1:152" s="61" customFormat="1" ht="4.5" customHeight="1" x14ac:dyDescent="0.15">
      <c r="C82" s="127"/>
      <c r="D82" s="782"/>
      <c r="E82" s="783"/>
      <c r="F82" s="783"/>
      <c r="G82" s="783"/>
      <c r="H82" s="783"/>
      <c r="I82" s="634"/>
      <c r="J82" s="798"/>
      <c r="K82" s="783"/>
      <c r="L82" s="783"/>
      <c r="M82" s="783"/>
      <c r="N82" s="783"/>
      <c r="O82" s="783"/>
      <c r="AA82" s="127"/>
      <c r="AB82" s="791"/>
      <c r="AC82" s="31"/>
      <c r="AD82" s="31"/>
      <c r="AE82" s="31"/>
      <c r="AF82" s="65"/>
      <c r="AG82" s="65"/>
      <c r="AH82" s="65"/>
      <c r="AQ82" s="127"/>
      <c r="AR82" s="782"/>
      <c r="AS82" s="783"/>
      <c r="AT82" s="783"/>
      <c r="AU82" s="783"/>
      <c r="AV82" s="783"/>
      <c r="AW82" s="634"/>
      <c r="AX82" s="798"/>
      <c r="AY82" s="783"/>
      <c r="AZ82" s="783"/>
      <c r="BA82" s="783"/>
      <c r="BB82" s="783"/>
      <c r="BC82" s="783"/>
      <c r="BO82" s="127"/>
      <c r="BP82" s="791"/>
      <c r="BQ82" s="31"/>
      <c r="BR82" s="31"/>
      <c r="BS82" s="31"/>
      <c r="BT82" s="31"/>
      <c r="BU82" s="31"/>
      <c r="BX82" s="65"/>
      <c r="BY82" s="65"/>
      <c r="BZ82" s="65"/>
      <c r="CE82" s="127"/>
      <c r="CF82" s="127"/>
      <c r="CG82" s="31"/>
      <c r="CH82" s="31"/>
      <c r="CI82" s="31"/>
      <c r="CJ82" s="31"/>
      <c r="CL82" s="239"/>
      <c r="CM82" s="31"/>
      <c r="CN82" s="31"/>
      <c r="CO82" s="31"/>
      <c r="CP82" s="31"/>
      <c r="CQ82" s="31"/>
      <c r="DC82" s="127"/>
      <c r="DD82" s="77"/>
      <c r="DE82" s="31"/>
      <c r="DF82" s="31"/>
      <c r="DG82" s="31"/>
      <c r="DH82" s="65"/>
      <c r="DI82" s="65"/>
      <c r="DJ82" s="65"/>
      <c r="DS82" s="127"/>
      <c r="DT82" s="782"/>
      <c r="DU82" s="783"/>
      <c r="DV82" s="783"/>
      <c r="DW82" s="783"/>
      <c r="DX82" s="783"/>
      <c r="DY82" s="634"/>
      <c r="DZ82" s="798"/>
      <c r="EA82" s="783"/>
      <c r="EB82" s="783"/>
      <c r="EC82" s="783"/>
      <c r="ED82" s="783"/>
      <c r="EE82" s="783"/>
      <c r="EQ82" s="127"/>
      <c r="ER82" s="791"/>
      <c r="EV82" s="143"/>
    </row>
    <row r="83" spans="1:152" s="61" customFormat="1" ht="13.5" customHeight="1" x14ac:dyDescent="0.15">
      <c r="A83" s="181">
        <f ca="1">A35</f>
        <v>45459</v>
      </c>
      <c r="C83" s="793"/>
      <c r="D83" s="179"/>
      <c r="E83" s="744"/>
      <c r="F83" s="744"/>
      <c r="G83" s="744"/>
      <c r="H83" s="744"/>
      <c r="I83" s="611"/>
      <c r="J83" s="611"/>
      <c r="K83" s="745"/>
      <c r="L83" s="745"/>
      <c r="M83" s="745"/>
      <c r="N83" s="745"/>
      <c r="O83" s="228"/>
      <c r="P83" s="634"/>
      <c r="AA83" s="129"/>
      <c r="AB83" s="791"/>
      <c r="AF83" s="130"/>
      <c r="AG83" s="130"/>
      <c r="AH83" s="131"/>
      <c r="AQ83" s="793"/>
      <c r="AR83" s="179"/>
      <c r="AS83" s="744"/>
      <c r="AT83" s="744"/>
      <c r="AU83" s="744"/>
      <c r="AV83" s="744"/>
      <c r="AW83" s="611"/>
      <c r="AX83" s="611"/>
      <c r="AY83" s="745"/>
      <c r="AZ83" s="745"/>
      <c r="BA83" s="745"/>
      <c r="BB83" s="745"/>
      <c r="BC83" s="228"/>
      <c r="BD83" s="634"/>
      <c r="BO83" s="129"/>
      <c r="BP83" s="791"/>
      <c r="BX83" s="130"/>
      <c r="BY83" s="130"/>
      <c r="BZ83" s="131"/>
      <c r="CA83" s="743"/>
      <c r="CB83" s="743"/>
      <c r="CC83" s="743"/>
      <c r="CD83" s="743"/>
      <c r="CE83" s="232"/>
      <c r="CF83" s="179"/>
      <c r="CG83" s="218"/>
      <c r="CH83" s="218"/>
      <c r="CI83" s="218"/>
      <c r="CJ83" s="218"/>
      <c r="CK83" s="75"/>
      <c r="CL83" s="75"/>
      <c r="CM83" s="219"/>
      <c r="CN83" s="219"/>
      <c r="CO83" s="219"/>
      <c r="CP83" s="219"/>
      <c r="CQ83" s="228"/>
      <c r="CS83" s="742"/>
      <c r="CT83" s="742"/>
      <c r="CU83" s="742"/>
      <c r="CV83" s="742"/>
      <c r="DC83" s="129"/>
      <c r="DD83" s="77"/>
      <c r="DH83" s="130"/>
      <c r="DI83" s="130"/>
      <c r="DJ83" s="131"/>
      <c r="DS83" s="793"/>
      <c r="DT83" s="179"/>
      <c r="DU83" s="744"/>
      <c r="DV83" s="744"/>
      <c r="DW83" s="744"/>
      <c r="DX83" s="744"/>
      <c r="DY83" s="611"/>
      <c r="DZ83" s="611"/>
      <c r="EA83" s="745"/>
      <c r="EB83" s="745"/>
      <c r="EC83" s="745"/>
      <c r="ED83" s="745"/>
      <c r="EE83" s="228"/>
      <c r="EF83" s="634"/>
      <c r="EQ83" s="129"/>
      <c r="ER83" s="791"/>
      <c r="EV83" s="143"/>
    </row>
    <row r="84" spans="1:152" s="61" customFormat="1" ht="13.5" customHeight="1" x14ac:dyDescent="0.15">
      <c r="A84" s="182" t="str">
        <f ca="1">A36</f>
        <v>(日)</v>
      </c>
      <c r="C84" s="793"/>
      <c r="D84" s="792" t="s">
        <v>69</v>
      </c>
      <c r="E84" s="793"/>
      <c r="F84" s="793"/>
      <c r="G84" s="793"/>
      <c r="H84" s="793"/>
      <c r="I84" s="793"/>
      <c r="J84" s="793"/>
      <c r="K84" s="793"/>
      <c r="L84" s="793"/>
      <c r="M84" s="793"/>
      <c r="N84" s="793"/>
      <c r="O84" s="794"/>
      <c r="P84" s="634"/>
      <c r="AA84" s="129"/>
      <c r="AB84" s="791"/>
      <c r="AF84" s="130"/>
      <c r="AG84" s="130"/>
      <c r="AH84" s="131"/>
      <c r="AQ84" s="793"/>
      <c r="AR84" s="792" t="s">
        <v>136</v>
      </c>
      <c r="AS84" s="793"/>
      <c r="AT84" s="793"/>
      <c r="AU84" s="793"/>
      <c r="AV84" s="793"/>
      <c r="AW84" s="793"/>
      <c r="AX84" s="793"/>
      <c r="AY84" s="793"/>
      <c r="AZ84" s="793"/>
      <c r="BA84" s="793"/>
      <c r="BB84" s="793"/>
      <c r="BC84" s="794"/>
      <c r="BD84" s="634"/>
      <c r="BO84" s="129"/>
      <c r="BP84" s="791"/>
      <c r="BX84" s="130"/>
      <c r="BY84" s="130"/>
      <c r="BZ84" s="131"/>
      <c r="CE84" s="232"/>
      <c r="CF84" s="792" t="str">
        <f>IF(D84="","",D84)</f>
        <v>内灘</v>
      </c>
      <c r="CG84" s="793"/>
      <c r="CH84" s="793"/>
      <c r="CI84" s="793"/>
      <c r="CJ84" s="793"/>
      <c r="CK84" s="793"/>
      <c r="CL84" s="793"/>
      <c r="CM84" s="793"/>
      <c r="CN84" s="793"/>
      <c r="CO84" s="793"/>
      <c r="CP84" s="793"/>
      <c r="CQ84" s="794"/>
      <c r="DC84" s="129"/>
      <c r="DD84" s="77"/>
      <c r="DH84" s="130"/>
      <c r="DI84" s="130"/>
      <c r="DJ84" s="131"/>
      <c r="DS84" s="793"/>
      <c r="DT84" s="792" t="str">
        <f>IF(AR84="","",AR84)</f>
        <v>かほく</v>
      </c>
      <c r="DU84" s="793"/>
      <c r="DV84" s="793"/>
      <c r="DW84" s="793"/>
      <c r="DX84" s="793"/>
      <c r="DY84" s="793"/>
      <c r="DZ84" s="793"/>
      <c r="EA84" s="793"/>
      <c r="EB84" s="793"/>
      <c r="EC84" s="793"/>
      <c r="ED84" s="793"/>
      <c r="EE84" s="794"/>
      <c r="EF84" s="634"/>
      <c r="EQ84" s="129"/>
      <c r="ER84" s="791"/>
      <c r="EV84" s="143"/>
    </row>
    <row r="85" spans="1:152" s="61" customFormat="1" ht="13.5" customHeight="1" x14ac:dyDescent="0.15">
      <c r="C85" s="793"/>
      <c r="D85" s="795"/>
      <c r="E85" s="793"/>
      <c r="F85" s="793"/>
      <c r="G85" s="793"/>
      <c r="H85" s="793"/>
      <c r="I85" s="793"/>
      <c r="J85" s="793"/>
      <c r="K85" s="793"/>
      <c r="L85" s="793"/>
      <c r="M85" s="793"/>
      <c r="N85" s="793"/>
      <c r="O85" s="794"/>
      <c r="P85" s="634"/>
      <c r="AA85" s="129"/>
      <c r="AB85" s="791"/>
      <c r="AF85" s="130"/>
      <c r="AG85" s="130"/>
      <c r="AH85" s="131"/>
      <c r="AQ85" s="793"/>
      <c r="AR85" s="795"/>
      <c r="AS85" s="793"/>
      <c r="AT85" s="793"/>
      <c r="AU85" s="793"/>
      <c r="AV85" s="793"/>
      <c r="AW85" s="793"/>
      <c r="AX85" s="793"/>
      <c r="AY85" s="793"/>
      <c r="AZ85" s="793"/>
      <c r="BA85" s="793"/>
      <c r="BB85" s="793"/>
      <c r="BC85" s="794"/>
      <c r="BD85" s="634"/>
      <c r="BO85" s="129"/>
      <c r="BP85" s="791"/>
      <c r="BX85" s="130"/>
      <c r="BY85" s="130"/>
      <c r="BZ85" s="131"/>
      <c r="CE85" s="232"/>
      <c r="CF85" s="234"/>
      <c r="CG85" s="232"/>
      <c r="CH85" s="232"/>
      <c r="CI85" s="232"/>
      <c r="CJ85" s="232"/>
      <c r="CK85" s="232"/>
      <c r="CL85" s="232"/>
      <c r="CM85" s="232"/>
      <c r="CN85" s="232"/>
      <c r="CO85" s="232"/>
      <c r="CP85" s="232"/>
      <c r="CQ85" s="233"/>
      <c r="DC85" s="129"/>
      <c r="DD85" s="77"/>
      <c r="DH85" s="130"/>
      <c r="DI85" s="130"/>
      <c r="DJ85" s="131"/>
      <c r="DS85" s="793"/>
      <c r="DT85" s="795"/>
      <c r="DU85" s="793"/>
      <c r="DV85" s="793"/>
      <c r="DW85" s="793"/>
      <c r="DX85" s="793"/>
      <c r="DY85" s="793"/>
      <c r="DZ85" s="793"/>
      <c r="EA85" s="793"/>
      <c r="EB85" s="793"/>
      <c r="EC85" s="793"/>
      <c r="ED85" s="793"/>
      <c r="EE85" s="794"/>
      <c r="EF85" s="634"/>
      <c r="EQ85" s="129"/>
      <c r="ER85" s="791"/>
      <c r="EV85" s="143"/>
    </row>
    <row r="86" spans="1:152" s="61" customFormat="1" ht="13.5" customHeight="1" x14ac:dyDescent="0.15">
      <c r="C86" s="793"/>
      <c r="D86" s="795">
        <v>0.50694444444444442</v>
      </c>
      <c r="E86" s="793"/>
      <c r="F86" s="793"/>
      <c r="G86" s="793"/>
      <c r="H86" s="793"/>
      <c r="I86" s="793"/>
      <c r="J86" s="793"/>
      <c r="K86" s="793"/>
      <c r="L86" s="793"/>
      <c r="M86" s="793"/>
      <c r="N86" s="793"/>
      <c r="O86" s="794"/>
      <c r="P86" s="634"/>
      <c r="AA86" s="129"/>
      <c r="AB86" s="791"/>
      <c r="AC86" s="105"/>
      <c r="AD86" s="105"/>
      <c r="AE86" s="105"/>
      <c r="AF86" s="130"/>
      <c r="AG86" s="130"/>
      <c r="AH86" s="131"/>
      <c r="AQ86" s="793"/>
      <c r="AR86" s="795">
        <v>0.50694444444444442</v>
      </c>
      <c r="AS86" s="793"/>
      <c r="AT86" s="793"/>
      <c r="AU86" s="793"/>
      <c r="AV86" s="793"/>
      <c r="AW86" s="793"/>
      <c r="AX86" s="793"/>
      <c r="AY86" s="793"/>
      <c r="AZ86" s="793"/>
      <c r="BA86" s="793"/>
      <c r="BB86" s="793"/>
      <c r="BC86" s="794"/>
      <c r="BD86" s="634"/>
      <c r="BO86" s="129"/>
      <c r="BP86" s="791"/>
      <c r="BQ86" s="105"/>
      <c r="BR86" s="105"/>
      <c r="BS86" s="105"/>
      <c r="BT86" s="105"/>
      <c r="BU86" s="105"/>
      <c r="BX86" s="130"/>
      <c r="BY86" s="130"/>
      <c r="BZ86" s="131"/>
      <c r="CE86" s="232"/>
      <c r="CF86" s="795">
        <v>0.5625</v>
      </c>
      <c r="CG86" s="803"/>
      <c r="CH86" s="803"/>
      <c r="CI86" s="803"/>
      <c r="CJ86" s="803"/>
      <c r="CK86" s="803"/>
      <c r="CL86" s="803"/>
      <c r="CM86" s="803"/>
      <c r="CN86" s="803"/>
      <c r="CO86" s="803"/>
      <c r="CP86" s="803"/>
      <c r="CQ86" s="804"/>
      <c r="DC86" s="129"/>
      <c r="DD86" s="77"/>
      <c r="DE86" s="105"/>
      <c r="DF86" s="105"/>
      <c r="DG86" s="105"/>
      <c r="DH86" s="130"/>
      <c r="DI86" s="130"/>
      <c r="DJ86" s="131"/>
      <c r="DS86" s="793"/>
      <c r="DT86" s="795">
        <v>0.5625</v>
      </c>
      <c r="DU86" s="793"/>
      <c r="DV86" s="793"/>
      <c r="DW86" s="793"/>
      <c r="DX86" s="793"/>
      <c r="DY86" s="793"/>
      <c r="DZ86" s="793"/>
      <c r="EA86" s="793"/>
      <c r="EB86" s="793"/>
      <c r="EC86" s="793"/>
      <c r="ED86" s="793"/>
      <c r="EE86" s="794"/>
      <c r="EF86" s="634"/>
      <c r="EQ86" s="129"/>
      <c r="ER86" s="791"/>
      <c r="EV86" s="143"/>
    </row>
    <row r="87" spans="1:152" s="61" customFormat="1" ht="13.5" customHeight="1" x14ac:dyDescent="0.15">
      <c r="C87" s="793"/>
      <c r="D87" s="183"/>
      <c r="E87" s="695"/>
      <c r="F87" s="695"/>
      <c r="G87" s="695"/>
      <c r="H87" s="695"/>
      <c r="I87" s="618"/>
      <c r="J87" s="618"/>
      <c r="K87" s="696"/>
      <c r="L87" s="696"/>
      <c r="M87" s="696"/>
      <c r="N87" s="696"/>
      <c r="O87" s="222"/>
      <c r="P87" s="634"/>
      <c r="AA87" s="129"/>
      <c r="AB87" s="791"/>
      <c r="AC87" s="105"/>
      <c r="AD87" s="105"/>
      <c r="AE87" s="105"/>
      <c r="AF87" s="130"/>
      <c r="AG87" s="130"/>
      <c r="AH87" s="131"/>
      <c r="AQ87" s="793"/>
      <c r="AR87" s="183"/>
      <c r="AS87" s="695"/>
      <c r="AT87" s="695"/>
      <c r="AU87" s="695"/>
      <c r="AV87" s="695"/>
      <c r="AW87" s="618"/>
      <c r="AX87" s="618"/>
      <c r="AY87" s="696"/>
      <c r="AZ87" s="696"/>
      <c r="BA87" s="696"/>
      <c r="BB87" s="696"/>
      <c r="BC87" s="222"/>
      <c r="BD87" s="634"/>
      <c r="BO87" s="129"/>
      <c r="BP87" s="791"/>
      <c r="BQ87" s="105"/>
      <c r="BR87" s="105"/>
      <c r="BS87" s="105"/>
      <c r="BT87" s="105"/>
      <c r="BU87" s="105"/>
      <c r="BX87" s="130"/>
      <c r="BY87" s="130"/>
      <c r="BZ87" s="131"/>
      <c r="CE87" s="232"/>
      <c r="CF87" s="183"/>
      <c r="CG87" s="64"/>
      <c r="CH87" s="64"/>
      <c r="CI87" s="64"/>
      <c r="CJ87" s="64"/>
      <c r="CK87" s="59"/>
      <c r="CL87" s="59"/>
      <c r="CM87" s="65"/>
      <c r="CN87" s="65"/>
      <c r="CO87" s="65"/>
      <c r="CP87" s="65"/>
      <c r="CQ87" s="222"/>
      <c r="DC87" s="129"/>
      <c r="DD87" s="77"/>
      <c r="DE87" s="105"/>
      <c r="DF87" s="105"/>
      <c r="DG87" s="105"/>
      <c r="DH87" s="130"/>
      <c r="DI87" s="130"/>
      <c r="DJ87" s="131"/>
      <c r="DS87" s="793"/>
      <c r="DT87" s="183"/>
      <c r="DU87" s="695"/>
      <c r="DV87" s="695"/>
      <c r="DW87" s="695"/>
      <c r="DX87" s="695"/>
      <c r="DY87" s="618"/>
      <c r="DZ87" s="618"/>
      <c r="EA87" s="696"/>
      <c r="EB87" s="696"/>
      <c r="EC87" s="696"/>
      <c r="ED87" s="696"/>
      <c r="EE87" s="222"/>
      <c r="EF87" s="634"/>
      <c r="EQ87" s="129"/>
      <c r="ER87" s="791"/>
      <c r="EV87" s="143"/>
    </row>
    <row r="88" spans="1:152" s="61" customFormat="1" ht="13.5" customHeight="1" x14ac:dyDescent="0.15">
      <c r="C88" s="793"/>
      <c r="D88" s="221"/>
      <c r="H88" s="634"/>
      <c r="I88" s="634"/>
      <c r="J88" s="634"/>
      <c r="K88" s="634"/>
      <c r="O88" s="222"/>
      <c r="P88" s="634"/>
      <c r="AB88" s="791"/>
      <c r="AQ88" s="793"/>
      <c r="AR88" s="221"/>
      <c r="AV88" s="634"/>
      <c r="AW88" s="634"/>
      <c r="AX88" s="634"/>
      <c r="AY88" s="634"/>
      <c r="BC88" s="222"/>
      <c r="BD88" s="634"/>
      <c r="BP88" s="791"/>
      <c r="CE88" s="232"/>
      <c r="CF88" s="221"/>
      <c r="CQ88" s="222"/>
      <c r="DD88" s="77"/>
      <c r="DS88" s="793"/>
      <c r="DT88" s="221"/>
      <c r="DX88" s="634"/>
      <c r="DY88" s="634"/>
      <c r="DZ88" s="634"/>
      <c r="EA88" s="634"/>
      <c r="EE88" s="222"/>
      <c r="EF88" s="634"/>
      <c r="ER88" s="791"/>
      <c r="EV88" s="143"/>
    </row>
    <row r="89" spans="1:152" s="189" customFormat="1" ht="144" customHeight="1" x14ac:dyDescent="0.15">
      <c r="B89" s="799" t="str">
        <f>IF(C35="","ア負け(　　　　)",IF(C42&lt;I42,B60,N44))</f>
        <v>ア負け(　　　　)</v>
      </c>
      <c r="C89" s="800"/>
      <c r="D89" s="800"/>
      <c r="E89" s="800"/>
      <c r="F89" s="240"/>
      <c r="G89" s="240"/>
      <c r="H89" s="799"/>
      <c r="I89" s="800"/>
      <c r="J89" s="800"/>
      <c r="K89" s="800"/>
      <c r="L89" s="240"/>
      <c r="M89" s="240"/>
      <c r="N89" s="799" t="str">
        <f>IF(AF35="","イ負け(　　　　)",IF(Z42&lt;AF42,T44,AL44))</f>
        <v>イ負け(　　　　)</v>
      </c>
      <c r="O89" s="800"/>
      <c r="P89" s="800"/>
      <c r="Q89" s="800"/>
      <c r="R89" s="240"/>
      <c r="S89" s="240"/>
      <c r="T89" s="799"/>
      <c r="U89" s="800"/>
      <c r="V89" s="800"/>
      <c r="W89" s="800"/>
      <c r="X89" s="240"/>
      <c r="Y89" s="240"/>
      <c r="Z89" s="799" t="str">
        <f>IF(CN26="","Ｃ負け(　　　　)",IF(CN33&lt;CT33,CC35,DE35))</f>
        <v>Ｃ負け(　　　　)</v>
      </c>
      <c r="AA89" s="800"/>
      <c r="AB89" s="800"/>
      <c r="AC89" s="800"/>
      <c r="AD89" s="240"/>
      <c r="AE89" s="240"/>
      <c r="AF89" s="799"/>
      <c r="AG89" s="800"/>
      <c r="AH89" s="800"/>
      <c r="AI89" s="800"/>
      <c r="AJ89" s="799"/>
      <c r="AK89" s="800"/>
      <c r="AL89" s="800"/>
      <c r="AM89" s="800"/>
      <c r="AN89" s="240"/>
      <c r="AO89" s="240"/>
      <c r="AP89" s="799" t="str">
        <f>IF(AS35="","ウ負け(　　　　)",IF(AS42&lt;AY42,AR60,BD44))</f>
        <v>ウ負け(　　　　)</v>
      </c>
      <c r="AQ89" s="799"/>
      <c r="AR89" s="799"/>
      <c r="AS89" s="799"/>
      <c r="AT89" s="240"/>
      <c r="AU89" s="240"/>
      <c r="AV89" s="799"/>
      <c r="AW89" s="800"/>
      <c r="AX89" s="800"/>
      <c r="AY89" s="800"/>
      <c r="AZ89" s="240"/>
      <c r="BA89" s="240"/>
      <c r="BB89" s="799" t="str">
        <f>IF(BU35="","エ負け(　　　　)",IF(BO42&lt;BU42,BJ44,BV60))</f>
        <v>エ負け(　　　　)</v>
      </c>
      <c r="BC89" s="799"/>
      <c r="BD89" s="799"/>
      <c r="BE89" s="799"/>
      <c r="BF89" s="240"/>
      <c r="BG89" s="240"/>
      <c r="BH89" s="799"/>
      <c r="BI89" s="800"/>
      <c r="BJ89" s="800"/>
      <c r="BK89" s="800"/>
      <c r="BL89" s="240"/>
      <c r="BM89" s="240"/>
      <c r="BN89" s="799" t="str">
        <f>IF(ED26="","Ｄ負け(　　　　)",IF(DX33&lt;ED33,#REF!,EO35))</f>
        <v>Ｄ負け(　　　　)</v>
      </c>
      <c r="BO89" s="800"/>
      <c r="BP89" s="800"/>
      <c r="BQ89" s="800"/>
      <c r="BV89" s="240"/>
      <c r="BW89" s="240"/>
      <c r="BX89" s="240"/>
      <c r="CB89" s="240"/>
      <c r="CC89" s="240"/>
      <c r="CD89" s="799" t="str">
        <f>IF(CC35="","オ負け(　　　　)",IF(CC42&lt;CI42,CB60,CN44))</f>
        <v>オ負け(　　　　)</v>
      </c>
      <c r="CE89" s="799"/>
      <c r="CF89" s="799"/>
      <c r="CG89" s="799"/>
      <c r="CH89" s="240"/>
      <c r="CI89" s="240"/>
      <c r="CJ89" s="240"/>
      <c r="CN89" s="240"/>
      <c r="CO89" s="240"/>
      <c r="CP89" s="799" t="str">
        <f>IF(DE35="","カ負け(　　　　)",IF(CY42&lt;DE42,CT44,DF60))</f>
        <v>カ負け(　　　　)</v>
      </c>
      <c r="CQ89" s="799"/>
      <c r="CR89" s="799"/>
      <c r="CS89" s="799"/>
      <c r="CT89" s="240"/>
      <c r="CU89" s="240"/>
      <c r="CV89" s="240"/>
      <c r="CZ89" s="240"/>
      <c r="DA89" s="240"/>
      <c r="DB89" s="799" t="str">
        <f>IF(N26="","Ａ負け(　　　　)",IF(N33&lt;T33,C35,AF35))</f>
        <v>Ａ負け(　　　　)</v>
      </c>
      <c r="DC89" s="799"/>
      <c r="DD89" s="799"/>
      <c r="DE89" s="799"/>
      <c r="DF89" s="240"/>
      <c r="DG89" s="240"/>
      <c r="DH89" s="240"/>
      <c r="DP89" s="240"/>
      <c r="DR89" s="799" t="str">
        <f>IF(DL44="","キ負け(　　　　)",IF(#REF!&lt;DR42,DL44,DX44))</f>
        <v>キ負け(　　　　)</v>
      </c>
      <c r="DS89" s="800"/>
      <c r="DT89" s="800"/>
      <c r="DU89" s="800"/>
      <c r="DV89" s="240"/>
      <c r="DW89" s="240"/>
      <c r="DX89" s="799"/>
      <c r="DY89" s="800"/>
      <c r="DZ89" s="800"/>
      <c r="EA89" s="800"/>
      <c r="EB89" s="240"/>
      <c r="EC89" s="240"/>
      <c r="ED89" s="799" t="str">
        <f>IF(EO35="","ク負け(　　　　)",IF(EI42&lt;EO42,ED44,EP60))</f>
        <v>ク負け(　　　　)</v>
      </c>
      <c r="EE89" s="800"/>
      <c r="EF89" s="800"/>
      <c r="EG89" s="800"/>
      <c r="EH89" s="240"/>
      <c r="EI89" s="240"/>
      <c r="EJ89" s="799"/>
      <c r="EK89" s="800"/>
      <c r="EL89" s="800"/>
      <c r="EM89" s="800"/>
      <c r="EN89" s="240"/>
      <c r="EO89" s="240"/>
      <c r="EP89" s="799" t="str">
        <f>IF(BJ26="","Ｂ負け(　　　　)",IF(BD33&lt;BJ33,AS35,BU35))</f>
        <v>Ｂ負け(　　　　)</v>
      </c>
      <c r="EQ89" s="800"/>
      <c r="ER89" s="800"/>
      <c r="ES89" s="800"/>
      <c r="EV89" s="190"/>
    </row>
    <row r="90" spans="1:152" ht="19.5" customHeight="1" x14ac:dyDescent="0.15">
      <c r="B90" s="801" t="s">
        <v>140</v>
      </c>
      <c r="C90" s="801"/>
      <c r="D90" s="801"/>
      <c r="E90" s="801"/>
      <c r="F90" s="801"/>
      <c r="G90" s="801"/>
      <c r="H90" s="801"/>
      <c r="I90" s="801"/>
      <c r="J90" s="801"/>
      <c r="K90" s="801"/>
      <c r="L90" s="801"/>
      <c r="M90" s="801"/>
      <c r="N90" s="801"/>
      <c r="O90" s="801"/>
      <c r="P90" s="801"/>
      <c r="Q90" s="801"/>
      <c r="R90" s="801"/>
      <c r="S90" s="801"/>
      <c r="T90" s="801"/>
      <c r="U90" s="801"/>
      <c r="V90" s="801"/>
      <c r="W90" s="801"/>
      <c r="X90" s="801"/>
      <c r="Y90" s="801"/>
      <c r="Z90" s="801"/>
      <c r="AA90" s="801"/>
      <c r="AB90" s="801"/>
      <c r="AC90" s="801"/>
      <c r="AD90" s="801"/>
      <c r="AE90" s="801"/>
      <c r="AF90" s="801"/>
      <c r="AG90" s="801"/>
      <c r="AH90" s="801"/>
      <c r="AI90" s="801"/>
      <c r="AJ90" s="801"/>
      <c r="AK90" s="801"/>
      <c r="AL90" s="801"/>
      <c r="AM90" s="801"/>
      <c r="AN90" s="801"/>
      <c r="AO90" s="801"/>
      <c r="AP90" s="801"/>
      <c r="AQ90" s="801"/>
      <c r="AR90" s="801"/>
      <c r="AS90" s="801"/>
      <c r="AT90" s="801"/>
      <c r="AU90" s="801"/>
      <c r="AV90" s="801"/>
      <c r="AW90" s="801"/>
      <c r="AX90" s="801"/>
      <c r="AY90" s="801"/>
      <c r="AZ90" s="801"/>
      <c r="BA90" s="801"/>
      <c r="BB90" s="801"/>
      <c r="BC90" s="801"/>
      <c r="BD90" s="801"/>
      <c r="BE90" s="801"/>
      <c r="BF90" s="801"/>
      <c r="BG90" s="801"/>
      <c r="BH90" s="801"/>
      <c r="BI90" s="801"/>
      <c r="BJ90" s="801"/>
      <c r="BK90" s="801"/>
      <c r="BL90" s="801"/>
      <c r="BM90" s="801"/>
      <c r="BN90" s="801"/>
      <c r="BO90" s="801"/>
      <c r="BP90" s="801"/>
      <c r="BQ90" s="801"/>
      <c r="BR90" s="801"/>
      <c r="BS90" s="801"/>
      <c r="BT90" s="801"/>
      <c r="BU90" s="801"/>
      <c r="BV90" s="801"/>
      <c r="BW90" s="801"/>
      <c r="BX90" s="801"/>
      <c r="BY90" s="801"/>
      <c r="BZ90" s="801"/>
      <c r="CA90" s="801"/>
      <c r="CB90" s="801"/>
      <c r="CC90" s="801"/>
      <c r="CD90" s="801"/>
      <c r="CE90" s="801"/>
      <c r="CF90" s="801"/>
      <c r="CG90" s="801"/>
      <c r="CH90" s="801"/>
      <c r="CI90" s="801"/>
      <c r="CJ90" s="801"/>
      <c r="CK90" s="801"/>
      <c r="CL90" s="801"/>
      <c r="CM90" s="801"/>
      <c r="CN90" s="801"/>
      <c r="CO90" s="801"/>
      <c r="CP90" s="801"/>
      <c r="CQ90" s="801"/>
      <c r="CR90" s="801"/>
      <c r="CS90" s="801"/>
      <c r="CT90" s="801"/>
      <c r="CU90" s="801"/>
      <c r="CV90" s="801"/>
      <c r="CW90" s="801"/>
      <c r="CX90" s="801"/>
      <c r="CY90" s="801"/>
      <c r="CZ90" s="801"/>
      <c r="DA90" s="801"/>
      <c r="DB90" s="801"/>
      <c r="DC90" s="801"/>
      <c r="DD90" s="801"/>
      <c r="DE90" s="801"/>
      <c r="DF90" s="801"/>
      <c r="DG90" s="801"/>
      <c r="DH90" s="801"/>
      <c r="DI90" s="801"/>
      <c r="DJ90" s="801"/>
      <c r="DK90" s="801"/>
      <c r="DL90" s="801"/>
      <c r="DM90" s="801"/>
      <c r="DN90" s="801"/>
      <c r="DO90" s="801"/>
      <c r="DP90" s="801"/>
      <c r="DQ90" s="801"/>
      <c r="DR90" s="801"/>
      <c r="DS90" s="801"/>
      <c r="DT90" s="801"/>
      <c r="DU90" s="801"/>
      <c r="DV90" s="801"/>
      <c r="DW90" s="801"/>
      <c r="DX90" s="801"/>
      <c r="DY90" s="801"/>
      <c r="DZ90" s="801"/>
      <c r="EA90" s="801"/>
      <c r="EB90" s="801"/>
      <c r="EC90" s="801"/>
      <c r="ED90" s="801"/>
      <c r="EE90" s="801"/>
      <c r="EF90" s="801"/>
      <c r="EG90" s="801"/>
      <c r="EH90" s="801"/>
      <c r="EI90" s="801"/>
      <c r="EJ90" s="801"/>
      <c r="EK90" s="801"/>
      <c r="EL90" s="801"/>
      <c r="EM90" s="801"/>
      <c r="EN90" s="801"/>
      <c r="EO90" s="801"/>
      <c r="EP90" s="801"/>
      <c r="EQ90" s="801"/>
      <c r="ER90" s="801"/>
      <c r="ES90" s="801"/>
    </row>
    <row r="91" spans="1:152" ht="19.5" customHeight="1" x14ac:dyDescent="0.15">
      <c r="B91" s="801"/>
      <c r="C91" s="801"/>
      <c r="D91" s="801"/>
      <c r="E91" s="801"/>
      <c r="F91" s="801"/>
      <c r="G91" s="801"/>
      <c r="H91" s="801"/>
      <c r="I91" s="801"/>
      <c r="J91" s="801"/>
      <c r="K91" s="801"/>
      <c r="L91" s="801"/>
      <c r="M91" s="801"/>
      <c r="N91" s="801"/>
      <c r="O91" s="801"/>
      <c r="P91" s="801"/>
      <c r="Q91" s="801"/>
      <c r="R91" s="801"/>
      <c r="S91" s="801"/>
      <c r="T91" s="801"/>
      <c r="U91" s="801"/>
      <c r="V91" s="801"/>
      <c r="W91" s="801"/>
      <c r="X91" s="801"/>
      <c r="Y91" s="801"/>
      <c r="Z91" s="801"/>
      <c r="AA91" s="801"/>
      <c r="AB91" s="801"/>
      <c r="AC91" s="801"/>
      <c r="AD91" s="801"/>
      <c r="AE91" s="801"/>
      <c r="AF91" s="801"/>
      <c r="AG91" s="801"/>
      <c r="AH91" s="801"/>
      <c r="AI91" s="801"/>
      <c r="AJ91" s="801"/>
      <c r="AK91" s="801"/>
      <c r="AL91" s="801"/>
      <c r="AM91" s="801"/>
      <c r="AN91" s="801"/>
      <c r="AO91" s="801"/>
      <c r="AP91" s="801"/>
      <c r="AQ91" s="801"/>
      <c r="AR91" s="801"/>
      <c r="AS91" s="801"/>
      <c r="AT91" s="801"/>
      <c r="AU91" s="801"/>
      <c r="AV91" s="801"/>
      <c r="AW91" s="801"/>
      <c r="AX91" s="801"/>
      <c r="AY91" s="801"/>
      <c r="AZ91" s="801"/>
      <c r="BA91" s="801"/>
      <c r="BB91" s="801"/>
      <c r="BC91" s="801"/>
      <c r="BD91" s="801"/>
      <c r="BE91" s="801"/>
      <c r="BF91" s="801"/>
      <c r="BG91" s="801"/>
      <c r="BH91" s="801"/>
      <c r="BI91" s="801"/>
      <c r="BJ91" s="801"/>
      <c r="BK91" s="801"/>
      <c r="BL91" s="801"/>
      <c r="BM91" s="801"/>
      <c r="BN91" s="801"/>
      <c r="BO91" s="801"/>
      <c r="BP91" s="801"/>
      <c r="BQ91" s="801"/>
      <c r="BR91" s="801"/>
      <c r="BS91" s="801"/>
      <c r="BT91" s="801"/>
      <c r="BU91" s="801"/>
      <c r="BV91" s="801"/>
      <c r="BW91" s="801"/>
      <c r="BX91" s="801"/>
      <c r="BY91" s="801"/>
      <c r="BZ91" s="801"/>
      <c r="CA91" s="801"/>
      <c r="CB91" s="801"/>
      <c r="CC91" s="801"/>
      <c r="CD91" s="801"/>
      <c r="CE91" s="801"/>
      <c r="CF91" s="801"/>
      <c r="CG91" s="801"/>
      <c r="CH91" s="801"/>
      <c r="CI91" s="801"/>
      <c r="CJ91" s="801"/>
      <c r="CK91" s="801"/>
      <c r="CL91" s="801"/>
      <c r="CM91" s="801"/>
      <c r="CN91" s="801"/>
      <c r="CO91" s="801"/>
      <c r="CP91" s="801"/>
      <c r="CQ91" s="801"/>
      <c r="CR91" s="801"/>
      <c r="CS91" s="801"/>
      <c r="CT91" s="801"/>
      <c r="CU91" s="801"/>
      <c r="CV91" s="801"/>
      <c r="CW91" s="801"/>
      <c r="CX91" s="801"/>
      <c r="CY91" s="801"/>
      <c r="CZ91" s="801"/>
      <c r="DA91" s="801"/>
      <c r="DB91" s="801"/>
      <c r="DC91" s="801"/>
      <c r="DD91" s="801"/>
      <c r="DE91" s="801"/>
      <c r="DF91" s="801"/>
      <c r="DG91" s="801"/>
      <c r="DH91" s="801"/>
      <c r="DI91" s="801"/>
      <c r="DJ91" s="801"/>
      <c r="DK91" s="801"/>
      <c r="DL91" s="801"/>
      <c r="DM91" s="801"/>
      <c r="DN91" s="801"/>
      <c r="DO91" s="801"/>
      <c r="DP91" s="801"/>
      <c r="DQ91" s="801"/>
      <c r="DR91" s="801"/>
      <c r="DS91" s="801"/>
      <c r="DT91" s="801"/>
      <c r="DU91" s="801"/>
      <c r="DV91" s="801"/>
      <c r="DW91" s="801"/>
      <c r="DX91" s="801"/>
      <c r="DY91" s="801"/>
      <c r="DZ91" s="801"/>
      <c r="EA91" s="801"/>
      <c r="EB91" s="801"/>
      <c r="EC91" s="801"/>
      <c r="ED91" s="801"/>
      <c r="EE91" s="801"/>
      <c r="EF91" s="801"/>
      <c r="EG91" s="801"/>
      <c r="EH91" s="801"/>
      <c r="EI91" s="801"/>
      <c r="EJ91" s="801"/>
      <c r="EK91" s="801"/>
      <c r="EL91" s="801"/>
      <c r="EM91" s="801"/>
      <c r="EN91" s="801"/>
      <c r="EO91" s="801"/>
      <c r="EP91" s="801"/>
      <c r="EQ91" s="801"/>
      <c r="ER91" s="801"/>
      <c r="ES91" s="801"/>
    </row>
    <row r="92" spans="1:152" x14ac:dyDescent="0.15">
      <c r="A92" s="615" t="s">
        <v>141</v>
      </c>
      <c r="B92" s="615"/>
      <c r="C92" s="615"/>
      <c r="D92" s="615"/>
      <c r="E92" s="615"/>
      <c r="F92" s="615"/>
      <c r="G92" s="615"/>
      <c r="H92" s="615"/>
      <c r="I92" s="615"/>
      <c r="J92" s="615"/>
      <c r="K92" s="615"/>
      <c r="L92" s="615"/>
      <c r="M92" s="615"/>
      <c r="N92" s="615"/>
      <c r="O92" s="615"/>
      <c r="P92" s="615"/>
      <c r="Q92" s="615"/>
      <c r="R92" s="615"/>
      <c r="S92" s="615"/>
      <c r="T92" s="615"/>
      <c r="U92" s="615"/>
      <c r="V92" s="615"/>
      <c r="W92" s="615"/>
      <c r="X92" s="615"/>
      <c r="Y92" s="615"/>
      <c r="Z92" s="615"/>
      <c r="AA92" s="615"/>
      <c r="AB92" s="615"/>
      <c r="AC92" s="615"/>
      <c r="AD92" s="615"/>
      <c r="AE92" s="615"/>
      <c r="AF92" s="615"/>
      <c r="AG92" s="615"/>
      <c r="AH92" s="615"/>
      <c r="AI92" s="615"/>
      <c r="AJ92" s="615"/>
      <c r="AK92" s="615"/>
      <c r="AL92" s="615"/>
      <c r="AM92" s="615"/>
      <c r="AN92" s="615"/>
      <c r="AO92" s="615"/>
      <c r="AP92" s="615"/>
      <c r="AQ92" s="615"/>
      <c r="AR92" s="615"/>
      <c r="AS92" s="615"/>
      <c r="AT92" s="615"/>
      <c r="AU92" s="615"/>
      <c r="AV92" s="615"/>
      <c r="AW92" s="615"/>
      <c r="AX92" s="615"/>
      <c r="AY92" s="615"/>
      <c r="AZ92" s="615"/>
      <c r="BA92" s="615"/>
      <c r="BB92" s="615"/>
      <c r="BC92" s="615"/>
      <c r="BD92" s="615"/>
      <c r="BE92" s="615"/>
      <c r="BF92" s="615"/>
      <c r="BG92" s="615"/>
      <c r="BH92" s="615"/>
      <c r="BI92" s="615"/>
      <c r="BJ92" s="615"/>
      <c r="BK92" s="615"/>
      <c r="BL92" s="615"/>
      <c r="BM92" s="615"/>
      <c r="BN92" s="615"/>
      <c r="BO92" s="615"/>
      <c r="BP92" s="615"/>
      <c r="BQ92" s="615"/>
      <c r="BR92" s="615"/>
      <c r="BS92" s="615"/>
      <c r="BT92" s="615"/>
      <c r="BU92" s="615"/>
      <c r="BV92" s="615"/>
      <c r="BW92" s="615"/>
      <c r="BX92" s="615"/>
      <c r="BY92" s="615"/>
      <c r="BZ92" s="615"/>
      <c r="CA92" s="615"/>
      <c r="CB92" s="615"/>
      <c r="CC92" s="615"/>
      <c r="CD92" s="615"/>
      <c r="CE92" s="615"/>
      <c r="CF92" s="615"/>
      <c r="CG92" s="615"/>
      <c r="CH92" s="615"/>
      <c r="CI92" s="615"/>
      <c r="CJ92" s="615"/>
      <c r="CK92" s="615"/>
      <c r="CL92" s="615"/>
      <c r="CM92" s="615"/>
      <c r="CN92" s="615"/>
      <c r="CO92" s="615"/>
      <c r="CP92" s="615"/>
      <c r="CQ92" s="615"/>
      <c r="CR92" s="615"/>
      <c r="CS92" s="615"/>
      <c r="CT92" s="615"/>
      <c r="CU92" s="615"/>
      <c r="CV92" s="615"/>
      <c r="CW92" s="615"/>
      <c r="CX92" s="615"/>
      <c r="CY92" s="615"/>
      <c r="CZ92" s="615"/>
      <c r="DA92" s="615"/>
      <c r="DB92" s="615"/>
      <c r="DC92" s="615"/>
      <c r="DD92" s="615"/>
      <c r="DE92" s="615"/>
      <c r="DF92" s="615"/>
      <c r="DG92" s="615"/>
      <c r="DH92" s="615"/>
      <c r="DI92" s="615"/>
      <c r="DJ92" s="615"/>
      <c r="DK92" s="615"/>
      <c r="DL92" s="615"/>
      <c r="DM92" s="615"/>
      <c r="DN92" s="615"/>
      <c r="DO92" s="615"/>
      <c r="DP92" s="615"/>
      <c r="DQ92" s="615"/>
      <c r="DR92" s="615"/>
      <c r="DS92" s="615"/>
      <c r="DT92" s="615"/>
      <c r="DU92" s="615"/>
      <c r="DV92" s="615"/>
      <c r="DW92" s="615"/>
      <c r="DX92" s="615"/>
      <c r="DY92" s="615"/>
      <c r="DZ92" s="615"/>
      <c r="EA92" s="615"/>
      <c r="EB92" s="615"/>
      <c r="EC92" s="615"/>
      <c r="ED92" s="615"/>
      <c r="EE92" s="615"/>
      <c r="EF92" s="615"/>
      <c r="EG92" s="615"/>
      <c r="EH92" s="615"/>
      <c r="EI92" s="615"/>
      <c r="EJ92" s="615"/>
      <c r="EK92" s="615"/>
      <c r="EL92" s="615"/>
      <c r="EM92" s="615"/>
      <c r="EN92" s="615"/>
      <c r="EO92" s="615"/>
      <c r="EP92" s="615"/>
      <c r="EQ92" s="615"/>
      <c r="ER92" s="615"/>
      <c r="ES92" s="615"/>
      <c r="ET92" s="615"/>
    </row>
  </sheetData>
  <mergeCells count="682">
    <mergeCell ref="DL61:DO61"/>
    <mergeCell ref="BI18:CR18"/>
    <mergeCell ref="BI16:CR16"/>
    <mergeCell ref="BJ61:BM61"/>
    <mergeCell ref="BP61:BS61"/>
    <mergeCell ref="CA83:CD83"/>
    <mergeCell ref="CF84:CQ84"/>
    <mergeCell ref="CF86:CQ86"/>
    <mergeCell ref="CL75:DC75"/>
    <mergeCell ref="CL77:DC77"/>
    <mergeCell ref="CG74:CJ74"/>
    <mergeCell ref="DN48:DV48"/>
    <mergeCell ref="DP49:DS49"/>
    <mergeCell ref="DO54:DR54"/>
    <mergeCell ref="DU80:DX80"/>
    <mergeCell ref="BJ60:BM60"/>
    <mergeCell ref="BP60:BS60"/>
    <mergeCell ref="BV60:BY60"/>
    <mergeCell ref="CB60:CE60"/>
    <mergeCell ref="CZ57:DA57"/>
    <mergeCell ref="CQ54:CT54"/>
    <mergeCell ref="CV54:DA54"/>
    <mergeCell ref="DC54:DF54"/>
    <mergeCell ref="DT85:EE85"/>
    <mergeCell ref="EM54:EP54"/>
    <mergeCell ref="DO56:DR56"/>
    <mergeCell ref="EM56:EP56"/>
    <mergeCell ref="DM42:DP42"/>
    <mergeCell ref="DS42:DV42"/>
    <mergeCell ref="DN43:DP43"/>
    <mergeCell ref="DR43:DV43"/>
    <mergeCell ref="DM44:DM58"/>
    <mergeCell ref="DN44:DV44"/>
    <mergeCell ref="DN45:DP45"/>
    <mergeCell ref="DQ45:DR45"/>
    <mergeCell ref="DS45:DV45"/>
    <mergeCell ref="DN46:DV46"/>
    <mergeCell ref="DX57:DY57"/>
    <mergeCell ref="EF57:EG57"/>
    <mergeCell ref="EH57:EI57"/>
    <mergeCell ref="EJ57:EK57"/>
    <mergeCell ref="DT57:DU57"/>
    <mergeCell ref="DV57:DW57"/>
    <mergeCell ref="EL53:EL58"/>
    <mergeCell ref="DX53:DY53"/>
    <mergeCell ref="EF53:EG53"/>
    <mergeCell ref="EH53:EI53"/>
    <mergeCell ref="EJ53:EK53"/>
    <mergeCell ref="EP89:ES89"/>
    <mergeCell ref="B90:ES91"/>
    <mergeCell ref="A92:ET92"/>
    <mergeCell ref="DM35:DP39"/>
    <mergeCell ref="DQ35:DQ43"/>
    <mergeCell ref="DR37:EM37"/>
    <mergeCell ref="DR38:EM38"/>
    <mergeCell ref="DR39:EM39"/>
    <mergeCell ref="DM41:DP41"/>
    <mergeCell ref="DS41:DV41"/>
    <mergeCell ref="DR89:DU89"/>
    <mergeCell ref="DX89:EA89"/>
    <mergeCell ref="ED89:EG89"/>
    <mergeCell ref="EJ89:EM89"/>
    <mergeCell ref="CD89:CG89"/>
    <mergeCell ref="CP89:CS89"/>
    <mergeCell ref="DB89:DE89"/>
    <mergeCell ref="AJ89:AM89"/>
    <mergeCell ref="AP89:AS89"/>
    <mergeCell ref="AV89:AY89"/>
    <mergeCell ref="BB89:BE89"/>
    <mergeCell ref="BH89:BK89"/>
    <mergeCell ref="BN89:BQ89"/>
    <mergeCell ref="H88:K88"/>
    <mergeCell ref="DS83:DS88"/>
    <mergeCell ref="DU83:DX83"/>
    <mergeCell ref="DY83:DZ83"/>
    <mergeCell ref="EA83:ED83"/>
    <mergeCell ref="AV88:AY88"/>
    <mergeCell ref="DX88:EA88"/>
    <mergeCell ref="B89:E89"/>
    <mergeCell ref="H89:K89"/>
    <mergeCell ref="N89:Q89"/>
    <mergeCell ref="T89:W89"/>
    <mergeCell ref="Z89:AC89"/>
    <mergeCell ref="AF89:AI89"/>
    <mergeCell ref="D86:O86"/>
    <mergeCell ref="AR86:BC86"/>
    <mergeCell ref="DT86:EE86"/>
    <mergeCell ref="E87:H87"/>
    <mergeCell ref="I87:J87"/>
    <mergeCell ref="K87:N87"/>
    <mergeCell ref="AS87:AV87"/>
    <mergeCell ref="AW87:AX87"/>
    <mergeCell ref="AY87:BB87"/>
    <mergeCell ref="EF83:EF88"/>
    <mergeCell ref="DU87:DX87"/>
    <mergeCell ref="DY87:DZ87"/>
    <mergeCell ref="EA87:ED87"/>
    <mergeCell ref="CS83:CV83"/>
    <mergeCell ref="DT82:DX82"/>
    <mergeCell ref="DZ82:EE82"/>
    <mergeCell ref="C83:C88"/>
    <mergeCell ref="E83:H83"/>
    <mergeCell ref="I83:J83"/>
    <mergeCell ref="K83:N83"/>
    <mergeCell ref="P83:P88"/>
    <mergeCell ref="AQ83:AQ88"/>
    <mergeCell ref="AS83:AV83"/>
    <mergeCell ref="AW83:AX83"/>
    <mergeCell ref="D82:H82"/>
    <mergeCell ref="J82:O82"/>
    <mergeCell ref="AR82:AV82"/>
    <mergeCell ref="AX82:BC82"/>
    <mergeCell ref="D84:O84"/>
    <mergeCell ref="AR84:BC84"/>
    <mergeCell ref="DT84:EE84"/>
    <mergeCell ref="D85:O85"/>
    <mergeCell ref="AR85:BC85"/>
    <mergeCell ref="BB78:BE78"/>
    <mergeCell ref="BF78:BG78"/>
    <mergeCell ref="DY74:DY82"/>
    <mergeCell ref="ED74:EG74"/>
    <mergeCell ref="EH74:EI74"/>
    <mergeCell ref="EJ74:EM74"/>
    <mergeCell ref="EA80:ED80"/>
    <mergeCell ref="E81:H81"/>
    <mergeCell ref="K81:N81"/>
    <mergeCell ref="AS81:AV81"/>
    <mergeCell ref="AY81:BB81"/>
    <mergeCell ref="DU81:DX81"/>
    <mergeCell ref="EA81:ED81"/>
    <mergeCell ref="E80:H80"/>
    <mergeCell ref="K80:N80"/>
    <mergeCell ref="AS80:AV80"/>
    <mergeCell ref="AY80:BB80"/>
    <mergeCell ref="DE74:DH74"/>
    <mergeCell ref="E74:H78"/>
    <mergeCell ref="I74:I82"/>
    <mergeCell ref="N74:Q74"/>
    <mergeCell ref="R74:S74"/>
    <mergeCell ref="T74:W74"/>
    <mergeCell ref="AB74:AB88"/>
    <mergeCell ref="ER74:ER88"/>
    <mergeCell ref="J75:AA75"/>
    <mergeCell ref="AX75:BO75"/>
    <mergeCell ref="DZ75:EQ75"/>
    <mergeCell ref="J76:AA76"/>
    <mergeCell ref="DU74:DX78"/>
    <mergeCell ref="BB74:BE74"/>
    <mergeCell ref="BF74:BG74"/>
    <mergeCell ref="BH74:BK74"/>
    <mergeCell ref="BP74:BP88"/>
    <mergeCell ref="AX76:BO76"/>
    <mergeCell ref="BH78:BK78"/>
    <mergeCell ref="AY83:BB83"/>
    <mergeCell ref="BD83:BD88"/>
    <mergeCell ref="ED78:EG78"/>
    <mergeCell ref="EH78:EI78"/>
    <mergeCell ref="EJ78:EM78"/>
    <mergeCell ref="Q79:T79"/>
    <mergeCell ref="BE79:BH79"/>
    <mergeCell ref="EG79:EJ79"/>
    <mergeCell ref="DZ76:EQ76"/>
    <mergeCell ref="J77:AA77"/>
    <mergeCell ref="AX77:BO77"/>
    <mergeCell ref="DZ77:EQ77"/>
    <mergeCell ref="AS74:AV78"/>
    <mergeCell ref="AW74:AW82"/>
    <mergeCell ref="J73:Q73"/>
    <mergeCell ref="S73:AA73"/>
    <mergeCell ref="N78:Q78"/>
    <mergeCell ref="R78:S78"/>
    <mergeCell ref="T78:W78"/>
    <mergeCell ref="ED71:EG71"/>
    <mergeCell ref="EJ71:EM71"/>
    <mergeCell ref="N72:Q72"/>
    <mergeCell ref="T72:W72"/>
    <mergeCell ref="BB72:BE72"/>
    <mergeCell ref="BH72:BK72"/>
    <mergeCell ref="ED72:EG72"/>
    <mergeCell ref="EJ72:EM72"/>
    <mergeCell ref="R70:R73"/>
    <mergeCell ref="BF70:BF73"/>
    <mergeCell ref="EH70:EH73"/>
    <mergeCell ref="N71:Q71"/>
    <mergeCell ref="T71:W71"/>
    <mergeCell ref="BB71:BE71"/>
    <mergeCell ref="BH71:BK71"/>
    <mergeCell ref="DZ73:EG73"/>
    <mergeCell ref="EI73:EQ73"/>
    <mergeCell ref="AX73:BE73"/>
    <mergeCell ref="BG73:BO73"/>
    <mergeCell ref="C65:Y65"/>
    <mergeCell ref="AQ65:DK66"/>
    <mergeCell ref="J69:AA69"/>
    <mergeCell ref="AX69:BO69"/>
    <mergeCell ref="DZ69:EQ69"/>
    <mergeCell ref="EV60:EY60"/>
    <mergeCell ref="H61:K61"/>
    <mergeCell ref="N61:Q61"/>
    <mergeCell ref="AX61:BA61"/>
    <mergeCell ref="BD61:BG61"/>
    <mergeCell ref="EP61:ES61"/>
    <mergeCell ref="DR60:DU60"/>
    <mergeCell ref="DX60:EA60"/>
    <mergeCell ref="ED60:EG60"/>
    <mergeCell ref="EJ60:EM60"/>
    <mergeCell ref="EP60:ES60"/>
    <mergeCell ref="CH60:CK60"/>
    <mergeCell ref="CN60:CQ60"/>
    <mergeCell ref="CT60:CW60"/>
    <mergeCell ref="CZ60:DC60"/>
    <mergeCell ref="DF60:DI60"/>
    <mergeCell ref="DL60:DO60"/>
    <mergeCell ref="AX60:BA60"/>
    <mergeCell ref="BD60:BG60"/>
    <mergeCell ref="EJ59:EM59"/>
    <mergeCell ref="EP59:ES59"/>
    <mergeCell ref="B60:E60"/>
    <mergeCell ref="H60:K60"/>
    <mergeCell ref="N60:Q60"/>
    <mergeCell ref="T60:W60"/>
    <mergeCell ref="Z60:AC60"/>
    <mergeCell ref="AF60:AI60"/>
    <mergeCell ref="AL60:AO60"/>
    <mergeCell ref="AR60:AU60"/>
    <mergeCell ref="DF59:DI59"/>
    <mergeCell ref="DL59:DO59"/>
    <mergeCell ref="DR59:DU59"/>
    <mergeCell ref="DX59:EA59"/>
    <mergeCell ref="ED59:EG59"/>
    <mergeCell ref="BV59:BY59"/>
    <mergeCell ref="CB59:CE59"/>
    <mergeCell ref="CH59:CK59"/>
    <mergeCell ref="CN59:CQ59"/>
    <mergeCell ref="CT59:CW59"/>
    <mergeCell ref="CZ59:DC59"/>
    <mergeCell ref="AL59:AO59"/>
    <mergeCell ref="AR59:AU59"/>
    <mergeCell ref="AX59:BA59"/>
    <mergeCell ref="BD59:BG59"/>
    <mergeCell ref="BJ59:BM59"/>
    <mergeCell ref="BP59:BS59"/>
    <mergeCell ref="CW58:CZ58"/>
    <mergeCell ref="DU58:DX58"/>
    <mergeCell ref="EG58:EJ58"/>
    <mergeCell ref="B59:E59"/>
    <mergeCell ref="H59:K59"/>
    <mergeCell ref="N59:Q59"/>
    <mergeCell ref="T59:W59"/>
    <mergeCell ref="Z59:AC59"/>
    <mergeCell ref="AF59:AI59"/>
    <mergeCell ref="K58:N58"/>
    <mergeCell ref="W58:Z58"/>
    <mergeCell ref="AI58:AL58"/>
    <mergeCell ref="BA58:BD58"/>
    <mergeCell ref="BM58:BP58"/>
    <mergeCell ref="CK58:CN58"/>
    <mergeCell ref="CP53:CP58"/>
    <mergeCell ref="CU53:CU58"/>
    <mergeCell ref="BF53:BF58"/>
    <mergeCell ref="BK53:BK58"/>
    <mergeCell ref="BN53:BO53"/>
    <mergeCell ref="EA56:ED56"/>
    <mergeCell ref="EF56:EK56"/>
    <mergeCell ref="J57:K57"/>
    <mergeCell ref="L57:M57"/>
    <mergeCell ref="N57:O57"/>
    <mergeCell ref="V57:W57"/>
    <mergeCell ref="X57:Y57"/>
    <mergeCell ref="Z57:AA57"/>
    <mergeCell ref="AH57:AI57"/>
    <mergeCell ref="AJ57:AK57"/>
    <mergeCell ref="BS56:BV56"/>
    <mergeCell ref="CE56:CH56"/>
    <mergeCell ref="CJ56:CO56"/>
    <mergeCell ref="CQ56:CT56"/>
    <mergeCell ref="CV56:DA56"/>
    <mergeCell ref="DC56:DF56"/>
    <mergeCell ref="DZ53:DZ58"/>
    <mergeCell ref="EE53:EE58"/>
    <mergeCell ref="CN53:CO53"/>
    <mergeCell ref="CL57:CM57"/>
    <mergeCell ref="CN57:CO57"/>
    <mergeCell ref="BB57:BC57"/>
    <mergeCell ref="BL57:BM57"/>
    <mergeCell ref="BN57:BO57"/>
    <mergeCell ref="BP57:BQ57"/>
    <mergeCell ref="CJ57:CK57"/>
    <mergeCell ref="DB53:DB58"/>
    <mergeCell ref="CV57:CW57"/>
    <mergeCell ref="CX57:CY57"/>
    <mergeCell ref="D56:H56"/>
    <mergeCell ref="J56:O56"/>
    <mergeCell ref="Q56:T56"/>
    <mergeCell ref="V56:AA56"/>
    <mergeCell ref="AC56:AF56"/>
    <mergeCell ref="AH56:AM56"/>
    <mergeCell ref="BS54:BV54"/>
    <mergeCell ref="CE54:CH54"/>
    <mergeCell ref="CJ54:CO54"/>
    <mergeCell ref="D54:H54"/>
    <mergeCell ref="J54:O54"/>
    <mergeCell ref="Q54:T54"/>
    <mergeCell ref="V54:AA54"/>
    <mergeCell ref="AC54:AF54"/>
    <mergeCell ref="AH54:AM54"/>
    <mergeCell ref="AU54:AX54"/>
    <mergeCell ref="BL53:BM53"/>
    <mergeCell ref="AL53:AM53"/>
    <mergeCell ref="AN53:AN58"/>
    <mergeCell ref="AY53:AY58"/>
    <mergeCell ref="AZ53:BA53"/>
    <mergeCell ref="BB53:BC53"/>
    <mergeCell ref="BD53:BE53"/>
    <mergeCell ref="AU56:AX56"/>
    <mergeCell ref="AZ56:BE56"/>
    <mergeCell ref="AL57:AM57"/>
    <mergeCell ref="AZ57:BA57"/>
    <mergeCell ref="BD57:BE57"/>
    <mergeCell ref="I53:I58"/>
    <mergeCell ref="J53:K53"/>
    <mergeCell ref="L53:M53"/>
    <mergeCell ref="N53:O53"/>
    <mergeCell ref="P53:P58"/>
    <mergeCell ref="U53:U58"/>
    <mergeCell ref="V53:W53"/>
    <mergeCell ref="CN52:CO52"/>
    <mergeCell ref="CV52:CW52"/>
    <mergeCell ref="AL52:AM52"/>
    <mergeCell ref="AZ52:BB52"/>
    <mergeCell ref="BD52:BE52"/>
    <mergeCell ref="BL52:BM52"/>
    <mergeCell ref="BO52:BQ52"/>
    <mergeCell ref="CJ52:CL52"/>
    <mergeCell ref="X53:Y53"/>
    <mergeCell ref="Z53:AA53"/>
    <mergeCell ref="AB53:AB58"/>
    <mergeCell ref="AG53:AG58"/>
    <mergeCell ref="AH53:AI53"/>
    <mergeCell ref="AJ53:AK53"/>
    <mergeCell ref="BP53:BQ53"/>
    <mergeCell ref="BR53:BR58"/>
    <mergeCell ref="BL54:BQ54"/>
    <mergeCell ref="H50:K50"/>
    <mergeCell ref="N50:Q50"/>
    <mergeCell ref="T50:W50"/>
    <mergeCell ref="Z50:AC50"/>
    <mergeCell ref="DR51:DU51"/>
    <mergeCell ref="DX51:EA51"/>
    <mergeCell ref="ED51:EG51"/>
    <mergeCell ref="EJ51:EM51"/>
    <mergeCell ref="J52:L52"/>
    <mergeCell ref="N52:O52"/>
    <mergeCell ref="V52:W52"/>
    <mergeCell ref="Y52:AA52"/>
    <mergeCell ref="AH52:AJ52"/>
    <mergeCell ref="BP51:BS51"/>
    <mergeCell ref="CH51:CK51"/>
    <mergeCell ref="CN51:CQ51"/>
    <mergeCell ref="CT51:CW51"/>
    <mergeCell ref="CZ51:DC51"/>
    <mergeCell ref="DX52:DY52"/>
    <mergeCell ref="EF52:EG52"/>
    <mergeCell ref="EI52:EK52"/>
    <mergeCell ref="CY52:DA52"/>
    <mergeCell ref="DT52:DV52"/>
    <mergeCell ref="DW44:DW52"/>
    <mergeCell ref="F49:I49"/>
    <mergeCell ref="AC49:AF49"/>
    <mergeCell ref="AV49:AY49"/>
    <mergeCell ref="BR49:BU49"/>
    <mergeCell ref="CF49:CI49"/>
    <mergeCell ref="DB49:DE49"/>
    <mergeCell ref="EJ50:EM50"/>
    <mergeCell ref="H51:K51"/>
    <mergeCell ref="N51:Q51"/>
    <mergeCell ref="T51:W51"/>
    <mergeCell ref="Z51:AC51"/>
    <mergeCell ref="AF51:AI51"/>
    <mergeCell ref="AL51:AO51"/>
    <mergeCell ref="AX51:BA51"/>
    <mergeCell ref="BD51:BG51"/>
    <mergeCell ref="BJ51:BM51"/>
    <mergeCell ref="CZ50:DC50"/>
    <mergeCell ref="DR50:DU50"/>
    <mergeCell ref="DX50:EA50"/>
    <mergeCell ref="ED50:EG50"/>
    <mergeCell ref="BD50:BG50"/>
    <mergeCell ref="BJ50:BM50"/>
    <mergeCell ref="BP50:BS50"/>
    <mergeCell ref="CH50:CK50"/>
    <mergeCell ref="A48:B48"/>
    <mergeCell ref="D48:L48"/>
    <mergeCell ref="P48:Q48"/>
    <mergeCell ref="Y48:AJ48"/>
    <mergeCell ref="AT48:BB48"/>
    <mergeCell ref="BO48:BW48"/>
    <mergeCell ref="A45:A46"/>
    <mergeCell ref="D45:F45"/>
    <mergeCell ref="G45:H45"/>
    <mergeCell ref="I45:L45"/>
    <mergeCell ref="Z45:AC45"/>
    <mergeCell ref="AD45:AE45"/>
    <mergeCell ref="D46:L46"/>
    <mergeCell ref="P46:Q46"/>
    <mergeCell ref="Y46:AJ46"/>
    <mergeCell ref="AF45:AI45"/>
    <mergeCell ref="AT45:AV45"/>
    <mergeCell ref="AW45:AX45"/>
    <mergeCell ref="AY45:BB45"/>
    <mergeCell ref="BO45:BR45"/>
    <mergeCell ref="BS45:BT45"/>
    <mergeCell ref="EH44:EH52"/>
    <mergeCell ref="EI44:EQ44"/>
    <mergeCell ref="AS44:AS58"/>
    <mergeCell ref="AT44:BB44"/>
    <mergeCell ref="BC44:BC52"/>
    <mergeCell ref="BN44:BN52"/>
    <mergeCell ref="BO44:BW44"/>
    <mergeCell ref="BX44:BX58"/>
    <mergeCell ref="BU45:BW45"/>
    <mergeCell ref="AT46:BB46"/>
    <mergeCell ref="BO46:BW46"/>
    <mergeCell ref="AX50:BA50"/>
    <mergeCell ref="CD46:CL46"/>
    <mergeCell ref="CY46:DG46"/>
    <mergeCell ref="EI46:EQ46"/>
    <mergeCell ref="EI45:EL45"/>
    <mergeCell ref="EI48:EQ48"/>
    <mergeCell ref="DT54:DY54"/>
    <mergeCell ref="EA54:ED54"/>
    <mergeCell ref="EF54:EK54"/>
    <mergeCell ref="DT56:DY56"/>
    <mergeCell ref="DS53:DS58"/>
    <mergeCell ref="DT53:DU53"/>
    <mergeCell ref="DV53:DW53"/>
    <mergeCell ref="AF50:AI50"/>
    <mergeCell ref="AL50:AO50"/>
    <mergeCell ref="CY44:DG44"/>
    <mergeCell ref="DH44:DH58"/>
    <mergeCell ref="CD45:CF45"/>
    <mergeCell ref="CG45:CH45"/>
    <mergeCell ref="CI45:CL45"/>
    <mergeCell ref="CY45:DB45"/>
    <mergeCell ref="DC45:DD45"/>
    <mergeCell ref="DE45:DG45"/>
    <mergeCell ref="CD48:CL48"/>
    <mergeCell ref="CY48:DG48"/>
    <mergeCell ref="CN50:CQ50"/>
    <mergeCell ref="CT50:CW50"/>
    <mergeCell ref="CV53:CW53"/>
    <mergeCell ref="CX53:CY53"/>
    <mergeCell ref="CZ53:DA53"/>
    <mergeCell ref="AZ54:BE54"/>
    <mergeCell ref="BG54:BJ54"/>
    <mergeCell ref="CI53:CI58"/>
    <mergeCell ref="CJ53:CK53"/>
    <mergeCell ref="CL53:CM53"/>
    <mergeCell ref="BG56:BJ56"/>
    <mergeCell ref="BL56:BQ56"/>
    <mergeCell ref="EI41:EL41"/>
    <mergeCell ref="EO41:ER41"/>
    <mergeCell ref="EI43:EM43"/>
    <mergeCell ref="EO43:EQ43"/>
    <mergeCell ref="C44:C58"/>
    <mergeCell ref="D44:L44"/>
    <mergeCell ref="M44:M52"/>
    <mergeCell ref="X44:X52"/>
    <mergeCell ref="Y44:AJ44"/>
    <mergeCell ref="AK44:AK52"/>
    <mergeCell ref="BO43:BS43"/>
    <mergeCell ref="BU43:BW43"/>
    <mergeCell ref="CD43:CF43"/>
    <mergeCell ref="CH43:CL43"/>
    <mergeCell ref="CY43:DC43"/>
    <mergeCell ref="DE43:DG43"/>
    <mergeCell ref="ER44:ER58"/>
    <mergeCell ref="EM45:EN45"/>
    <mergeCell ref="EO45:EQ45"/>
    <mergeCell ref="EL49:EO49"/>
    <mergeCell ref="CC44:CC58"/>
    <mergeCell ref="CD44:CL44"/>
    <mergeCell ref="CM44:CM52"/>
    <mergeCell ref="CX44:CX52"/>
    <mergeCell ref="AS41:AV41"/>
    <mergeCell ref="AY41:BB41"/>
    <mergeCell ref="EI42:EL42"/>
    <mergeCell ref="EO42:ER42"/>
    <mergeCell ref="D43:F43"/>
    <mergeCell ref="H43:L43"/>
    <mergeCell ref="Y43:AD43"/>
    <mergeCell ref="AF43:AJ43"/>
    <mergeCell ref="AT43:AV43"/>
    <mergeCell ref="AX43:BB43"/>
    <mergeCell ref="BO42:BR42"/>
    <mergeCell ref="BU42:BX42"/>
    <mergeCell ref="CC42:CF42"/>
    <mergeCell ref="CI42:CL42"/>
    <mergeCell ref="CY42:DB42"/>
    <mergeCell ref="DE42:DH42"/>
    <mergeCell ref="C42:F42"/>
    <mergeCell ref="I42:L42"/>
    <mergeCell ref="Z42:AC42"/>
    <mergeCell ref="AF42:AI42"/>
    <mergeCell ref="AS42:AV42"/>
    <mergeCell ref="AY42:BB42"/>
    <mergeCell ref="EN35:EN43"/>
    <mergeCell ref="EO35:ER39"/>
    <mergeCell ref="A36:A37"/>
    <mergeCell ref="H37:AD37"/>
    <mergeCell ref="AX37:BS37"/>
    <mergeCell ref="CH37:DC37"/>
    <mergeCell ref="H38:AD38"/>
    <mergeCell ref="AX38:BS38"/>
    <mergeCell ref="CH38:DC38"/>
    <mergeCell ref="DE35:DH39"/>
    <mergeCell ref="DX35:EG35"/>
    <mergeCell ref="BT35:BT43"/>
    <mergeCell ref="BU35:BX39"/>
    <mergeCell ref="CC35:CF39"/>
    <mergeCell ref="CG35:CG43"/>
    <mergeCell ref="CN35:CW35"/>
    <mergeCell ref="DD35:DD43"/>
    <mergeCell ref="BO41:BR41"/>
    <mergeCell ref="BU41:BX41"/>
    <mergeCell ref="CC41:CF41"/>
    <mergeCell ref="CI41:CL41"/>
    <mergeCell ref="CY41:DB41"/>
    <mergeCell ref="DE41:DH41"/>
    <mergeCell ref="C41:F41"/>
    <mergeCell ref="I41:L41"/>
    <mergeCell ref="Z41:AC41"/>
    <mergeCell ref="DQ34:EB34"/>
    <mergeCell ref="ED34:EM34"/>
    <mergeCell ref="C35:F39"/>
    <mergeCell ref="G35:G43"/>
    <mergeCell ref="N35:W35"/>
    <mergeCell ref="AE35:AE43"/>
    <mergeCell ref="AF35:AI39"/>
    <mergeCell ref="AS35:AV39"/>
    <mergeCell ref="AW35:AW43"/>
    <mergeCell ref="BD35:BM35"/>
    <mergeCell ref="H34:Q34"/>
    <mergeCell ref="S34:AD34"/>
    <mergeCell ref="AX34:BH34"/>
    <mergeCell ref="BJ34:BS34"/>
    <mergeCell ref="CH34:CQ34"/>
    <mergeCell ref="CS34:DC34"/>
    <mergeCell ref="H39:AD39"/>
    <mergeCell ref="AX39:BS39"/>
    <mergeCell ref="CH39:DC39"/>
    <mergeCell ref="Q40:T40"/>
    <mergeCell ref="BG40:BJ40"/>
    <mergeCell ref="CQ40:CT40"/>
    <mergeCell ref="EA40:ED40"/>
    <mergeCell ref="AF41:AI41"/>
    <mergeCell ref="DX32:EA32"/>
    <mergeCell ref="ED32:EG32"/>
    <mergeCell ref="N33:Q33"/>
    <mergeCell ref="T33:W33"/>
    <mergeCell ref="BD33:BG33"/>
    <mergeCell ref="BJ33:BM33"/>
    <mergeCell ref="CN33:CQ33"/>
    <mergeCell ref="CT33:CW33"/>
    <mergeCell ref="DX33:EA33"/>
    <mergeCell ref="ED33:EG33"/>
    <mergeCell ref="EC26:EC34"/>
    <mergeCell ref="ED26:EG30"/>
    <mergeCell ref="T27:BG27"/>
    <mergeCell ref="CT27:EA27"/>
    <mergeCell ref="AI28:AL28"/>
    <mergeCell ref="AM28:AN28"/>
    <mergeCell ref="AO28:AR28"/>
    <mergeCell ref="DI28:DL28"/>
    <mergeCell ref="DM28:DN28"/>
    <mergeCell ref="DO28:DP28"/>
    <mergeCell ref="BJ26:BM30"/>
    <mergeCell ref="CN26:CQ30"/>
    <mergeCell ref="T29:BG29"/>
    <mergeCell ref="AI30:AL30"/>
    <mergeCell ref="AL31:AO31"/>
    <mergeCell ref="DL31:DO31"/>
    <mergeCell ref="H32:K32"/>
    <mergeCell ref="N32:Q32"/>
    <mergeCell ref="T32:W32"/>
    <mergeCell ref="AA32:AD32"/>
    <mergeCell ref="BD32:BG32"/>
    <mergeCell ref="BJ32:BM32"/>
    <mergeCell ref="CN32:CQ32"/>
    <mergeCell ref="CT32:CW32"/>
    <mergeCell ref="CR26:CR34"/>
    <mergeCell ref="DI26:DL26"/>
    <mergeCell ref="DM26:DN26"/>
    <mergeCell ref="DO26:DP26"/>
    <mergeCell ref="CT29:EA29"/>
    <mergeCell ref="DI30:DL30"/>
    <mergeCell ref="DM30:DN30"/>
    <mergeCell ref="DO30:DP30"/>
    <mergeCell ref="N26:Q30"/>
    <mergeCell ref="R26:R34"/>
    <mergeCell ref="AI26:AL26"/>
    <mergeCell ref="AM26:AN26"/>
    <mergeCell ref="AO26:AR26"/>
    <mergeCell ref="BI26:BI34"/>
    <mergeCell ref="AI24:AL24"/>
    <mergeCell ref="AO24:AR24"/>
    <mergeCell ref="DO24:DP24"/>
    <mergeCell ref="S25:AL25"/>
    <mergeCell ref="AN25:BH25"/>
    <mergeCell ref="DO25:EB25"/>
    <mergeCell ref="EG21:EP21"/>
    <mergeCell ref="BY22:CB22"/>
    <mergeCell ref="S23:V23"/>
    <mergeCell ref="AI23:AL23"/>
    <mergeCell ref="AO23:AR23"/>
    <mergeCell ref="BE23:BH23"/>
    <mergeCell ref="CS23:CV23"/>
    <mergeCell ref="DO23:DP23"/>
    <mergeCell ref="DY23:EB23"/>
    <mergeCell ref="ED19:EE19"/>
    <mergeCell ref="EF19:EI19"/>
    <mergeCell ref="DO15:DP19"/>
    <mergeCell ref="DW15:DW20"/>
    <mergeCell ref="DZ15:EC15"/>
    <mergeCell ref="ED15:EE15"/>
    <mergeCell ref="EF15:EI15"/>
    <mergeCell ref="AM30:AN30"/>
    <mergeCell ref="AO30:AR30"/>
    <mergeCell ref="EL15:EL20"/>
    <mergeCell ref="DY16:EJ16"/>
    <mergeCell ref="DZ17:EC17"/>
    <mergeCell ref="ED17:EE17"/>
    <mergeCell ref="EF17:EI17"/>
    <mergeCell ref="AI15:AL19"/>
    <mergeCell ref="AM15:AM25"/>
    <mergeCell ref="BV15:BY15"/>
    <mergeCell ref="BZ15:CA15"/>
    <mergeCell ref="CB15:CE15"/>
    <mergeCell ref="DN15:DN25"/>
    <mergeCell ref="BV20:BY20"/>
    <mergeCell ref="BZ20:CA20"/>
    <mergeCell ref="CB20:CE20"/>
    <mergeCell ref="EC20:EF20"/>
    <mergeCell ref="BV21:BY21"/>
    <mergeCell ref="BZ21:CA21"/>
    <mergeCell ref="CB21:CE21"/>
    <mergeCell ref="DS21:EB21"/>
    <mergeCell ref="DY18:EJ18"/>
    <mergeCell ref="BV19:BY19"/>
    <mergeCell ref="BZ19:CA19"/>
    <mergeCell ref="CB19:CE19"/>
    <mergeCell ref="DZ19:EC19"/>
    <mergeCell ref="DZ13:EC13"/>
    <mergeCell ref="EF13:EI13"/>
    <mergeCell ref="AN14:BY14"/>
    <mergeCell ref="DX14:EC14"/>
    <mergeCell ref="EE14:EK14"/>
    <mergeCell ref="CA14:DJ14"/>
    <mergeCell ref="DS9:EF9"/>
    <mergeCell ref="BZ11:BZ14"/>
    <mergeCell ref="DX11:EK11"/>
    <mergeCell ref="BV12:BY12"/>
    <mergeCell ref="CB12:CE12"/>
    <mergeCell ref="DZ12:EC12"/>
    <mergeCell ref="ED12:ED14"/>
    <mergeCell ref="EF12:EI12"/>
    <mergeCell ref="BV13:BY13"/>
    <mergeCell ref="CB13:CE13"/>
    <mergeCell ref="D5:J5"/>
    <mergeCell ref="L5:BD5"/>
    <mergeCell ref="BQ5:DI5"/>
    <mergeCell ref="L6:BD6"/>
    <mergeCell ref="BQ6:DI6"/>
    <mergeCell ref="AX9:BE10"/>
    <mergeCell ref="BF9:CU10"/>
    <mergeCell ref="D3:J3"/>
    <mergeCell ref="L3:BD3"/>
    <mergeCell ref="BG3:BO3"/>
    <mergeCell ref="BQ3:DI3"/>
    <mergeCell ref="D4:J4"/>
    <mergeCell ref="L4:BD4"/>
    <mergeCell ref="BQ4:DI4"/>
  </mergeCells>
  <phoneticPr fontId="2"/>
  <conditionalFormatting sqref="L3:BD6 BQ3:DI6">
    <cfRule type="expression" dxfId="647" priority="33" stopIfTrue="1">
      <formula>#REF!=""</formula>
    </cfRule>
  </conditionalFormatting>
  <conditionalFormatting sqref="R26:R31">
    <cfRule type="expression" dxfId="646" priority="31" stopIfTrue="1">
      <formula>$N$33=$T$33</formula>
    </cfRule>
    <cfRule type="expression" dxfId="645" priority="32" stopIfTrue="1">
      <formula>$N$33&lt;$T$33</formula>
    </cfRule>
  </conditionalFormatting>
  <conditionalFormatting sqref="S25:AL25">
    <cfRule type="expression" dxfId="644" priority="24" stopIfTrue="1">
      <formula>$AI$24&lt;=$AO$24</formula>
    </cfRule>
  </conditionalFormatting>
  <conditionalFormatting sqref="AM15:AM25">
    <cfRule type="expression" dxfId="643" priority="19" stopIfTrue="1">
      <formula>$AI$24=$AO$24</formula>
    </cfRule>
    <cfRule type="expression" dxfId="642" priority="20" stopIfTrue="1">
      <formula>$AI$24&lt;$AO$24</formula>
    </cfRule>
  </conditionalFormatting>
  <conditionalFormatting sqref="AN25:BH25">
    <cfRule type="expression" dxfId="641" priority="22" stopIfTrue="1">
      <formula>$AO$24&lt;=$AI$24</formula>
    </cfRule>
  </conditionalFormatting>
  <conditionalFormatting sqref="AN14:BY14">
    <cfRule type="expression" dxfId="640" priority="16" stopIfTrue="1">
      <formula>$BV$13&lt;=$CB$13</formula>
    </cfRule>
  </conditionalFormatting>
  <conditionalFormatting sqref="BI26:BI31">
    <cfRule type="expression" dxfId="639" priority="27" stopIfTrue="1">
      <formula>$BJ$33=$BD$33</formula>
    </cfRule>
    <cfRule type="expression" dxfId="638" priority="28" stopIfTrue="1">
      <formula>$BJ$33&lt;$BD$33</formula>
    </cfRule>
  </conditionalFormatting>
  <conditionalFormatting sqref="BZ11:BZ14">
    <cfRule type="expression" dxfId="637" priority="13" stopIfTrue="1">
      <formula>$BV$13=$CB$13</formula>
    </cfRule>
    <cfRule type="expression" dxfId="636" priority="14" stopIfTrue="1">
      <formula>$BV$13&lt;$CB$13</formula>
    </cfRule>
  </conditionalFormatting>
  <conditionalFormatting sqref="CR26:CR31">
    <cfRule type="expression" dxfId="635" priority="29" stopIfTrue="1">
      <formula>$CN$33=$CT$33</formula>
    </cfRule>
    <cfRule type="expression" dxfId="634" priority="30" stopIfTrue="1">
      <formula>$CN$33&lt;$CT$33</formula>
    </cfRule>
  </conditionalFormatting>
  <conditionalFormatting sqref="CS25:DJ25">
    <cfRule type="expression" dxfId="633" priority="21" stopIfTrue="1">
      <formula>$DI$24&lt;=$DO$24</formula>
    </cfRule>
  </conditionalFormatting>
  <conditionalFormatting sqref="DO25:EB25">
    <cfRule type="expression" dxfId="632" priority="23" stopIfTrue="1">
      <formula>$DO$24&lt;=$DI$24</formula>
    </cfRule>
  </conditionalFormatting>
  <conditionalFormatting sqref="DS9:EF9 ED15:EE15 DY16 DS21:EP21">
    <cfRule type="expression" dxfId="631" priority="1" stopIfTrue="1">
      <formula>$ET$1&lt;&gt;3</formula>
    </cfRule>
  </conditionalFormatting>
  <conditionalFormatting sqref="DW15:DW20">
    <cfRule type="expression" dxfId="630" priority="11" stopIfTrue="1">
      <formula>$ET$1&lt;&gt;3</formula>
    </cfRule>
    <cfRule type="expression" dxfId="629" priority="12" stopIfTrue="1">
      <formula>$DZ$13&lt;=$EF$13</formula>
    </cfRule>
  </conditionalFormatting>
  <conditionalFormatting sqref="DX14:EC14">
    <cfRule type="expression" dxfId="628" priority="9" stopIfTrue="1">
      <formula>$ET$1&lt;&gt;3</formula>
    </cfRule>
    <cfRule type="expression" dxfId="627" priority="10" stopIfTrue="1">
      <formula>$DZ$13&lt;=$EF$13</formula>
    </cfRule>
  </conditionalFormatting>
  <conditionalFormatting sqref="EC26:EC31">
    <cfRule type="expression" dxfId="626" priority="25" stopIfTrue="1">
      <formula>$ED$33=$DX$33</formula>
    </cfRule>
    <cfRule type="expression" dxfId="625" priority="26" stopIfTrue="1">
      <formula>$ED$33&lt;$DX$33</formula>
    </cfRule>
  </conditionalFormatting>
  <conditionalFormatting sqref="ED12:ED14">
    <cfRule type="expression" dxfId="624" priority="2" stopIfTrue="1">
      <formula>$ET$1&lt;&gt;3</formula>
    </cfRule>
    <cfRule type="expression" dxfId="623" priority="3" stopIfTrue="1">
      <formula>$DZ$13=$EF$13</formula>
    </cfRule>
    <cfRule type="expression" dxfId="622" priority="4" stopIfTrue="1">
      <formula>$DZ$13&lt;$EF$13</formula>
    </cfRule>
  </conditionalFormatting>
  <conditionalFormatting sqref="EE14:EK14">
    <cfRule type="expression" dxfId="621" priority="7" stopIfTrue="1">
      <formula>$ET$1&lt;&gt;3</formula>
    </cfRule>
    <cfRule type="expression" dxfId="620" priority="8" stopIfTrue="1">
      <formula>$EF$13&lt;=$DZ$13</formula>
    </cfRule>
  </conditionalFormatting>
  <conditionalFormatting sqref="EL15:EL20">
    <cfRule type="expression" dxfId="619" priority="5" stopIfTrue="1">
      <formula>$ET$1&lt;&gt;3</formula>
    </cfRule>
    <cfRule type="expression" dxfId="618" priority="6" stopIfTrue="1">
      <formula>$EF$13&lt;=$DZ$13</formula>
    </cfRule>
  </conditionalFormatting>
  <dataValidations count="3">
    <dataValidation type="list" allowBlank="1" showInputMessage="1" showErrorMessage="1" sqref="J54:O55 BO46:BW47 V54:AA55 AH54:AM55 AZ54:BE55 BL54:BQ55 CJ54:CO55 CV54:DA55 AT46:BB47 CY46:DG47 D46:L47 Y46:AJ47 CD46:CL47 EI46:EQ47 DT54:DY55 EF54:EK55 DN46:DV47" xr:uid="{00000000-0002-0000-0400-000000000000}">
      <formula1>$EV$46:$EV$50</formula1>
    </dataValidation>
    <dataValidation type="list" allowBlank="1" showInputMessage="1" showErrorMessage="1" sqref="J56:O56 CJ56:CO56 BL56:BQ56 CY48:DG48 CD48:CL48 BO48:BW48 AT48:BB48 Y48:AJ48 D48:L48 AZ56:BE56 AH56:AM56 V56:AA56 CV56:DA56 EF56:EK56 EI48:EQ48 DN48:DV48 DT56:DY56" xr:uid="{00000000-0002-0000-0400-000001000000}">
      <formula1>$EV$15:$EV$31</formula1>
    </dataValidation>
    <dataValidation type="list" allowBlank="1" showInputMessage="1" showErrorMessage="1" errorTitle="３を入力！" error="「３」以外は入力できません。" promptTitle="第3代表決定戦" prompt="シードなどの関係で第3代表を決めるときはこのセルに「３」と入力して下さい。" sqref="ET1" xr:uid="{00000000-0002-0000-0400-000002000000}">
      <formula1>"3"</formula1>
    </dataValidation>
  </dataValidations>
  <printOptions horizontalCentered="1" verticalCentered="1"/>
  <pageMargins left="0.19685039370078741" right="0.19685039370078741" top="0" bottom="0" header="0.51181102362204722" footer="0.51181102362204722"/>
  <pageSetup paperSize="9" scale="6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E5E5C-CC1C-4A36-AB2A-1478D1613B1D}">
  <sheetPr>
    <tabColor rgb="FF00B050"/>
    <pageSetUpPr fitToPage="1"/>
  </sheetPr>
  <dimension ref="A1:BJ52"/>
  <sheetViews>
    <sheetView showGridLines="0" view="pageBreakPreview" topLeftCell="B1" zoomScaleNormal="130" zoomScaleSheetLayoutView="100" workbookViewId="0">
      <selection activeCell="B1" sqref="B1"/>
    </sheetView>
  </sheetViews>
  <sheetFormatPr defaultColWidth="9" defaultRowHeight="14.25" x14ac:dyDescent="0.15"/>
  <cols>
    <col min="1" max="1" width="8.75" style="258" hidden="1" customWidth="1"/>
    <col min="2" max="2" width="5" style="258" customWidth="1"/>
    <col min="3" max="4" width="0.625" style="290" customWidth="1"/>
    <col min="5" max="5" width="2.5" style="446" customWidth="1"/>
    <col min="6" max="6" width="3.125" style="447" customWidth="1"/>
    <col min="7" max="7" width="2.5" style="448" customWidth="1"/>
    <col min="8" max="11" width="0.625" style="290" customWidth="1"/>
    <col min="12" max="12" width="2.5" style="446" customWidth="1"/>
    <col min="13" max="13" width="3.125" style="447" customWidth="1"/>
    <col min="14" max="14" width="2.5" style="448" customWidth="1"/>
    <col min="15" max="18" width="0.625" style="290" customWidth="1"/>
    <col min="19" max="19" width="2.5" style="446" customWidth="1"/>
    <col min="20" max="20" width="3.125" style="447" customWidth="1"/>
    <col min="21" max="21" width="2.5" style="448" customWidth="1"/>
    <col min="22" max="23" width="0.625" style="290" customWidth="1"/>
    <col min="24" max="25" width="0.625" style="258" customWidth="1"/>
    <col min="26" max="26" width="2.5" style="258" customWidth="1"/>
    <col min="27" max="27" width="3.125" style="258" customWidth="1"/>
    <col min="28" max="28" width="2.5" style="258" customWidth="1"/>
    <col min="29" max="32" width="0.625" style="258" customWidth="1"/>
    <col min="33" max="33" width="2.5" style="258" customWidth="1"/>
    <col min="34" max="34" width="3.125" style="258" customWidth="1"/>
    <col min="35" max="35" width="2.5" style="258" customWidth="1"/>
    <col min="36" max="37" width="0.625" style="258" customWidth="1"/>
    <col min="38" max="41" width="7.5" style="258" customWidth="1"/>
    <col min="42" max="42" width="0.625" style="258" customWidth="1"/>
    <col min="43" max="43" width="9.375" style="258" customWidth="1"/>
    <col min="44" max="45" width="0.625" style="258" customWidth="1"/>
    <col min="46" max="46" width="6.25" style="290" customWidth="1"/>
    <col min="47" max="51" width="6.25" style="258" customWidth="1"/>
    <col min="52" max="57" width="2.375" style="258" customWidth="1"/>
    <col min="58" max="58" width="4" style="258" bestFit="1" customWidth="1"/>
    <col min="59" max="91" width="2.375" style="258" customWidth="1"/>
    <col min="92" max="16384" width="9" style="258"/>
  </cols>
  <sheetData>
    <row r="1" spans="1:62" ht="24.75" x14ac:dyDescent="0.15">
      <c r="B1" s="445" t="str">
        <f ca="1">"令和"&amp;IF(YEAR(NOW())=2019,"元",YEAR(NOW())-2018)&amp;"年度 第"&amp;YEAR(NOW())-1999&amp;"回 全能登中学校サッカー大会"</f>
        <v>令和6年度 第25回 全能登中学校サッカー大会</v>
      </c>
      <c r="AG1" s="290"/>
      <c r="AH1" s="290"/>
      <c r="AI1" s="446"/>
      <c r="AJ1" s="447"/>
      <c r="AK1" s="448"/>
      <c r="AL1" s="290"/>
      <c r="AM1" s="290"/>
      <c r="AN1" s="290"/>
      <c r="AO1" s="290"/>
      <c r="AP1" s="446"/>
      <c r="AQ1" s="447"/>
      <c r="AR1" s="448"/>
      <c r="AS1" s="290"/>
      <c r="BE1" s="290" t="s">
        <v>170</v>
      </c>
      <c r="BF1" s="258">
        <f>15</f>
        <v>15</v>
      </c>
      <c r="BG1" s="258" t="s">
        <v>84</v>
      </c>
      <c r="BH1" s="258" t="str">
        <f t="shared" ref="BH1:BH10" si="0">CHAR(10)</f>
        <v xml:space="preserve">
</v>
      </c>
      <c r="BI1" s="449" t="s">
        <v>177</v>
      </c>
      <c r="BJ1" s="258" t="str">
        <f>BF1&amp;BG1&amp;BH1&amp;BI1</f>
        <v>15日
9:00</v>
      </c>
    </row>
    <row r="2" spans="1:62" x14ac:dyDescent="0.15">
      <c r="AG2" s="290"/>
      <c r="AH2" s="290"/>
      <c r="AI2" s="446"/>
      <c r="AJ2" s="447"/>
      <c r="AK2" s="448"/>
      <c r="AL2" s="290"/>
      <c r="AM2" s="290"/>
      <c r="AN2" s="290"/>
      <c r="AO2" s="290"/>
      <c r="AP2" s="446"/>
      <c r="AQ2" s="447"/>
      <c r="AR2" s="448"/>
      <c r="AS2" s="290"/>
      <c r="BE2" s="290" t="s">
        <v>167</v>
      </c>
      <c r="BF2" s="258">
        <f>BF1</f>
        <v>15</v>
      </c>
      <c r="BG2" s="258" t="s">
        <v>84</v>
      </c>
      <c r="BH2" s="258" t="str">
        <f t="shared" si="0"/>
        <v xml:space="preserve">
</v>
      </c>
      <c r="BI2" s="449" t="s">
        <v>178</v>
      </c>
      <c r="BJ2" s="258" t="str">
        <f t="shared" ref="BJ2:BJ10" si="1">BF2&amp;BG2&amp;BH2&amp;BI2</f>
        <v>15日
10:15</v>
      </c>
    </row>
    <row r="3" spans="1:62" ht="25.5" customHeight="1" x14ac:dyDescent="0.15">
      <c r="A3" s="290">
        <f>1</f>
        <v>1</v>
      </c>
      <c r="E3" s="805" t="s">
        <v>77</v>
      </c>
      <c r="F3" s="805"/>
      <c r="G3" s="805"/>
      <c r="H3" s="806" t="str">
        <f>IF(ISERROR(MATCH($A3,$AO$10:$AO$29,0)),"",INDEX(予選学校名!$I$22:$K$32,MATCH(INDEX($B$10:$B$29,MATCH($A3,$AO$10:$AO$29,0),1),予選学校名!$I$22:$I$32,0),3)&amp;"立"&amp;INDEX($B$10:$B$29,MATCH($A3,$AO$10:$AO$29,0),1)&amp;"中学校")</f>
        <v>中能登町立中能登中学校</v>
      </c>
      <c r="I3" s="806"/>
      <c r="J3" s="806"/>
      <c r="K3" s="806"/>
      <c r="L3" s="806"/>
      <c r="M3" s="806"/>
      <c r="N3" s="806"/>
      <c r="O3" s="806"/>
      <c r="P3" s="806"/>
      <c r="Q3" s="806"/>
      <c r="R3" s="806"/>
      <c r="S3" s="806"/>
      <c r="T3" s="806"/>
      <c r="U3" s="806"/>
      <c r="V3" s="806"/>
      <c r="W3" s="806"/>
      <c r="X3" s="806"/>
      <c r="Y3" s="806"/>
      <c r="Z3" s="806"/>
      <c r="AA3" s="806"/>
      <c r="AB3" s="806"/>
      <c r="AC3" s="806"/>
      <c r="AD3" s="806"/>
      <c r="AE3" s="806"/>
      <c r="AF3" s="450"/>
      <c r="AG3" s="807" t="str">
        <f>IF(H3="","","("&amp;INDEX(予選学校名!$I$22:$K$32,MATCH(INDEX($B$10:$B$29,MATCH($A3,$AO$10:$AO$29,0),1),予選学校名!$I$22:$I$32,0),2)&amp;")")</f>
        <v>(鹿島郡)</v>
      </c>
      <c r="AH3" s="807"/>
      <c r="AI3" s="807"/>
      <c r="AJ3" s="807"/>
      <c r="AL3" s="258" t="s">
        <v>78</v>
      </c>
      <c r="AM3" s="451"/>
      <c r="AQ3" s="258" t="str">
        <f>IF(ISERROR(MATCH($A3,$AO$10:$AO$29,0)),"",INDEX(予選学校名!$I$22:$K$32,MATCH(INDEX($B$10:$B$29,MATCH($A3,$AO$10:$AO$29,0),1),予選学校名!$I$22:$I$32,0),3))</f>
        <v>中能登町</v>
      </c>
      <c r="AT3" s="258" t="str">
        <f>IF(ISERROR(MATCH($A3,$AO$10:$AO$29,0)),"",INDEX($B$10:$B$29,MATCH($A3,$AO$10:$AO$29,0),1))</f>
        <v>中能登</v>
      </c>
      <c r="BE3" s="290" t="s">
        <v>171</v>
      </c>
      <c r="BF3" s="258">
        <f t="shared" ref="BF3:BF10" si="2">BF2</f>
        <v>15</v>
      </c>
      <c r="BG3" s="258" t="s">
        <v>84</v>
      </c>
      <c r="BH3" s="258" t="str">
        <f t="shared" si="0"/>
        <v xml:space="preserve">
</v>
      </c>
      <c r="BI3" s="449" t="s">
        <v>179</v>
      </c>
      <c r="BJ3" s="258" t="str">
        <f t="shared" si="1"/>
        <v>15日
11:30</v>
      </c>
    </row>
    <row r="4" spans="1:62" ht="25.5" customHeight="1" x14ac:dyDescent="0.15">
      <c r="A4" s="290">
        <f>A3+1</f>
        <v>2</v>
      </c>
      <c r="E4" s="805" t="s">
        <v>79</v>
      </c>
      <c r="F4" s="805"/>
      <c r="G4" s="805"/>
      <c r="H4" s="806" t="str">
        <f>IF(ISERROR(MATCH($A4,$AO$10:$AO$29,0)),"",INDEX(予選学校名!$I$22:$K$32,MATCH(INDEX($B$10:$B$29,MATCH($A4,$AO$10:$AO$29,0),1),予選学校名!$I$22:$I$32,0),3)&amp;"立"&amp;INDEX($B$10:$B$29,MATCH($A4,$AO$10:$AO$29,0),1)&amp;"中学校")</f>
        <v>輪島市立輪島中学校</v>
      </c>
      <c r="I4" s="806"/>
      <c r="J4" s="806"/>
      <c r="K4" s="806"/>
      <c r="L4" s="806"/>
      <c r="M4" s="806"/>
      <c r="N4" s="806"/>
      <c r="O4" s="806"/>
      <c r="P4" s="806"/>
      <c r="Q4" s="806"/>
      <c r="R4" s="806"/>
      <c r="S4" s="806"/>
      <c r="T4" s="806"/>
      <c r="U4" s="806"/>
      <c r="V4" s="806"/>
      <c r="W4" s="806"/>
      <c r="X4" s="806"/>
      <c r="Y4" s="806"/>
      <c r="Z4" s="806"/>
      <c r="AA4" s="806"/>
      <c r="AB4" s="806"/>
      <c r="AC4" s="806"/>
      <c r="AD4" s="806"/>
      <c r="AE4" s="806"/>
      <c r="AF4" s="450"/>
      <c r="AG4" s="807" t="str">
        <f>IF(H4="","","("&amp;INDEX(予選学校名!$I$22:$K$32,MATCH(INDEX($B$10:$B$29,MATCH($A4,$AO$10:$AO$29,0),1),予選学校名!$I$22:$I$32,0),2)&amp;")")</f>
        <v>(輪島市)</v>
      </c>
      <c r="AH4" s="807"/>
      <c r="AI4" s="807"/>
      <c r="AJ4" s="807"/>
      <c r="AL4" s="258" t="s">
        <v>78</v>
      </c>
      <c r="AM4" s="451"/>
      <c r="AQ4" s="258" t="str">
        <f>IF(ISERROR(MATCH($A4,$AO$10:$AO$29,0)),"",INDEX(予選学校名!$I$22:$K$32,MATCH(INDEX($B$10:$B$29,MATCH($A4,$AO$10:$AO$29,0),1),予選学校名!$I$22:$I$32,0),3))</f>
        <v>輪島市</v>
      </c>
      <c r="AT4" s="258" t="str">
        <f>IF(ISERROR(MATCH($A4,$AO$10:$AO$29,0)),"",INDEX($B$10:$B$29,MATCH($A4,$AO$10:$AO$29,0),1))</f>
        <v>輪島</v>
      </c>
      <c r="BE4" s="290" t="s">
        <v>169</v>
      </c>
      <c r="BF4" s="258">
        <f t="shared" si="2"/>
        <v>15</v>
      </c>
      <c r="BG4" s="258" t="s">
        <v>84</v>
      </c>
      <c r="BH4" s="258" t="str">
        <f t="shared" si="0"/>
        <v xml:space="preserve">
</v>
      </c>
      <c r="BI4" s="449" t="s">
        <v>184</v>
      </c>
      <c r="BJ4" s="258" t="str">
        <f t="shared" si="1"/>
        <v>15日
12:45</v>
      </c>
    </row>
    <row r="5" spans="1:62" ht="25.5" customHeight="1" x14ac:dyDescent="0.15">
      <c r="A5" s="290">
        <f>A4+1</f>
        <v>3</v>
      </c>
      <c r="E5" s="805" t="s">
        <v>80</v>
      </c>
      <c r="F5" s="805"/>
      <c r="G5" s="805"/>
      <c r="H5" s="806" t="str">
        <f>IF(ISERROR(MATCH($A5,$AO$10:$AO$29,0)),"",INDEX(予選学校名!$I$22:$K$32,MATCH(INDEX($B$10:$B$29,MATCH($A5,$AO$10:$AO$29,0),1),予選学校名!$I$22:$I$32,0),3)&amp;"立"&amp;INDEX($B$10:$B$29,MATCH($A5,$AO$10:$AO$29,0),1)&amp;"中学校")</f>
        <v>七尾市立七尾中学校</v>
      </c>
      <c r="I5" s="806"/>
      <c r="J5" s="806"/>
      <c r="K5" s="806"/>
      <c r="L5" s="806"/>
      <c r="M5" s="806"/>
      <c r="N5" s="806"/>
      <c r="O5" s="806"/>
      <c r="P5" s="806"/>
      <c r="Q5" s="806"/>
      <c r="R5" s="806"/>
      <c r="S5" s="806"/>
      <c r="T5" s="806"/>
      <c r="U5" s="806"/>
      <c r="V5" s="806"/>
      <c r="W5" s="806"/>
      <c r="X5" s="806"/>
      <c r="Y5" s="806"/>
      <c r="Z5" s="806"/>
      <c r="AA5" s="806"/>
      <c r="AB5" s="806"/>
      <c r="AC5" s="806"/>
      <c r="AD5" s="806"/>
      <c r="AE5" s="806"/>
      <c r="AF5" s="452"/>
      <c r="AG5" s="807" t="str">
        <f>IF(H5="","","("&amp;INDEX(予選学校名!$I$22:$K$32,MATCH(INDEX($B$10:$B$29,MATCH($A5,$AO$10:$AO$29,0),1),予選学校名!$I$22:$I$32,0),2)&amp;")")</f>
        <v>(七尾市)</v>
      </c>
      <c r="AH5" s="807"/>
      <c r="AI5" s="807"/>
      <c r="AJ5" s="807"/>
      <c r="AK5" s="290"/>
      <c r="AL5" s="290"/>
      <c r="AM5" s="446"/>
      <c r="AN5" s="447"/>
      <c r="AO5" s="448"/>
      <c r="AP5" s="290"/>
      <c r="AR5" s="290"/>
      <c r="AS5" s="290"/>
      <c r="AT5" s="258"/>
      <c r="BE5" s="290" t="s">
        <v>172</v>
      </c>
      <c r="BF5" s="258">
        <f t="shared" si="2"/>
        <v>15</v>
      </c>
      <c r="BG5" s="258" t="s">
        <v>84</v>
      </c>
      <c r="BH5" s="258" t="str">
        <f t="shared" si="0"/>
        <v xml:space="preserve">
</v>
      </c>
      <c r="BI5" s="449" t="s">
        <v>180</v>
      </c>
      <c r="BJ5" s="258" t="str">
        <f t="shared" si="1"/>
        <v>15日
14:00</v>
      </c>
    </row>
    <row r="6" spans="1:62" ht="25.5" customHeight="1" x14ac:dyDescent="0.15">
      <c r="H6" s="821"/>
      <c r="I6" s="822"/>
      <c r="J6" s="822"/>
      <c r="K6" s="822"/>
      <c r="L6" s="822"/>
      <c r="M6" s="822"/>
      <c r="N6" s="822"/>
      <c r="O6" s="822"/>
      <c r="P6" s="822"/>
      <c r="Q6" s="822"/>
      <c r="R6" s="822"/>
      <c r="S6" s="822"/>
      <c r="T6" s="822"/>
      <c r="U6" s="822"/>
      <c r="V6" s="822"/>
      <c r="W6" s="822"/>
      <c r="X6" s="453"/>
      <c r="Y6" s="296"/>
      <c r="Z6" s="296"/>
      <c r="AA6" s="296"/>
      <c r="AD6" s="290"/>
      <c r="AE6" s="290"/>
      <c r="AF6" s="446"/>
      <c r="AG6" s="447"/>
      <c r="AH6" s="448"/>
      <c r="AI6" s="290"/>
      <c r="AJ6" s="290"/>
      <c r="AK6" s="290"/>
      <c r="AL6" s="290"/>
      <c r="AM6" s="446"/>
      <c r="AN6" s="447"/>
      <c r="AO6" s="448"/>
      <c r="AP6" s="290"/>
      <c r="AQ6" s="290"/>
      <c r="AR6" s="290"/>
      <c r="AS6" s="290"/>
      <c r="BE6" s="290" t="s">
        <v>173</v>
      </c>
      <c r="BF6" s="258">
        <f>BF5+1</f>
        <v>16</v>
      </c>
      <c r="BG6" s="258" t="s">
        <v>84</v>
      </c>
      <c r="BH6" s="258" t="str">
        <f t="shared" si="0"/>
        <v xml:space="preserve">
</v>
      </c>
      <c r="BI6" s="449" t="s">
        <v>177</v>
      </c>
      <c r="BJ6" s="258" t="str">
        <f t="shared" si="1"/>
        <v>16日
9:00</v>
      </c>
    </row>
    <row r="7" spans="1:62" ht="26.25" customHeight="1" x14ac:dyDescent="0.15">
      <c r="AG7" s="290"/>
      <c r="AH7" s="290"/>
      <c r="AI7" s="446"/>
      <c r="AJ7" s="447"/>
      <c r="AK7" s="448"/>
      <c r="AL7" s="290"/>
      <c r="AM7" s="290"/>
      <c r="AN7" s="290"/>
      <c r="AO7" s="454" t="s">
        <v>713</v>
      </c>
      <c r="AP7" s="446"/>
      <c r="AQ7" s="447"/>
      <c r="AR7" s="448"/>
      <c r="AS7" s="290"/>
      <c r="BE7" s="290" t="s">
        <v>168</v>
      </c>
      <c r="BF7" s="258">
        <f t="shared" si="2"/>
        <v>16</v>
      </c>
      <c r="BG7" s="258" t="s">
        <v>84</v>
      </c>
      <c r="BH7" s="258" t="str">
        <f t="shared" si="0"/>
        <v xml:space="preserve">
</v>
      </c>
      <c r="BI7" s="449" t="s">
        <v>178</v>
      </c>
      <c r="BJ7" s="258" t="str">
        <f t="shared" si="1"/>
        <v>16日
10:15</v>
      </c>
    </row>
    <row r="8" spans="1:62" s="455" customFormat="1" ht="26.25" customHeight="1" x14ac:dyDescent="0.15">
      <c r="B8" s="456" t="s">
        <v>714</v>
      </c>
      <c r="C8" s="457"/>
      <c r="D8" s="457"/>
      <c r="E8" s="458"/>
      <c r="F8" s="459"/>
      <c r="G8" s="460"/>
      <c r="H8" s="457"/>
      <c r="I8" s="457"/>
      <c r="J8" s="457"/>
      <c r="K8" s="457"/>
      <c r="L8" s="458"/>
      <c r="M8" s="459"/>
      <c r="N8" s="460"/>
      <c r="O8" s="457"/>
      <c r="P8" s="457"/>
      <c r="Q8" s="457"/>
      <c r="R8" s="457"/>
      <c r="S8" s="458"/>
      <c r="T8" s="459"/>
      <c r="U8" s="460"/>
      <c r="V8" s="457"/>
      <c r="W8" s="457"/>
      <c r="AF8" s="457"/>
      <c r="AG8" s="457"/>
      <c r="AH8" s="458"/>
      <c r="AI8" s="459"/>
      <c r="AJ8" s="460"/>
      <c r="AK8" s="457"/>
      <c r="AL8" s="457"/>
      <c r="AM8" s="457"/>
      <c r="AN8" s="457"/>
      <c r="AO8" s="458"/>
      <c r="AP8" s="459"/>
      <c r="AQ8" s="460"/>
      <c r="AR8" s="457"/>
      <c r="AS8" s="457"/>
      <c r="AT8" s="457"/>
      <c r="BE8" s="290" t="s">
        <v>166</v>
      </c>
      <c r="BF8" s="258">
        <f>BF7</f>
        <v>16</v>
      </c>
      <c r="BG8" s="258" t="s">
        <v>150</v>
      </c>
      <c r="BH8" s="258" t="str">
        <f t="shared" si="0"/>
        <v xml:space="preserve">
</v>
      </c>
      <c r="BI8" s="449" t="s">
        <v>179</v>
      </c>
      <c r="BJ8" s="258" t="str">
        <f t="shared" si="1"/>
        <v>16日
11:30</v>
      </c>
    </row>
    <row r="9" spans="1:62" ht="30" customHeight="1" x14ac:dyDescent="0.15">
      <c r="B9" s="297"/>
      <c r="C9" s="823" t="str">
        <f>B10</f>
        <v>志賀</v>
      </c>
      <c r="D9" s="823"/>
      <c r="E9" s="823"/>
      <c r="F9" s="823"/>
      <c r="G9" s="823"/>
      <c r="H9" s="823"/>
      <c r="I9" s="823"/>
      <c r="J9" s="823" t="str">
        <f>B14</f>
        <v>中能登</v>
      </c>
      <c r="K9" s="823"/>
      <c r="L9" s="823"/>
      <c r="M9" s="823"/>
      <c r="N9" s="823"/>
      <c r="O9" s="823"/>
      <c r="P9" s="823"/>
      <c r="Q9" s="823" t="str">
        <f>B18</f>
        <v>七尾</v>
      </c>
      <c r="R9" s="823"/>
      <c r="S9" s="823"/>
      <c r="T9" s="823"/>
      <c r="U9" s="823"/>
      <c r="V9" s="823"/>
      <c r="W9" s="823"/>
      <c r="X9" s="823" t="str">
        <f>B22</f>
        <v>輪島</v>
      </c>
      <c r="Y9" s="823"/>
      <c r="Z9" s="823"/>
      <c r="AA9" s="823"/>
      <c r="AB9" s="823"/>
      <c r="AC9" s="823"/>
      <c r="AD9" s="823"/>
      <c r="AE9" s="823" t="str">
        <f>B26</f>
        <v>七尾東部</v>
      </c>
      <c r="AF9" s="823"/>
      <c r="AG9" s="823"/>
      <c r="AH9" s="823"/>
      <c r="AI9" s="823"/>
      <c r="AJ9" s="823"/>
      <c r="AK9" s="823"/>
      <c r="AL9" s="461" t="s">
        <v>88</v>
      </c>
      <c r="AM9" s="462" t="s">
        <v>89</v>
      </c>
      <c r="AN9" s="461" t="s">
        <v>90</v>
      </c>
      <c r="AO9" s="461" t="s">
        <v>91</v>
      </c>
      <c r="AU9" s="258" t="str">
        <f>C9</f>
        <v>志賀</v>
      </c>
      <c r="AV9" s="290" t="str">
        <f>J9</f>
        <v>中能登</v>
      </c>
      <c r="AW9" s="290" t="str">
        <f>Q9</f>
        <v>七尾</v>
      </c>
      <c r="AX9" s="290" t="str">
        <f>X9</f>
        <v>輪島</v>
      </c>
      <c r="AY9" s="258" t="str">
        <f>AE9</f>
        <v>七尾東部</v>
      </c>
      <c r="BA9" s="449"/>
      <c r="BE9" s="258" t="s">
        <v>174</v>
      </c>
      <c r="BF9" s="258">
        <f t="shared" si="2"/>
        <v>16</v>
      </c>
      <c r="BG9" s="258" t="s">
        <v>150</v>
      </c>
      <c r="BH9" s="258" t="str">
        <f t="shared" si="0"/>
        <v xml:space="preserve">
</v>
      </c>
      <c r="BI9" s="449" t="s">
        <v>184</v>
      </c>
      <c r="BJ9" s="258" t="str">
        <f t="shared" si="1"/>
        <v>16日
12:45</v>
      </c>
    </row>
    <row r="10" spans="1:62" ht="19.5" customHeight="1" x14ac:dyDescent="0.15">
      <c r="A10" s="258">
        <f>1</f>
        <v>1</v>
      </c>
      <c r="B10" s="808" t="str">
        <f>IF(ISERROR(MATCH(A10,予選学校名!$H$22:$H$32,0)),"",INDEX(予選学校名!$H$22:$K$32,MATCH(A10,予選学校名!$H$22:$H$32,0),2))</f>
        <v>志賀</v>
      </c>
      <c r="C10" s="809"/>
      <c r="D10" s="810"/>
      <c r="E10" s="810"/>
      <c r="F10" s="810"/>
      <c r="G10" s="810"/>
      <c r="H10" s="810"/>
      <c r="I10" s="811"/>
      <c r="J10" s="818">
        <f>IF(L11="","",SUM(L11,L12))</f>
        <v>1</v>
      </c>
      <c r="K10" s="819"/>
      <c r="L10" s="819"/>
      <c r="M10" s="463" t="str">
        <f>IF(J10="","",IF(J10&gt;N10,"○",IF(J10&lt;N10,"●","△")))</f>
        <v>●</v>
      </c>
      <c r="N10" s="819">
        <f>IF(N11="","",SUM(N11,N12))</f>
        <v>2</v>
      </c>
      <c r="O10" s="819"/>
      <c r="P10" s="820"/>
      <c r="Q10" s="818">
        <f>IF(S11="","",SUM(S11,S12))</f>
        <v>1</v>
      </c>
      <c r="R10" s="819"/>
      <c r="S10" s="819"/>
      <c r="T10" s="463" t="str">
        <f>IF(Q10="","",IF(Q10&gt;U10,"○",IF(Q10&lt;U10,"●","△")))</f>
        <v>●</v>
      </c>
      <c r="U10" s="819">
        <f>IF(U11="","",SUM(U11,U12))</f>
        <v>2</v>
      </c>
      <c r="V10" s="819"/>
      <c r="W10" s="820"/>
      <c r="X10" s="818">
        <f>IF(Z11="","",SUM(Z11,Z12))</f>
        <v>0</v>
      </c>
      <c r="Y10" s="819"/>
      <c r="Z10" s="819"/>
      <c r="AA10" s="463" t="str">
        <f>IF(X10="","",IF(X10&gt;AB10,"○",IF(X10&lt;AB10,"●","△")))</f>
        <v>△</v>
      </c>
      <c r="AB10" s="819">
        <f>IF(AB11="","",SUM(AB11,AB12))</f>
        <v>0</v>
      </c>
      <c r="AC10" s="819"/>
      <c r="AD10" s="820"/>
      <c r="AE10" s="818">
        <f>IF(AG11="","",SUM(AG11,AG12))</f>
        <v>4</v>
      </c>
      <c r="AF10" s="819"/>
      <c r="AG10" s="819"/>
      <c r="AH10" s="463" t="str">
        <f>IF(AE10="","",IF(AE10&gt;AI10,"○",IF(AE10&lt;AI10,"●","△")))</f>
        <v>●</v>
      </c>
      <c r="AI10" s="819">
        <f>IF(AI11="","",SUM(AI11,AI12))</f>
        <v>7</v>
      </c>
      <c r="AJ10" s="819"/>
      <c r="AK10" s="820"/>
      <c r="AL10" s="824">
        <f>IF(COUNT(C11:AK11)=0,"",COUNTIF(C10:AK10,"○")*3+COUNTIF(C10:AK10,"△"))</f>
        <v>1</v>
      </c>
      <c r="AM10" s="824">
        <f>IF(AL10="","",SUM(G10:G29)/2-SUM(E10:E29))</f>
        <v>-5</v>
      </c>
      <c r="AN10" s="824">
        <f>IF(AL10="","",SUM(G10:G29)/2)</f>
        <v>6</v>
      </c>
      <c r="AO10" s="824">
        <f>IF(OR(AL10="",MOD(COUNT(C10:AK10),2)=1),"",RANK(AQ10,$AQ$10:$AQ$29))</f>
        <v>5</v>
      </c>
      <c r="AQ10" s="258">
        <f>IF(OR(AL10="",MOD(COUNT(C10:AK10),2)=1),"",AL10*1000000+SUM(AU10:AY10)*10000+AM10*100+AN10)</f>
        <v>999506</v>
      </c>
      <c r="AT10" s="290" t="str">
        <f>B10</f>
        <v>志賀</v>
      </c>
      <c r="AV10" s="258">
        <f>IF(AL10=$AL14,IF(M10="○",3,IF(M10="△",1,0)),0)</f>
        <v>0</v>
      </c>
      <c r="AW10" s="258">
        <f>IF(AL10=$AL18,IF(T10="○",3,IF(T10="△",1,0)),0)</f>
        <v>0</v>
      </c>
      <c r="AX10" s="258">
        <f>IF(AL10=$AL22,IF(AA10="○",3,IF(AA10="△",1,0)),0)</f>
        <v>0</v>
      </c>
      <c r="AY10" s="258">
        <f>IF(AL10=$AL26,IF(AH10="○",3,IF(AH10="△",1,0)),0)</f>
        <v>0</v>
      </c>
      <c r="BE10" s="258" t="s">
        <v>165</v>
      </c>
      <c r="BF10" s="258">
        <f t="shared" si="2"/>
        <v>16</v>
      </c>
      <c r="BG10" s="258" t="s">
        <v>150</v>
      </c>
      <c r="BH10" s="258" t="str">
        <f t="shared" si="0"/>
        <v xml:space="preserve">
</v>
      </c>
      <c r="BI10" s="449" t="s">
        <v>180</v>
      </c>
      <c r="BJ10" s="258" t="str">
        <f t="shared" si="1"/>
        <v>16日
14:00</v>
      </c>
    </row>
    <row r="11" spans="1:62" ht="19.5" customHeight="1" x14ac:dyDescent="0.15">
      <c r="B11" s="808"/>
      <c r="C11" s="812"/>
      <c r="D11" s="813"/>
      <c r="E11" s="813"/>
      <c r="F11" s="813"/>
      <c r="G11" s="813"/>
      <c r="H11" s="813"/>
      <c r="I11" s="814"/>
      <c r="J11" s="464"/>
      <c r="L11" s="465">
        <v>0</v>
      </c>
      <c r="M11" s="447" t="s">
        <v>92</v>
      </c>
      <c r="N11" s="466">
        <v>1</v>
      </c>
      <c r="P11" s="467"/>
      <c r="Q11" s="464"/>
      <c r="S11" s="465">
        <v>1</v>
      </c>
      <c r="T11" s="447" t="s">
        <v>92</v>
      </c>
      <c r="U11" s="466">
        <v>1</v>
      </c>
      <c r="W11" s="467"/>
      <c r="X11" s="464"/>
      <c r="Y11" s="290"/>
      <c r="Z11" s="465">
        <v>0</v>
      </c>
      <c r="AA11" s="447" t="s">
        <v>92</v>
      </c>
      <c r="AB11" s="466">
        <v>0</v>
      </c>
      <c r="AC11" s="290"/>
      <c r="AD11" s="467"/>
      <c r="AE11" s="464"/>
      <c r="AF11" s="290"/>
      <c r="AG11" s="465">
        <v>0</v>
      </c>
      <c r="AH11" s="447" t="s">
        <v>92</v>
      </c>
      <c r="AI11" s="466">
        <v>4</v>
      </c>
      <c r="AJ11" s="290"/>
      <c r="AK11" s="467"/>
      <c r="AL11" s="824"/>
      <c r="AM11" s="824"/>
      <c r="AN11" s="824"/>
      <c r="AO11" s="824"/>
    </row>
    <row r="12" spans="1:62" ht="19.5" customHeight="1" x14ac:dyDescent="0.15">
      <c r="B12" s="808"/>
      <c r="C12" s="812"/>
      <c r="D12" s="813"/>
      <c r="E12" s="813"/>
      <c r="F12" s="813"/>
      <c r="G12" s="813"/>
      <c r="H12" s="813"/>
      <c r="I12" s="814"/>
      <c r="J12" s="464"/>
      <c r="L12" s="465">
        <v>1</v>
      </c>
      <c r="M12" s="447" t="s">
        <v>727</v>
      </c>
      <c r="N12" s="466">
        <v>1</v>
      </c>
      <c r="P12" s="467"/>
      <c r="Q12" s="464"/>
      <c r="S12" s="465">
        <v>0</v>
      </c>
      <c r="T12" s="447" t="s">
        <v>92</v>
      </c>
      <c r="U12" s="466">
        <v>1</v>
      </c>
      <c r="W12" s="467"/>
      <c r="X12" s="464"/>
      <c r="Y12" s="290"/>
      <c r="Z12" s="465">
        <v>0</v>
      </c>
      <c r="AA12" s="447" t="s">
        <v>92</v>
      </c>
      <c r="AB12" s="466">
        <v>0</v>
      </c>
      <c r="AC12" s="290"/>
      <c r="AD12" s="467"/>
      <c r="AE12" s="464"/>
      <c r="AF12" s="290"/>
      <c r="AG12" s="465">
        <v>4</v>
      </c>
      <c r="AH12" s="447" t="s">
        <v>92</v>
      </c>
      <c r="AI12" s="466">
        <v>3</v>
      </c>
      <c r="AJ12" s="290"/>
      <c r="AK12" s="467"/>
      <c r="AL12" s="824"/>
      <c r="AM12" s="824"/>
      <c r="AN12" s="824"/>
      <c r="AO12" s="824"/>
    </row>
    <row r="13" spans="1:62" ht="3.75" customHeight="1" x14ac:dyDescent="0.15">
      <c r="B13" s="808"/>
      <c r="C13" s="815"/>
      <c r="D13" s="816"/>
      <c r="E13" s="816"/>
      <c r="F13" s="816"/>
      <c r="G13" s="816"/>
      <c r="H13" s="816"/>
      <c r="I13" s="817"/>
      <c r="J13" s="468"/>
      <c r="K13" s="469"/>
      <c r="L13" s="470"/>
      <c r="M13" s="471"/>
      <c r="N13" s="472"/>
      <c r="O13" s="469"/>
      <c r="P13" s="473"/>
      <c r="Q13" s="468"/>
      <c r="R13" s="469"/>
      <c r="S13" s="470"/>
      <c r="T13" s="471"/>
      <c r="U13" s="472"/>
      <c r="V13" s="469"/>
      <c r="W13" s="473"/>
      <c r="X13" s="468"/>
      <c r="Y13" s="469"/>
      <c r="Z13" s="470"/>
      <c r="AA13" s="471"/>
      <c r="AB13" s="472"/>
      <c r="AC13" s="469"/>
      <c r="AD13" s="473"/>
      <c r="AE13" s="468"/>
      <c r="AF13" s="469"/>
      <c r="AG13" s="470"/>
      <c r="AH13" s="471"/>
      <c r="AI13" s="472"/>
      <c r="AJ13" s="469"/>
      <c r="AK13" s="473"/>
      <c r="AL13" s="824"/>
      <c r="AM13" s="824"/>
      <c r="AN13" s="824"/>
      <c r="AO13" s="824"/>
      <c r="AQ13" s="258" t="str">
        <f>IF(OR(AL13="",MOD(COUNT(C13:AK13),2)=1),"",AL13*10000+AM13*100+AN13)</f>
        <v/>
      </c>
    </row>
    <row r="14" spans="1:62" ht="19.5" customHeight="1" x14ac:dyDescent="0.15">
      <c r="A14" s="258">
        <f>A10+1</f>
        <v>2</v>
      </c>
      <c r="B14" s="808" t="str">
        <f>IF(ISERROR(MATCH(A14,予選学校名!$H$22:$H$32,0)),"",INDEX(予選学校名!$H$22:$K$32,MATCH(A14,予選学校名!$H$22:$H$32,0),2))</f>
        <v>中能登</v>
      </c>
      <c r="C14" s="818">
        <f>IF(E15="","",SUM(E15,E16))</f>
        <v>2</v>
      </c>
      <c r="D14" s="819"/>
      <c r="E14" s="819"/>
      <c r="F14" s="463" t="str">
        <f>IF(C14="","",IF(C14&gt;G14,"○",IF(C14&lt;G14,"●","△")))</f>
        <v>○</v>
      </c>
      <c r="G14" s="819">
        <f>IF(G15="","",SUM(G15,G16))</f>
        <v>1</v>
      </c>
      <c r="H14" s="819"/>
      <c r="I14" s="820"/>
      <c r="J14" s="809"/>
      <c r="K14" s="810"/>
      <c r="L14" s="810"/>
      <c r="M14" s="810"/>
      <c r="N14" s="810"/>
      <c r="O14" s="810"/>
      <c r="P14" s="811"/>
      <c r="Q14" s="818">
        <f>IF(S15="","",SUM(S15,S16))</f>
        <v>1</v>
      </c>
      <c r="R14" s="819"/>
      <c r="S14" s="819"/>
      <c r="T14" s="463" t="str">
        <f>IF(Q14="","",IF(Q14&gt;U14,"○",IF(Q14&lt;U14,"●","△")))</f>
        <v>△</v>
      </c>
      <c r="U14" s="819">
        <f>IF(U15="","",SUM(U15,U16))</f>
        <v>1</v>
      </c>
      <c r="V14" s="819"/>
      <c r="W14" s="820"/>
      <c r="X14" s="818">
        <f>IF(Z15="","",SUM(Z15,Z16))</f>
        <v>3</v>
      </c>
      <c r="Y14" s="819"/>
      <c r="Z14" s="819"/>
      <c r="AA14" s="463" t="str">
        <f>IF(X14="","",IF(X14&gt;AB14,"○",IF(X14&lt;AB14,"●","△")))</f>
        <v>○</v>
      </c>
      <c r="AB14" s="819">
        <f>IF(AB15="","",SUM(AB15,AB16))</f>
        <v>0</v>
      </c>
      <c r="AC14" s="819"/>
      <c r="AD14" s="820"/>
      <c r="AE14" s="818">
        <f>IF(AG15="","",SUM(AG15,AG16))</f>
        <v>2</v>
      </c>
      <c r="AF14" s="819"/>
      <c r="AG14" s="819"/>
      <c r="AH14" s="463" t="str">
        <f>IF(AE14="","",IF(AE14&gt;AI14,"○",IF(AE14&lt;AI14,"●","△")))</f>
        <v>○</v>
      </c>
      <c r="AI14" s="819">
        <f>IF(AI15="","",SUM(AI15,AI16))</f>
        <v>0</v>
      </c>
      <c r="AJ14" s="819"/>
      <c r="AK14" s="820"/>
      <c r="AL14" s="824">
        <f>IF(COUNT(C15:AK15)=0,"",COUNTIF(C14:AK14,"○")*3+COUNTIF(C14:AK14,"△"))</f>
        <v>10</v>
      </c>
      <c r="AM14" s="824">
        <f>IF(AL14="","",SUM(N10:N29)/2-SUM(L10:L29))</f>
        <v>6</v>
      </c>
      <c r="AN14" s="824">
        <f>IF(AL14="","",SUM(N10:N29)/2)</f>
        <v>8</v>
      </c>
      <c r="AO14" s="824">
        <f>IF(OR(AL14="",MOD(COUNT(C14:AK14),2)=1),"",RANK(AQ14,$AQ$10:$AQ$29))</f>
        <v>1</v>
      </c>
      <c r="AQ14" s="258">
        <f t="shared" ref="AQ14" si="3">IF(OR(AL14="",MOD(COUNT(C14:AK14),2)=1),"",AL14*1000000+SUM(AU14:AY14)*10000+AM14*100+AN14)</f>
        <v>10000608</v>
      </c>
      <c r="AT14" s="290" t="str">
        <f t="shared" ref="AT14" si="4">B14</f>
        <v>中能登</v>
      </c>
      <c r="AU14" s="258">
        <f>IF(AL14=$AL10,IF(F14="○",3,IF(F14="△",1,0)),0)</f>
        <v>0</v>
      </c>
      <c r="AW14" s="258">
        <f>IF(AL14=$AL18,IF(T14="○",3,IF(T14="△",1,0)),0)</f>
        <v>0</v>
      </c>
      <c r="AX14" s="258">
        <f>IF(AL14=$AL22,IF(AA14="○",3,IF(AA14="△",1,0)),0)</f>
        <v>0</v>
      </c>
      <c r="AY14" s="258">
        <f>IF(AL14=$AL26,IF(AH14="○",3,IF(AH14="△",1,0)),0)</f>
        <v>0</v>
      </c>
    </row>
    <row r="15" spans="1:62" ht="19.5" customHeight="1" x14ac:dyDescent="0.15">
      <c r="B15" s="808"/>
      <c r="C15" s="464"/>
      <c r="E15" s="446">
        <f>IF(N11="","",N11)</f>
        <v>1</v>
      </c>
      <c r="F15" s="447" t="s">
        <v>92</v>
      </c>
      <c r="G15" s="448">
        <f>IF(L11="","",L11)</f>
        <v>0</v>
      </c>
      <c r="I15" s="467"/>
      <c r="J15" s="812"/>
      <c r="K15" s="813"/>
      <c r="L15" s="813"/>
      <c r="M15" s="813"/>
      <c r="N15" s="813"/>
      <c r="O15" s="813"/>
      <c r="P15" s="814"/>
      <c r="Q15" s="464"/>
      <c r="S15" s="465">
        <v>0</v>
      </c>
      <c r="T15" s="447" t="s">
        <v>92</v>
      </c>
      <c r="U15" s="466">
        <v>1</v>
      </c>
      <c r="W15" s="467"/>
      <c r="X15" s="464"/>
      <c r="Y15" s="290"/>
      <c r="Z15" s="465">
        <v>2</v>
      </c>
      <c r="AA15" s="447" t="s">
        <v>92</v>
      </c>
      <c r="AB15" s="466">
        <v>0</v>
      </c>
      <c r="AC15" s="290"/>
      <c r="AD15" s="467"/>
      <c r="AE15" s="464"/>
      <c r="AF15" s="290"/>
      <c r="AG15" s="465">
        <v>1</v>
      </c>
      <c r="AH15" s="447" t="s">
        <v>92</v>
      </c>
      <c r="AI15" s="466">
        <v>0</v>
      </c>
      <c r="AJ15" s="290"/>
      <c r="AK15" s="467"/>
      <c r="AL15" s="824"/>
      <c r="AM15" s="824"/>
      <c r="AN15" s="824"/>
      <c r="AO15" s="824"/>
    </row>
    <row r="16" spans="1:62" ht="19.5" customHeight="1" x14ac:dyDescent="0.15">
      <c r="B16" s="808"/>
      <c r="C16" s="464"/>
      <c r="E16" s="446">
        <f>IF(N12="","",N12)</f>
        <v>1</v>
      </c>
      <c r="F16" s="447" t="s">
        <v>92</v>
      </c>
      <c r="G16" s="448">
        <f>IF(L12="","",L12)</f>
        <v>1</v>
      </c>
      <c r="I16" s="467"/>
      <c r="J16" s="812"/>
      <c r="K16" s="813"/>
      <c r="L16" s="813"/>
      <c r="M16" s="813"/>
      <c r="N16" s="813"/>
      <c r="O16" s="813"/>
      <c r="P16" s="814"/>
      <c r="Q16" s="464"/>
      <c r="S16" s="465">
        <v>1</v>
      </c>
      <c r="T16" s="447" t="s">
        <v>92</v>
      </c>
      <c r="U16" s="466">
        <v>0</v>
      </c>
      <c r="W16" s="467"/>
      <c r="X16" s="464"/>
      <c r="Y16" s="290"/>
      <c r="Z16" s="465">
        <v>1</v>
      </c>
      <c r="AA16" s="447" t="s">
        <v>92</v>
      </c>
      <c r="AB16" s="466">
        <v>0</v>
      </c>
      <c r="AC16" s="290"/>
      <c r="AD16" s="467"/>
      <c r="AE16" s="464"/>
      <c r="AF16" s="290"/>
      <c r="AG16" s="465">
        <v>1</v>
      </c>
      <c r="AH16" s="447" t="s">
        <v>92</v>
      </c>
      <c r="AI16" s="466">
        <v>0</v>
      </c>
      <c r="AJ16" s="290"/>
      <c r="AK16" s="467"/>
      <c r="AL16" s="824"/>
      <c r="AM16" s="824"/>
      <c r="AN16" s="824"/>
      <c r="AO16" s="824"/>
    </row>
    <row r="17" spans="1:61" ht="3.75" customHeight="1" x14ac:dyDescent="0.15">
      <c r="B17" s="808"/>
      <c r="C17" s="468"/>
      <c r="D17" s="469"/>
      <c r="E17" s="470"/>
      <c r="F17" s="471"/>
      <c r="G17" s="472"/>
      <c r="H17" s="469"/>
      <c r="I17" s="473"/>
      <c r="J17" s="815"/>
      <c r="K17" s="816"/>
      <c r="L17" s="816"/>
      <c r="M17" s="816"/>
      <c r="N17" s="816"/>
      <c r="O17" s="816"/>
      <c r="P17" s="817"/>
      <c r="Q17" s="468"/>
      <c r="R17" s="469"/>
      <c r="S17" s="470"/>
      <c r="T17" s="471"/>
      <c r="U17" s="472"/>
      <c r="V17" s="469"/>
      <c r="W17" s="473"/>
      <c r="X17" s="468"/>
      <c r="Y17" s="469"/>
      <c r="Z17" s="470"/>
      <c r="AA17" s="471"/>
      <c r="AB17" s="472"/>
      <c r="AC17" s="469"/>
      <c r="AD17" s="473"/>
      <c r="AE17" s="468"/>
      <c r="AF17" s="469"/>
      <c r="AG17" s="470"/>
      <c r="AH17" s="471"/>
      <c r="AI17" s="472"/>
      <c r="AJ17" s="469"/>
      <c r="AK17" s="473"/>
      <c r="AL17" s="824"/>
      <c r="AM17" s="824"/>
      <c r="AN17" s="824"/>
      <c r="AO17" s="824"/>
      <c r="AQ17" s="258" t="str">
        <f t="shared" ref="AQ17" si="5">IF(OR(AL17="",MOD(COUNT(C17:AK17),2)=1),"",AL17*10000+AM17*100+AN17)</f>
        <v/>
      </c>
    </row>
    <row r="18" spans="1:61" ht="19.5" customHeight="1" x14ac:dyDescent="0.15">
      <c r="A18" s="258">
        <f t="shared" ref="A18" si="6">A14+1</f>
        <v>3</v>
      </c>
      <c r="B18" s="808" t="str">
        <f>IF(ISERROR(MATCH(A18,予選学校名!$H$22:$H$32,0)),"",INDEX(予選学校名!$H$22:$K$32,MATCH(A18,予選学校名!$H$22:$H$32,0),2))</f>
        <v>七尾</v>
      </c>
      <c r="C18" s="818">
        <f>IF(E19="","",SUM(E19,E20))</f>
        <v>2</v>
      </c>
      <c r="D18" s="819"/>
      <c r="E18" s="819"/>
      <c r="F18" s="463" t="str">
        <f>IF(C18="","",IF(C18&gt;G18,"○",IF(C18&lt;G18,"●","△")))</f>
        <v>○</v>
      </c>
      <c r="G18" s="819">
        <f>IF(G19="","",SUM(G19,G20))</f>
        <v>1</v>
      </c>
      <c r="H18" s="819"/>
      <c r="I18" s="820"/>
      <c r="J18" s="818">
        <f>IF(L19="","",SUM(L19,L20))</f>
        <v>1</v>
      </c>
      <c r="K18" s="819"/>
      <c r="L18" s="819"/>
      <c r="M18" s="463" t="str">
        <f>IF(J18="","",IF(J18&gt;N18,"○",IF(J18&lt;N18,"●","△")))</f>
        <v>△</v>
      </c>
      <c r="N18" s="819">
        <f>IF(N19="","",SUM(N19,N20))</f>
        <v>1</v>
      </c>
      <c r="O18" s="819"/>
      <c r="P18" s="820"/>
      <c r="Q18" s="809"/>
      <c r="R18" s="810"/>
      <c r="S18" s="810"/>
      <c r="T18" s="810"/>
      <c r="U18" s="810"/>
      <c r="V18" s="810"/>
      <c r="W18" s="811"/>
      <c r="X18" s="818">
        <f>IF(Z19="","",SUM(Z19,Z20))</f>
        <v>1</v>
      </c>
      <c r="Y18" s="819"/>
      <c r="Z18" s="819"/>
      <c r="AA18" s="463" t="str">
        <f>IF(X18="","",IF(X18&gt;AB18,"○",IF(X18&lt;AB18,"●","△")))</f>
        <v>●</v>
      </c>
      <c r="AB18" s="819">
        <f>IF(AB19="","",SUM(AB19,AB20))</f>
        <v>2</v>
      </c>
      <c r="AC18" s="819"/>
      <c r="AD18" s="820"/>
      <c r="AE18" s="818">
        <f>IF(AG19="","",SUM(AG19,AG20))</f>
        <v>2</v>
      </c>
      <c r="AF18" s="819"/>
      <c r="AG18" s="819"/>
      <c r="AH18" s="463" t="str">
        <f>IF(AE18="","",IF(AE18&gt;AI18,"○",IF(AE18&lt;AI18,"●","△")))</f>
        <v>○</v>
      </c>
      <c r="AI18" s="819">
        <f>IF(AI19="","",SUM(AI19,AI20))</f>
        <v>1</v>
      </c>
      <c r="AJ18" s="819"/>
      <c r="AK18" s="820"/>
      <c r="AL18" s="824">
        <f>IF(COUNT(C19:AK19)=0,"",COUNTIF(C18:AK18,"○")*3+COUNTIF(C18:AK18,"△"))</f>
        <v>7</v>
      </c>
      <c r="AM18" s="824">
        <f>IF(AL18="","",SUM(U10:U29)/2-SUM(S10:S29))</f>
        <v>1</v>
      </c>
      <c r="AN18" s="824">
        <f>IF(AL18="","",SUM(U10:U29)/2)</f>
        <v>6</v>
      </c>
      <c r="AO18" s="824">
        <f>IF(OR(AL18="",MOD(COUNT(C18:AK18),2)=1),"",RANK(AQ18,$AQ$10:$AQ$29))</f>
        <v>3</v>
      </c>
      <c r="AQ18" s="258">
        <f t="shared" ref="AQ18" si="7">IF(OR(AL18="",MOD(COUNT(C18:AK18),2)=1),"",AL18*1000000+SUM(AU18:AY18)*10000+AM18*100+AN18)</f>
        <v>7000106</v>
      </c>
      <c r="AT18" s="290" t="str">
        <f t="shared" ref="AT18" si="8">B18</f>
        <v>七尾</v>
      </c>
      <c r="AU18" s="258">
        <f>IF(AL18=$AL10,IF(F18="○",3,IF(F18="△",1,0)),0)</f>
        <v>0</v>
      </c>
      <c r="AV18" s="258">
        <f>IF(AL18=$AL14,IF(M18="○",3,IF(M18="△",1,0)),0)</f>
        <v>0</v>
      </c>
      <c r="AX18" s="258">
        <f>IF(AL18=$AL22,IF(AA18="○",3,IF(AA18="△",1,0)),0)</f>
        <v>0</v>
      </c>
      <c r="AY18" s="258">
        <f>IF(AL18=$AL26,IF(AH18="○",3,IF(AH18="△",1,0)),0)</f>
        <v>0</v>
      </c>
    </row>
    <row r="19" spans="1:61" ht="19.5" customHeight="1" x14ac:dyDescent="0.15">
      <c r="B19" s="808"/>
      <c r="C19" s="464"/>
      <c r="E19" s="446">
        <f>IF(U11="","",U11)</f>
        <v>1</v>
      </c>
      <c r="F19" s="447" t="s">
        <v>92</v>
      </c>
      <c r="G19" s="448">
        <f>IF(S11="","",S11)</f>
        <v>1</v>
      </c>
      <c r="I19" s="467"/>
      <c r="J19" s="464"/>
      <c r="L19" s="446">
        <f>IF(U15="","",U15)</f>
        <v>1</v>
      </c>
      <c r="M19" s="447" t="s">
        <v>92</v>
      </c>
      <c r="N19" s="448">
        <f>IF(S15="","",S15)</f>
        <v>0</v>
      </c>
      <c r="P19" s="467"/>
      <c r="Q19" s="812"/>
      <c r="R19" s="813"/>
      <c r="S19" s="813"/>
      <c r="T19" s="813"/>
      <c r="U19" s="813"/>
      <c r="V19" s="813"/>
      <c r="W19" s="814"/>
      <c r="X19" s="464"/>
      <c r="Y19" s="290"/>
      <c r="Z19" s="465">
        <v>1</v>
      </c>
      <c r="AA19" s="447" t="s">
        <v>92</v>
      </c>
      <c r="AB19" s="466">
        <v>0</v>
      </c>
      <c r="AC19" s="290"/>
      <c r="AD19" s="467"/>
      <c r="AE19" s="464"/>
      <c r="AF19" s="290"/>
      <c r="AG19" s="465">
        <v>1</v>
      </c>
      <c r="AH19" s="447" t="s">
        <v>92</v>
      </c>
      <c r="AI19" s="466">
        <v>1</v>
      </c>
      <c r="AJ19" s="290"/>
      <c r="AK19" s="467"/>
      <c r="AL19" s="824"/>
      <c r="AM19" s="824"/>
      <c r="AN19" s="824"/>
      <c r="AO19" s="824"/>
    </row>
    <row r="20" spans="1:61" ht="19.5" customHeight="1" x14ac:dyDescent="0.15">
      <c r="B20" s="808"/>
      <c r="C20" s="464"/>
      <c r="E20" s="446">
        <f>IF(U12="","",U12)</f>
        <v>1</v>
      </c>
      <c r="F20" s="447" t="s">
        <v>92</v>
      </c>
      <c r="G20" s="448">
        <f>IF(S12="","",S12)</f>
        <v>0</v>
      </c>
      <c r="I20" s="467"/>
      <c r="J20" s="464"/>
      <c r="L20" s="446">
        <f>IF(U16="","",U16)</f>
        <v>0</v>
      </c>
      <c r="M20" s="447" t="s">
        <v>92</v>
      </c>
      <c r="N20" s="448">
        <f>IF(S16="","",S16)</f>
        <v>1</v>
      </c>
      <c r="P20" s="467"/>
      <c r="Q20" s="812"/>
      <c r="R20" s="813"/>
      <c r="S20" s="813"/>
      <c r="T20" s="813"/>
      <c r="U20" s="813"/>
      <c r="V20" s="813"/>
      <c r="W20" s="814"/>
      <c r="X20" s="464"/>
      <c r="Y20" s="290"/>
      <c r="Z20" s="465">
        <v>0</v>
      </c>
      <c r="AA20" s="447" t="s">
        <v>92</v>
      </c>
      <c r="AB20" s="466">
        <v>2</v>
      </c>
      <c r="AC20" s="290"/>
      <c r="AD20" s="467"/>
      <c r="AE20" s="464"/>
      <c r="AF20" s="290"/>
      <c r="AG20" s="465">
        <v>1</v>
      </c>
      <c r="AH20" s="447" t="s">
        <v>92</v>
      </c>
      <c r="AI20" s="466">
        <v>0</v>
      </c>
      <c r="AJ20" s="290"/>
      <c r="AK20" s="467"/>
      <c r="AL20" s="824"/>
      <c r="AM20" s="824"/>
      <c r="AN20" s="824"/>
      <c r="AO20" s="824"/>
    </row>
    <row r="21" spans="1:61" ht="3.75" customHeight="1" x14ac:dyDescent="0.15">
      <c r="B21" s="808"/>
      <c r="C21" s="468"/>
      <c r="D21" s="469"/>
      <c r="E21" s="470"/>
      <c r="F21" s="471"/>
      <c r="G21" s="472"/>
      <c r="H21" s="469"/>
      <c r="I21" s="473"/>
      <c r="J21" s="468"/>
      <c r="K21" s="469"/>
      <c r="L21" s="470"/>
      <c r="M21" s="471"/>
      <c r="N21" s="472"/>
      <c r="O21" s="469"/>
      <c r="P21" s="473"/>
      <c r="Q21" s="815"/>
      <c r="R21" s="816"/>
      <c r="S21" s="816"/>
      <c r="T21" s="816"/>
      <c r="U21" s="816"/>
      <c r="V21" s="816"/>
      <c r="W21" s="817"/>
      <c r="X21" s="468"/>
      <c r="Y21" s="469"/>
      <c r="Z21" s="470"/>
      <c r="AA21" s="471"/>
      <c r="AB21" s="472"/>
      <c r="AC21" s="469"/>
      <c r="AD21" s="473"/>
      <c r="AE21" s="468"/>
      <c r="AF21" s="469"/>
      <c r="AG21" s="470"/>
      <c r="AH21" s="471"/>
      <c r="AI21" s="472"/>
      <c r="AJ21" s="469"/>
      <c r="AK21" s="473"/>
      <c r="AL21" s="824"/>
      <c r="AM21" s="824"/>
      <c r="AN21" s="824"/>
      <c r="AO21" s="824"/>
      <c r="AQ21" s="258" t="str">
        <f t="shared" ref="AQ21" si="9">IF(OR(AL21="",MOD(COUNT(C21:AK21),2)=1),"",AL21*10000+AM21*100+AN21)</f>
        <v/>
      </c>
    </row>
    <row r="22" spans="1:61" ht="19.5" customHeight="1" x14ac:dyDescent="0.15">
      <c r="A22" s="258">
        <f t="shared" ref="A22" si="10">A18+1</f>
        <v>4</v>
      </c>
      <c r="B22" s="808" t="str">
        <f>IF(ISERROR(MATCH(A22,予選学校名!$H$22:$H$32,0)),"",INDEX(予選学校名!$H$22:$K$32,MATCH(A22,予選学校名!$H$22:$H$32,0),2))</f>
        <v>輪島</v>
      </c>
      <c r="C22" s="818">
        <f>IF(E23="","",SUM(E23,E24))</f>
        <v>0</v>
      </c>
      <c r="D22" s="819"/>
      <c r="E22" s="819"/>
      <c r="F22" s="463" t="str">
        <f>IF(C22="","",IF(C22&gt;G22,"○",IF(C22&lt;G22,"●","△")))</f>
        <v>△</v>
      </c>
      <c r="G22" s="819">
        <f>IF(G23="","",SUM(G23,G24))</f>
        <v>0</v>
      </c>
      <c r="H22" s="819"/>
      <c r="I22" s="820"/>
      <c r="J22" s="818">
        <f>IF(L23="","",SUM(L23,L24))</f>
        <v>0</v>
      </c>
      <c r="K22" s="819"/>
      <c r="L22" s="819"/>
      <c r="M22" s="463" t="str">
        <f>IF(J22="","",IF(J22&gt;N22,"○",IF(J22&lt;N22,"●","△")))</f>
        <v>●</v>
      </c>
      <c r="N22" s="819">
        <f>IF(N23="","",SUM(N23,N24))</f>
        <v>3</v>
      </c>
      <c r="O22" s="819"/>
      <c r="P22" s="820"/>
      <c r="Q22" s="818">
        <f>IF(S23="","",SUM(S23,S24))</f>
        <v>2</v>
      </c>
      <c r="R22" s="819"/>
      <c r="S22" s="819"/>
      <c r="T22" s="463" t="str">
        <f>IF(Q22="","",IF(Q22&gt;U22,"○",IF(Q22&lt;U22,"●","△")))</f>
        <v>○</v>
      </c>
      <c r="U22" s="819">
        <f>IF(U23="","",SUM(U23,U24))</f>
        <v>1</v>
      </c>
      <c r="V22" s="819"/>
      <c r="W22" s="820"/>
      <c r="X22" s="809"/>
      <c r="Y22" s="810"/>
      <c r="Z22" s="810"/>
      <c r="AA22" s="810"/>
      <c r="AB22" s="810"/>
      <c r="AC22" s="810"/>
      <c r="AD22" s="811"/>
      <c r="AE22" s="818">
        <f>IF(AG23="","",SUM(AG23,AG24))</f>
        <v>1</v>
      </c>
      <c r="AF22" s="819"/>
      <c r="AG22" s="819"/>
      <c r="AH22" s="463" t="str">
        <f>IF(AE22="","",IF(AE22&gt;AI22,"○",IF(AE22&lt;AI22,"●","△")))</f>
        <v>○</v>
      </c>
      <c r="AI22" s="819">
        <f>IF(AI23="","",SUM(AI23,AI24))</f>
        <v>0</v>
      </c>
      <c r="AJ22" s="819"/>
      <c r="AK22" s="820"/>
      <c r="AL22" s="824">
        <f>IF(COUNT(C23:AK23)=0,"",COUNTIF(C22:AK22,"○")*3+COUNTIF(C22:AK22,"△"))</f>
        <v>7</v>
      </c>
      <c r="AM22" s="824">
        <f>IF(AL22="","",SUM(AB10:AB29)/2-SUM(Z10:Z29))</f>
        <v>-1</v>
      </c>
      <c r="AN22" s="824">
        <f>IF(AL22="","",SUM(AB10:AB29)/2)</f>
        <v>3</v>
      </c>
      <c r="AO22" s="824">
        <f>IF(OR(AL22="",MOD(COUNT(C22:AK22),2)=1),"",RANK(AQ22,$AQ$10:$AQ$29))</f>
        <v>2</v>
      </c>
      <c r="AQ22" s="258">
        <f t="shared" ref="AQ22" si="11">IF(OR(AL22="",MOD(COUNT(C22:AK22),2)=1),"",AL22*1000000+SUM(AU22:AY22)*10000+AM22*100+AN22)</f>
        <v>7029903</v>
      </c>
      <c r="AT22" s="290" t="str">
        <f t="shared" ref="AT22" si="12">B22</f>
        <v>輪島</v>
      </c>
      <c r="AU22" s="258">
        <f>IF(AL22=$AL10,IF(F22="○",3,IF(F22="△",1,0)),0)</f>
        <v>0</v>
      </c>
      <c r="AV22" s="258">
        <f>IF(AL22=$AL14,IF(M22="○",3,IF(M22="△",1,0)),0)</f>
        <v>0</v>
      </c>
      <c r="AW22" s="258">
        <f>IF(AL22=$AL18,IF(T22="○",3,IF(T22="△",1,0)),0)</f>
        <v>3</v>
      </c>
      <c r="AY22" s="258">
        <f>IF(AL22=$AL26,IF(AH22="○",3,IF(AH22="△",1,0)),0)</f>
        <v>0</v>
      </c>
    </row>
    <row r="23" spans="1:61" ht="19.5" customHeight="1" x14ac:dyDescent="0.15">
      <c r="B23" s="808"/>
      <c r="C23" s="464"/>
      <c r="E23" s="446">
        <f>IF(AB11="","",AB11)</f>
        <v>0</v>
      </c>
      <c r="F23" s="447" t="s">
        <v>92</v>
      </c>
      <c r="G23" s="448">
        <f>IF(Z11="","",Z11)</f>
        <v>0</v>
      </c>
      <c r="I23" s="467"/>
      <c r="J23" s="464"/>
      <c r="L23" s="446">
        <f>IF(AB15="","",AB15)</f>
        <v>0</v>
      </c>
      <c r="M23" s="447" t="s">
        <v>92</v>
      </c>
      <c r="N23" s="448">
        <f>IF(Z15="","",Z15)</f>
        <v>2</v>
      </c>
      <c r="P23" s="467"/>
      <c r="Q23" s="464"/>
      <c r="S23" s="446">
        <f>IF(AB19="","",AB19)</f>
        <v>0</v>
      </c>
      <c r="T23" s="447" t="s">
        <v>92</v>
      </c>
      <c r="U23" s="448">
        <f>IF(Z19="","",Z19)</f>
        <v>1</v>
      </c>
      <c r="W23" s="467"/>
      <c r="X23" s="812"/>
      <c r="Y23" s="813"/>
      <c r="Z23" s="813"/>
      <c r="AA23" s="813"/>
      <c r="AB23" s="813"/>
      <c r="AC23" s="813"/>
      <c r="AD23" s="814"/>
      <c r="AE23" s="464"/>
      <c r="AF23" s="290"/>
      <c r="AG23" s="465">
        <v>1</v>
      </c>
      <c r="AH23" s="447" t="s">
        <v>92</v>
      </c>
      <c r="AI23" s="466">
        <v>0</v>
      </c>
      <c r="AJ23" s="290"/>
      <c r="AK23" s="467"/>
      <c r="AL23" s="824"/>
      <c r="AM23" s="825"/>
      <c r="AN23" s="824"/>
      <c r="AO23" s="824"/>
    </row>
    <row r="24" spans="1:61" ht="19.5" customHeight="1" x14ac:dyDescent="0.15">
      <c r="B24" s="808"/>
      <c r="C24" s="464"/>
      <c r="E24" s="446">
        <f>IF(AB12="","",AB12)</f>
        <v>0</v>
      </c>
      <c r="F24" s="447" t="s">
        <v>92</v>
      </c>
      <c r="G24" s="448">
        <f>IF(Z12="","",Z12)</f>
        <v>0</v>
      </c>
      <c r="I24" s="467"/>
      <c r="J24" s="464"/>
      <c r="L24" s="446">
        <f>IF(AB16="","",AB16)</f>
        <v>0</v>
      </c>
      <c r="M24" s="447" t="s">
        <v>92</v>
      </c>
      <c r="N24" s="448">
        <f>IF(Z16="","",Z16)</f>
        <v>1</v>
      </c>
      <c r="P24" s="467"/>
      <c r="Q24" s="464"/>
      <c r="S24" s="446">
        <f>IF(AB20="","",AB20)</f>
        <v>2</v>
      </c>
      <c r="T24" s="447" t="s">
        <v>92</v>
      </c>
      <c r="U24" s="448">
        <f>IF(Z20="","",Z20)</f>
        <v>0</v>
      </c>
      <c r="W24" s="467"/>
      <c r="X24" s="812"/>
      <c r="Y24" s="813"/>
      <c r="Z24" s="813"/>
      <c r="AA24" s="813"/>
      <c r="AB24" s="813"/>
      <c r="AC24" s="813"/>
      <c r="AD24" s="814"/>
      <c r="AE24" s="464"/>
      <c r="AF24" s="290"/>
      <c r="AG24" s="465">
        <v>0</v>
      </c>
      <c r="AH24" s="447" t="s">
        <v>92</v>
      </c>
      <c r="AI24" s="466">
        <v>0</v>
      </c>
      <c r="AJ24" s="290"/>
      <c r="AK24" s="467"/>
      <c r="AL24" s="824"/>
      <c r="AM24" s="825"/>
      <c r="AN24" s="824"/>
      <c r="AO24" s="824"/>
    </row>
    <row r="25" spans="1:61" ht="3.75" customHeight="1" x14ac:dyDescent="0.15">
      <c r="B25" s="808"/>
      <c r="C25" s="468"/>
      <c r="D25" s="469"/>
      <c r="E25" s="470"/>
      <c r="F25" s="471"/>
      <c r="G25" s="472"/>
      <c r="H25" s="469"/>
      <c r="I25" s="473"/>
      <c r="J25" s="468"/>
      <c r="K25" s="469"/>
      <c r="L25" s="470"/>
      <c r="M25" s="471"/>
      <c r="N25" s="472"/>
      <c r="O25" s="469"/>
      <c r="P25" s="473"/>
      <c r="Q25" s="468"/>
      <c r="R25" s="469"/>
      <c r="S25" s="470"/>
      <c r="T25" s="471"/>
      <c r="U25" s="472"/>
      <c r="V25" s="469"/>
      <c r="W25" s="473"/>
      <c r="X25" s="815"/>
      <c r="Y25" s="816"/>
      <c r="Z25" s="816"/>
      <c r="AA25" s="816"/>
      <c r="AB25" s="816"/>
      <c r="AC25" s="816"/>
      <c r="AD25" s="817"/>
      <c r="AE25" s="468"/>
      <c r="AF25" s="469"/>
      <c r="AG25" s="470"/>
      <c r="AH25" s="471"/>
      <c r="AI25" s="472"/>
      <c r="AJ25" s="469"/>
      <c r="AK25" s="473"/>
      <c r="AL25" s="824"/>
      <c r="AM25" s="826"/>
      <c r="AN25" s="824"/>
      <c r="AO25" s="824"/>
      <c r="AQ25" s="258" t="str">
        <f t="shared" ref="AQ25" si="13">IF(OR(AL25="",MOD(COUNT(C25:AK25),2)=1),"",AL25*10000+AM25*100+AN25)</f>
        <v/>
      </c>
    </row>
    <row r="26" spans="1:61" ht="19.5" customHeight="1" x14ac:dyDescent="0.15">
      <c r="A26" s="258">
        <f t="shared" ref="A26" si="14">A22+1</f>
        <v>5</v>
      </c>
      <c r="B26" s="808" t="str">
        <f>IF(ISERROR(MATCH(A26,予選学校名!$H$22:$H$32,0)),"",INDEX(予選学校名!$H$22:$K$32,MATCH(A26,予選学校名!$H$22:$H$32,0),2))</f>
        <v>七尾東部</v>
      </c>
      <c r="C26" s="818">
        <f>IF(E27="","",SUM(E27,E28))</f>
        <v>7</v>
      </c>
      <c r="D26" s="819"/>
      <c r="E26" s="819"/>
      <c r="F26" s="463" t="str">
        <f>IF(C26="","",IF(C26&gt;G26,"○",IF(C26&lt;G26,"●","△")))</f>
        <v>○</v>
      </c>
      <c r="G26" s="819">
        <f>IF(G27="","",SUM(G27,G28))</f>
        <v>4</v>
      </c>
      <c r="H26" s="819"/>
      <c r="I26" s="820"/>
      <c r="J26" s="818">
        <f>IF(L27="","",SUM(L27,L28))</f>
        <v>0</v>
      </c>
      <c r="K26" s="819"/>
      <c r="L26" s="819"/>
      <c r="M26" s="463" t="str">
        <f>IF(J26="","",IF(J26&gt;N26,"○",IF(J26&lt;N26,"●","△")))</f>
        <v>●</v>
      </c>
      <c r="N26" s="819">
        <f>IF(N27="","",SUM(N27,N28))</f>
        <v>2</v>
      </c>
      <c r="O26" s="819"/>
      <c r="P26" s="820"/>
      <c r="Q26" s="818">
        <f>IF(S27="","",SUM(S27,S28))</f>
        <v>1</v>
      </c>
      <c r="R26" s="819"/>
      <c r="S26" s="819"/>
      <c r="T26" s="463" t="str">
        <f>IF(Q26="","",IF(Q26&gt;U26,"○",IF(Q26&lt;U26,"●","△")))</f>
        <v>●</v>
      </c>
      <c r="U26" s="819">
        <f>IF(U27="","",SUM(U27,U28))</f>
        <v>2</v>
      </c>
      <c r="V26" s="819"/>
      <c r="W26" s="820"/>
      <c r="X26" s="818">
        <f>IF(Z27="","",SUM(Z27,Z28))</f>
        <v>0</v>
      </c>
      <c r="Y26" s="819"/>
      <c r="Z26" s="819"/>
      <c r="AA26" s="463" t="str">
        <f>IF(X26="","",IF(X26&gt;AB26,"○",IF(X26&lt;AB26,"●","△")))</f>
        <v>●</v>
      </c>
      <c r="AB26" s="819">
        <f>IF(AB27="","",SUM(AB27,AB28))</f>
        <v>1</v>
      </c>
      <c r="AC26" s="819"/>
      <c r="AD26" s="820"/>
      <c r="AE26" s="809"/>
      <c r="AF26" s="810"/>
      <c r="AG26" s="810"/>
      <c r="AH26" s="810"/>
      <c r="AI26" s="810"/>
      <c r="AJ26" s="810"/>
      <c r="AK26" s="811"/>
      <c r="AL26" s="824">
        <f>IF(COUNT(C27:AK27)=0,"",COUNTIF(C26:AK26,"○")*3+COUNTIF(C26:AK26,"△"))</f>
        <v>3</v>
      </c>
      <c r="AM26" s="824">
        <f>IF(AL26="","",SUM(AI10:AI29)/2-SUM(AG10:AG29))</f>
        <v>-1</v>
      </c>
      <c r="AN26" s="824">
        <f>IF(AL26="","",SUM(AI10:AI29)/2)</f>
        <v>8</v>
      </c>
      <c r="AO26" s="824">
        <f>IF(OR(AL26="",MOD(COUNT(C26:AK26),2)=1),"",RANK(AQ26,$AQ$10:$AQ$29))</f>
        <v>4</v>
      </c>
      <c r="AQ26" s="258">
        <f t="shared" ref="AQ26" si="15">IF(OR(AL26="",MOD(COUNT(C26:AK26),2)=1),"",AL26*1000000+SUM(AU26:AY26)*10000+AM26*100+AN26)</f>
        <v>2999908</v>
      </c>
      <c r="AT26" s="290" t="str">
        <f t="shared" ref="AT26" si="16">B26</f>
        <v>七尾東部</v>
      </c>
      <c r="AU26" s="258">
        <f>IF(AL26=$AL10,IF(F26="○",3,IF(F26="△",1,0)),0)</f>
        <v>0</v>
      </c>
      <c r="AV26" s="258">
        <f>IF(AL26=$AL14,IF(M26="○",3,IF(M26="△",1,0)),0)</f>
        <v>0</v>
      </c>
      <c r="AW26" s="258">
        <f>IF(AL26=$AL18,IF(T26="○",3,IF(T26="△",1,0)),0)</f>
        <v>0</v>
      </c>
      <c r="AX26" s="258">
        <f>IF(AL26=$AL22,IF(AA26="○",3,IF(AA26="△",1,0)),0)</f>
        <v>0</v>
      </c>
    </row>
    <row r="27" spans="1:61" ht="19.5" customHeight="1" x14ac:dyDescent="0.15">
      <c r="B27" s="808"/>
      <c r="C27" s="464"/>
      <c r="E27" s="446">
        <f>IF(AI11="","",AI11)</f>
        <v>4</v>
      </c>
      <c r="F27" s="447" t="s">
        <v>92</v>
      </c>
      <c r="G27" s="448">
        <f>IF(AG11="","",AG11)</f>
        <v>0</v>
      </c>
      <c r="I27" s="467"/>
      <c r="J27" s="464"/>
      <c r="L27" s="446">
        <f>IF(AI15="","",AI15)</f>
        <v>0</v>
      </c>
      <c r="M27" s="447" t="s">
        <v>92</v>
      </c>
      <c r="N27" s="448">
        <f>IF(AG15="","",AG15)</f>
        <v>1</v>
      </c>
      <c r="P27" s="467"/>
      <c r="Q27" s="464"/>
      <c r="S27" s="446">
        <f>IF(AI19="","",AI19)</f>
        <v>1</v>
      </c>
      <c r="T27" s="447" t="s">
        <v>92</v>
      </c>
      <c r="U27" s="448">
        <f>IF(AG19="","",AG19)</f>
        <v>1</v>
      </c>
      <c r="W27" s="467"/>
      <c r="X27" s="464"/>
      <c r="Y27" s="290"/>
      <c r="Z27" s="446">
        <f>IF(AI23="","",AI23)</f>
        <v>0</v>
      </c>
      <c r="AA27" s="447" t="s">
        <v>92</v>
      </c>
      <c r="AB27" s="448">
        <f>IF(AG23="","",AG23)</f>
        <v>1</v>
      </c>
      <c r="AC27" s="290"/>
      <c r="AD27" s="467"/>
      <c r="AE27" s="812"/>
      <c r="AF27" s="813"/>
      <c r="AG27" s="813"/>
      <c r="AH27" s="813"/>
      <c r="AI27" s="813"/>
      <c r="AJ27" s="813"/>
      <c r="AK27" s="814"/>
      <c r="AL27" s="824"/>
      <c r="AM27" s="824"/>
      <c r="AN27" s="824"/>
      <c r="AO27" s="824"/>
    </row>
    <row r="28" spans="1:61" ht="19.5" customHeight="1" x14ac:dyDescent="0.15">
      <c r="B28" s="808"/>
      <c r="C28" s="464"/>
      <c r="E28" s="446">
        <f>IF(AI12="","",AI12)</f>
        <v>3</v>
      </c>
      <c r="F28" s="447" t="s">
        <v>92</v>
      </c>
      <c r="G28" s="448">
        <f>IF(AG12="","",AG12)</f>
        <v>4</v>
      </c>
      <c r="I28" s="467"/>
      <c r="J28" s="464"/>
      <c r="L28" s="446">
        <f>IF(AI16="","",AI16)</f>
        <v>0</v>
      </c>
      <c r="M28" s="447" t="s">
        <v>92</v>
      </c>
      <c r="N28" s="448">
        <f>IF(AG16="","",AG16)</f>
        <v>1</v>
      </c>
      <c r="P28" s="467"/>
      <c r="Q28" s="464"/>
      <c r="S28" s="446">
        <f>IF(AI20="","",AI20)</f>
        <v>0</v>
      </c>
      <c r="T28" s="447" t="s">
        <v>92</v>
      </c>
      <c r="U28" s="448">
        <f>IF(AG20="","",AG20)</f>
        <v>1</v>
      </c>
      <c r="W28" s="467"/>
      <c r="X28" s="464"/>
      <c r="Y28" s="290"/>
      <c r="Z28" s="446">
        <f>IF(AI24="","",AI24)</f>
        <v>0</v>
      </c>
      <c r="AA28" s="447" t="s">
        <v>92</v>
      </c>
      <c r="AB28" s="448">
        <f>IF(AG24="","",AG24)</f>
        <v>0</v>
      </c>
      <c r="AC28" s="290"/>
      <c r="AD28" s="467"/>
      <c r="AE28" s="812"/>
      <c r="AF28" s="813"/>
      <c r="AG28" s="813"/>
      <c r="AH28" s="813"/>
      <c r="AI28" s="813"/>
      <c r="AJ28" s="813"/>
      <c r="AK28" s="814"/>
      <c r="AL28" s="824"/>
      <c r="AM28" s="824"/>
      <c r="AN28" s="824"/>
      <c r="AO28" s="824"/>
    </row>
    <row r="29" spans="1:61" ht="3.75" customHeight="1" x14ac:dyDescent="0.15">
      <c r="B29" s="808"/>
      <c r="C29" s="468"/>
      <c r="D29" s="469"/>
      <c r="E29" s="470"/>
      <c r="F29" s="471"/>
      <c r="G29" s="472"/>
      <c r="H29" s="469"/>
      <c r="I29" s="473"/>
      <c r="J29" s="468"/>
      <c r="K29" s="469"/>
      <c r="L29" s="470"/>
      <c r="M29" s="471"/>
      <c r="N29" s="472"/>
      <c r="O29" s="469"/>
      <c r="P29" s="473"/>
      <c r="Q29" s="468"/>
      <c r="R29" s="469"/>
      <c r="S29" s="470"/>
      <c r="T29" s="471"/>
      <c r="U29" s="472"/>
      <c r="V29" s="469"/>
      <c r="W29" s="473"/>
      <c r="X29" s="468"/>
      <c r="Y29" s="469"/>
      <c r="Z29" s="470"/>
      <c r="AA29" s="471"/>
      <c r="AB29" s="472"/>
      <c r="AC29" s="469"/>
      <c r="AD29" s="473"/>
      <c r="AE29" s="815"/>
      <c r="AF29" s="816"/>
      <c r="AG29" s="816"/>
      <c r="AH29" s="816"/>
      <c r="AI29" s="816"/>
      <c r="AJ29" s="816"/>
      <c r="AK29" s="817"/>
      <c r="AL29" s="824"/>
      <c r="AM29" s="824"/>
      <c r="AN29" s="824"/>
      <c r="AO29" s="824"/>
      <c r="AQ29" s="258" t="str">
        <f t="shared" ref="AQ29" si="17">IF(OR(AL29="",MOD(COUNT(C29:AK29),2)=1),"",AL29*10000+AM29*100+AN29)</f>
        <v/>
      </c>
    </row>
    <row r="30" spans="1:61" ht="26.25" customHeight="1" x14ac:dyDescent="0.15"/>
    <row r="31" spans="1:61" ht="26.25" customHeight="1" x14ac:dyDescent="0.15">
      <c r="B31" s="456" t="s">
        <v>715</v>
      </c>
    </row>
    <row r="32" spans="1:61" ht="30" customHeight="1" x14ac:dyDescent="0.15">
      <c r="B32" s="297"/>
      <c r="C32" s="823" t="str">
        <f>B33</f>
        <v>志賀</v>
      </c>
      <c r="D32" s="823"/>
      <c r="E32" s="823"/>
      <c r="F32" s="823"/>
      <c r="G32" s="823"/>
      <c r="H32" s="823"/>
      <c r="I32" s="823"/>
      <c r="J32" s="823" t="str">
        <f>B37</f>
        <v>中能登</v>
      </c>
      <c r="K32" s="823"/>
      <c r="L32" s="823"/>
      <c r="M32" s="823"/>
      <c r="N32" s="823"/>
      <c r="O32" s="823"/>
      <c r="P32" s="823"/>
      <c r="Q32" s="823" t="str">
        <f>B41</f>
        <v>七尾</v>
      </c>
      <c r="R32" s="823"/>
      <c r="S32" s="823"/>
      <c r="T32" s="823"/>
      <c r="U32" s="823"/>
      <c r="V32" s="823"/>
      <c r="W32" s="823"/>
      <c r="X32" s="823" t="str">
        <f>B45</f>
        <v>輪島</v>
      </c>
      <c r="Y32" s="823"/>
      <c r="Z32" s="823"/>
      <c r="AA32" s="823"/>
      <c r="AB32" s="823"/>
      <c r="AC32" s="823"/>
      <c r="AD32" s="823"/>
      <c r="AE32" s="823" t="str">
        <f>B49</f>
        <v>七尾東部</v>
      </c>
      <c r="AF32" s="823"/>
      <c r="AG32" s="823"/>
      <c r="AH32" s="823"/>
      <c r="AI32" s="823"/>
      <c r="AJ32" s="823"/>
      <c r="AK32" s="823"/>
      <c r="AL32" s="461" t="s">
        <v>88</v>
      </c>
      <c r="AM32" s="462" t="s">
        <v>89</v>
      </c>
      <c r="AN32" s="461" t="s">
        <v>90</v>
      </c>
      <c r="AO32" s="461" t="s">
        <v>91</v>
      </c>
      <c r="AU32" s="290"/>
      <c r="AV32" s="290"/>
      <c r="AW32" s="290"/>
      <c r="BA32" s="449"/>
      <c r="BI32" s="449"/>
    </row>
    <row r="33" spans="1:61" ht="19.5" customHeight="1" x14ac:dyDescent="0.15">
      <c r="A33" s="258">
        <f>1</f>
        <v>1</v>
      </c>
      <c r="B33" s="808" t="str">
        <f>IF(ISERROR(MATCH(A33,予選学校名!$H$22:$H$32,0)),"",INDEX(予選学校名!$H$22:$K$32,MATCH(A33,予選学校名!$H$22:$H$32,0),2))</f>
        <v>志賀</v>
      </c>
      <c r="C33" s="809"/>
      <c r="D33" s="810"/>
      <c r="E33" s="810"/>
      <c r="F33" s="810"/>
      <c r="G33" s="810"/>
      <c r="H33" s="810"/>
      <c r="I33" s="811"/>
      <c r="J33" s="827" t="str">
        <f>VLOOKUP(C37,$BE$1:$BJ$10,6,FALSE)</f>
        <v>15日
9:00</v>
      </c>
      <c r="K33" s="828"/>
      <c r="L33" s="828"/>
      <c r="M33" s="828"/>
      <c r="N33" s="828"/>
      <c r="O33" s="828"/>
      <c r="P33" s="829"/>
      <c r="Q33" s="827" t="str">
        <f>VLOOKUP(C41,$BE$1:$BJ$10,6,FALSE)</f>
        <v>16日
12:45</v>
      </c>
      <c r="R33" s="828"/>
      <c r="S33" s="828"/>
      <c r="T33" s="828"/>
      <c r="U33" s="828"/>
      <c r="V33" s="828"/>
      <c r="W33" s="829"/>
      <c r="X33" s="827" t="str">
        <f>VLOOKUP(C45,$BE$1:$BJ$10,6,FALSE)</f>
        <v>16日
9:00</v>
      </c>
      <c r="Y33" s="828"/>
      <c r="Z33" s="828"/>
      <c r="AA33" s="828"/>
      <c r="AB33" s="828"/>
      <c r="AC33" s="828"/>
      <c r="AD33" s="829"/>
      <c r="AE33" s="827" t="str">
        <f>VLOOKUP(C49,$BE$1:$BJ$10,6,FALSE)</f>
        <v>15日
11:30</v>
      </c>
      <c r="AF33" s="828"/>
      <c r="AG33" s="828"/>
      <c r="AH33" s="828"/>
      <c r="AI33" s="828"/>
      <c r="AJ33" s="828"/>
      <c r="AK33" s="829"/>
      <c r="AL33" s="836" t="str">
        <f>IF(COUNT(C34:AK34)=0,"",COUNTIF(C33:AK33,"○")*3+COUNTIF(X33:AK33,"△"))</f>
        <v/>
      </c>
      <c r="AM33" s="836" t="str">
        <f>IF(AL33="","",SUM(G33:G52)/2-SUM(E33:E52))</f>
        <v/>
      </c>
      <c r="AN33" s="836" t="str">
        <f>IF(AL33="","",SUM(G33:G52)/2)</f>
        <v/>
      </c>
      <c r="AO33" s="836" t="str">
        <f>IF(OR(AL33="",MOD(COUNT(C33:AK33),2)=1),"",RANK(AQ33,$AQ$10:$AQ$29))</f>
        <v/>
      </c>
      <c r="AQ33" s="258" t="str">
        <f>IF(OR(AL33="",MOD(COUNT(C33:AK33),2)=1),"",AL33*10000+AM33*100+AN33)</f>
        <v/>
      </c>
      <c r="BI33" s="449"/>
    </row>
    <row r="34" spans="1:61" ht="19.5" customHeight="1" x14ac:dyDescent="0.15">
      <c r="B34" s="808"/>
      <c r="C34" s="812"/>
      <c r="D34" s="813"/>
      <c r="E34" s="813"/>
      <c r="F34" s="813"/>
      <c r="G34" s="813"/>
      <c r="H34" s="813"/>
      <c r="I34" s="814"/>
      <c r="J34" s="830"/>
      <c r="K34" s="831"/>
      <c r="L34" s="831"/>
      <c r="M34" s="831"/>
      <c r="N34" s="831"/>
      <c r="O34" s="831"/>
      <c r="P34" s="832"/>
      <c r="Q34" s="830"/>
      <c r="R34" s="831"/>
      <c r="S34" s="831"/>
      <c r="T34" s="831"/>
      <c r="U34" s="831"/>
      <c r="V34" s="831"/>
      <c r="W34" s="832"/>
      <c r="X34" s="830"/>
      <c r="Y34" s="831"/>
      <c r="Z34" s="831"/>
      <c r="AA34" s="831"/>
      <c r="AB34" s="831"/>
      <c r="AC34" s="831"/>
      <c r="AD34" s="832"/>
      <c r="AE34" s="830"/>
      <c r="AF34" s="831"/>
      <c r="AG34" s="831"/>
      <c r="AH34" s="831"/>
      <c r="AI34" s="831"/>
      <c r="AJ34" s="831"/>
      <c r="AK34" s="832"/>
      <c r="AL34" s="836"/>
      <c r="AM34" s="836"/>
      <c r="AN34" s="836"/>
      <c r="AO34" s="836"/>
    </row>
    <row r="35" spans="1:61" ht="19.5" customHeight="1" x14ac:dyDescent="0.15">
      <c r="B35" s="808"/>
      <c r="C35" s="812"/>
      <c r="D35" s="813"/>
      <c r="E35" s="813"/>
      <c r="F35" s="813"/>
      <c r="G35" s="813"/>
      <c r="H35" s="813"/>
      <c r="I35" s="814"/>
      <c r="J35" s="830"/>
      <c r="K35" s="831"/>
      <c r="L35" s="831"/>
      <c r="M35" s="831"/>
      <c r="N35" s="831"/>
      <c r="O35" s="831"/>
      <c r="P35" s="832"/>
      <c r="Q35" s="830"/>
      <c r="R35" s="831"/>
      <c r="S35" s="831"/>
      <c r="T35" s="831"/>
      <c r="U35" s="831"/>
      <c r="V35" s="831"/>
      <c r="W35" s="832"/>
      <c r="X35" s="830"/>
      <c r="Y35" s="831"/>
      <c r="Z35" s="831"/>
      <c r="AA35" s="831"/>
      <c r="AB35" s="831"/>
      <c r="AC35" s="831"/>
      <c r="AD35" s="832"/>
      <c r="AE35" s="830"/>
      <c r="AF35" s="831"/>
      <c r="AG35" s="831"/>
      <c r="AH35" s="831"/>
      <c r="AI35" s="831"/>
      <c r="AJ35" s="831"/>
      <c r="AK35" s="832"/>
      <c r="AL35" s="836"/>
      <c r="AM35" s="836"/>
      <c r="AN35" s="836"/>
      <c r="AO35" s="836"/>
    </row>
    <row r="36" spans="1:61" ht="3.75" customHeight="1" x14ac:dyDescent="0.15">
      <c r="B36" s="808"/>
      <c r="C36" s="815"/>
      <c r="D36" s="816"/>
      <c r="E36" s="816"/>
      <c r="F36" s="816"/>
      <c r="G36" s="816"/>
      <c r="H36" s="816"/>
      <c r="I36" s="817"/>
      <c r="J36" s="833"/>
      <c r="K36" s="834"/>
      <c r="L36" s="834"/>
      <c r="M36" s="834"/>
      <c r="N36" s="834"/>
      <c r="O36" s="834"/>
      <c r="P36" s="835"/>
      <c r="Q36" s="833"/>
      <c r="R36" s="834"/>
      <c r="S36" s="834"/>
      <c r="T36" s="834"/>
      <c r="U36" s="834"/>
      <c r="V36" s="834"/>
      <c r="W36" s="835"/>
      <c r="X36" s="833"/>
      <c r="Y36" s="834"/>
      <c r="Z36" s="834"/>
      <c r="AA36" s="834"/>
      <c r="AB36" s="834"/>
      <c r="AC36" s="834"/>
      <c r="AD36" s="835"/>
      <c r="AE36" s="833"/>
      <c r="AF36" s="834"/>
      <c r="AG36" s="834"/>
      <c r="AH36" s="834"/>
      <c r="AI36" s="834"/>
      <c r="AJ36" s="834"/>
      <c r="AK36" s="835"/>
      <c r="AL36" s="836"/>
      <c r="AM36" s="836"/>
      <c r="AN36" s="836"/>
      <c r="AO36" s="836"/>
      <c r="AQ36" s="258" t="str">
        <f t="shared" ref="AQ36" si="18">IF(OR(AL36="",MOD(COUNT(C36:AK36),2)=1),"",AL36*10000+AM36*100+AN36)</f>
        <v/>
      </c>
    </row>
    <row r="37" spans="1:61" ht="19.5" customHeight="1" x14ac:dyDescent="0.15">
      <c r="A37" s="258">
        <f>A33+1</f>
        <v>2</v>
      </c>
      <c r="B37" s="808" t="str">
        <f>IF(ISERROR(MATCH(A37,予選学校名!$H$22:$H$32,0)),"",INDEX(予選学校名!$H$22:$K$32,MATCH(A37,予選学校名!$H$22:$H$32,0),2))</f>
        <v>中能登</v>
      </c>
      <c r="C37" s="837" t="s">
        <v>170</v>
      </c>
      <c r="D37" s="838"/>
      <c r="E37" s="838"/>
      <c r="F37" s="838"/>
      <c r="G37" s="838"/>
      <c r="H37" s="838"/>
      <c r="I37" s="839"/>
      <c r="J37" s="809"/>
      <c r="K37" s="810"/>
      <c r="L37" s="810"/>
      <c r="M37" s="810"/>
      <c r="N37" s="810"/>
      <c r="O37" s="810"/>
      <c r="P37" s="811"/>
      <c r="Q37" s="827" t="str">
        <f>VLOOKUP(J41,$BE$1:$BJ$10,6,FALSE)</f>
        <v>15日
12:45</v>
      </c>
      <c r="R37" s="828"/>
      <c r="S37" s="828"/>
      <c r="T37" s="828"/>
      <c r="U37" s="828"/>
      <c r="V37" s="828"/>
      <c r="W37" s="829"/>
      <c r="X37" s="827" t="str">
        <f>VLOOKUP(J45,$BE$1:$BJ$10,6,FALSE)</f>
        <v>16日
11:30</v>
      </c>
      <c r="Y37" s="828"/>
      <c r="Z37" s="828"/>
      <c r="AA37" s="828"/>
      <c r="AB37" s="828"/>
      <c r="AC37" s="828"/>
      <c r="AD37" s="829"/>
      <c r="AE37" s="827" t="str">
        <f>VLOOKUP(J49,$BE$1:$BJ$10,6,FALSE)</f>
        <v>16日
14:00</v>
      </c>
      <c r="AF37" s="828"/>
      <c r="AG37" s="828"/>
      <c r="AH37" s="828"/>
      <c r="AI37" s="828"/>
      <c r="AJ37" s="828"/>
      <c r="AK37" s="829"/>
      <c r="AL37" s="836" t="str">
        <f>IF(COUNT(C38:AK38)=0,"",COUNTIF(C37:AK37,"○")*3+COUNTIF(X37:AK37,"△"))</f>
        <v/>
      </c>
      <c r="AM37" s="836" t="str">
        <f>IF(AL37="","",SUM(N33:N52)/2-SUM(L33:L52))</f>
        <v/>
      </c>
      <c r="AN37" s="836" t="str">
        <f>IF(AL37="","",SUM(N33:N52)/2)</f>
        <v/>
      </c>
      <c r="AO37" s="836" t="str">
        <f>IF(OR(AL37="",MOD(COUNT(C37:AK37),2)=1),"",RANK(AQ37,$AQ$10:$AQ$29))</f>
        <v/>
      </c>
    </row>
    <row r="38" spans="1:61" ht="19.5" customHeight="1" x14ac:dyDescent="0.15">
      <c r="B38" s="808"/>
      <c r="C38" s="840"/>
      <c r="D38" s="841"/>
      <c r="E38" s="841"/>
      <c r="F38" s="841"/>
      <c r="G38" s="841"/>
      <c r="H38" s="841"/>
      <c r="I38" s="842"/>
      <c r="J38" s="812"/>
      <c r="K38" s="813"/>
      <c r="L38" s="813"/>
      <c r="M38" s="813"/>
      <c r="N38" s="813"/>
      <c r="O38" s="813"/>
      <c r="P38" s="814"/>
      <c r="Q38" s="830"/>
      <c r="R38" s="831"/>
      <c r="S38" s="831"/>
      <c r="T38" s="831"/>
      <c r="U38" s="831"/>
      <c r="V38" s="831"/>
      <c r="W38" s="832"/>
      <c r="X38" s="830"/>
      <c r="Y38" s="831"/>
      <c r="Z38" s="831"/>
      <c r="AA38" s="831"/>
      <c r="AB38" s="831"/>
      <c r="AC38" s="831"/>
      <c r="AD38" s="832"/>
      <c r="AE38" s="830"/>
      <c r="AF38" s="831"/>
      <c r="AG38" s="831"/>
      <c r="AH38" s="831"/>
      <c r="AI38" s="831"/>
      <c r="AJ38" s="831"/>
      <c r="AK38" s="832"/>
      <c r="AL38" s="836"/>
      <c r="AM38" s="836"/>
      <c r="AN38" s="836"/>
      <c r="AO38" s="836"/>
    </row>
    <row r="39" spans="1:61" ht="19.5" customHeight="1" x14ac:dyDescent="0.15">
      <c r="B39" s="808"/>
      <c r="C39" s="840"/>
      <c r="D39" s="841"/>
      <c r="E39" s="841"/>
      <c r="F39" s="841"/>
      <c r="G39" s="841"/>
      <c r="H39" s="841"/>
      <c r="I39" s="842"/>
      <c r="J39" s="812"/>
      <c r="K39" s="813"/>
      <c r="L39" s="813"/>
      <c r="M39" s="813"/>
      <c r="N39" s="813"/>
      <c r="O39" s="813"/>
      <c r="P39" s="814"/>
      <c r="Q39" s="830"/>
      <c r="R39" s="831"/>
      <c r="S39" s="831"/>
      <c r="T39" s="831"/>
      <c r="U39" s="831"/>
      <c r="V39" s="831"/>
      <c r="W39" s="832"/>
      <c r="X39" s="830"/>
      <c r="Y39" s="831"/>
      <c r="Z39" s="831"/>
      <c r="AA39" s="831"/>
      <c r="AB39" s="831"/>
      <c r="AC39" s="831"/>
      <c r="AD39" s="832"/>
      <c r="AE39" s="830"/>
      <c r="AF39" s="831"/>
      <c r="AG39" s="831"/>
      <c r="AH39" s="831"/>
      <c r="AI39" s="831"/>
      <c r="AJ39" s="831"/>
      <c r="AK39" s="832"/>
      <c r="AL39" s="836"/>
      <c r="AM39" s="836"/>
      <c r="AN39" s="836"/>
      <c r="AO39" s="836"/>
      <c r="AQ39" s="258" t="str">
        <f t="shared" ref="AQ39" si="19">IF(OR(AL39="",MOD(COUNT(C39:AK39),2)=1),"",AL39*10000+AM39*100+AN39)</f>
        <v/>
      </c>
    </row>
    <row r="40" spans="1:61" ht="3.75" customHeight="1" x14ac:dyDescent="0.15">
      <c r="B40" s="808"/>
      <c r="C40" s="843"/>
      <c r="D40" s="844"/>
      <c r="E40" s="844"/>
      <c r="F40" s="844"/>
      <c r="G40" s="844"/>
      <c r="H40" s="844"/>
      <c r="I40" s="845"/>
      <c r="J40" s="815"/>
      <c r="K40" s="816"/>
      <c r="L40" s="816"/>
      <c r="M40" s="816"/>
      <c r="N40" s="816"/>
      <c r="O40" s="816"/>
      <c r="P40" s="817"/>
      <c r="Q40" s="833"/>
      <c r="R40" s="834"/>
      <c r="S40" s="834"/>
      <c r="T40" s="834"/>
      <c r="U40" s="834"/>
      <c r="V40" s="834"/>
      <c r="W40" s="835"/>
      <c r="X40" s="833"/>
      <c r="Y40" s="834"/>
      <c r="Z40" s="834"/>
      <c r="AA40" s="834"/>
      <c r="AB40" s="834"/>
      <c r="AC40" s="834"/>
      <c r="AD40" s="835"/>
      <c r="AE40" s="833"/>
      <c r="AF40" s="834"/>
      <c r="AG40" s="834"/>
      <c r="AH40" s="834"/>
      <c r="AI40" s="834"/>
      <c r="AJ40" s="834"/>
      <c r="AK40" s="835"/>
      <c r="AL40" s="836"/>
      <c r="AM40" s="836"/>
      <c r="AN40" s="836"/>
      <c r="AO40" s="836"/>
    </row>
    <row r="41" spans="1:61" ht="19.5" customHeight="1" x14ac:dyDescent="0.15">
      <c r="A41" s="258">
        <f t="shared" ref="A41" si="20">A37+1</f>
        <v>3</v>
      </c>
      <c r="B41" s="808" t="str">
        <f>IF(ISERROR(MATCH(A41,予選学校名!$H$22:$H$32,0)),"",INDEX(予選学校名!$H$22:$K$32,MATCH(A41,予選学校名!$H$22:$H$32,0),2))</f>
        <v>七尾</v>
      </c>
      <c r="C41" s="837" t="s">
        <v>174</v>
      </c>
      <c r="D41" s="838"/>
      <c r="E41" s="838"/>
      <c r="F41" s="838"/>
      <c r="G41" s="838"/>
      <c r="H41" s="838"/>
      <c r="I41" s="839"/>
      <c r="J41" s="837" t="s">
        <v>169</v>
      </c>
      <c r="K41" s="838"/>
      <c r="L41" s="838"/>
      <c r="M41" s="838"/>
      <c r="N41" s="838"/>
      <c r="O41" s="838"/>
      <c r="P41" s="839"/>
      <c r="Q41" s="809"/>
      <c r="R41" s="810"/>
      <c r="S41" s="810"/>
      <c r="T41" s="810"/>
      <c r="U41" s="810"/>
      <c r="V41" s="810"/>
      <c r="W41" s="811"/>
      <c r="X41" s="827" t="str">
        <f>VLOOKUP(Q45,$BE$1:$BJ$10,6,FALSE)</f>
        <v>15日
10:15</v>
      </c>
      <c r="Y41" s="828"/>
      <c r="Z41" s="828"/>
      <c r="AA41" s="828"/>
      <c r="AB41" s="828"/>
      <c r="AC41" s="828"/>
      <c r="AD41" s="829"/>
      <c r="AE41" s="827" t="str">
        <f>VLOOKUP(Q49,$BE$1:$BJ$10,6,FALSE)</f>
        <v>16日
10:15</v>
      </c>
      <c r="AF41" s="828"/>
      <c r="AG41" s="828"/>
      <c r="AH41" s="828"/>
      <c r="AI41" s="828"/>
      <c r="AJ41" s="828"/>
      <c r="AK41" s="829"/>
      <c r="AL41" s="836" t="str">
        <f t="shared" ref="AL41" si="21">IF(COUNT(C42:AK42)=0,"",COUNTIF(C41:AK41,"○")*3+COUNTIF(X41:AK41,"△"))</f>
        <v/>
      </c>
      <c r="AM41" s="836" t="str">
        <f>IF(AL41="","",SUM(U33:U52)/2-SUM(S33:S52))</f>
        <v/>
      </c>
      <c r="AN41" s="836" t="str">
        <f>IF(AL41="","",SUM(U33:U52)/2)</f>
        <v/>
      </c>
      <c r="AO41" s="836" t="str">
        <f>IF(OR(AL41="",MOD(COUNT(C41:AK41),2)=1),"",RANK(AQ41,$AQ$10:$AQ$29))</f>
        <v/>
      </c>
    </row>
    <row r="42" spans="1:61" ht="19.5" customHeight="1" x14ac:dyDescent="0.15">
      <c r="B42" s="808"/>
      <c r="C42" s="840"/>
      <c r="D42" s="841"/>
      <c r="E42" s="841"/>
      <c r="F42" s="841"/>
      <c r="G42" s="841"/>
      <c r="H42" s="841"/>
      <c r="I42" s="842"/>
      <c r="J42" s="840"/>
      <c r="K42" s="841"/>
      <c r="L42" s="841"/>
      <c r="M42" s="841"/>
      <c r="N42" s="841"/>
      <c r="O42" s="841"/>
      <c r="P42" s="842"/>
      <c r="Q42" s="812"/>
      <c r="R42" s="813"/>
      <c r="S42" s="813"/>
      <c r="T42" s="813"/>
      <c r="U42" s="813"/>
      <c r="V42" s="813"/>
      <c r="W42" s="814"/>
      <c r="X42" s="830"/>
      <c r="Y42" s="831"/>
      <c r="Z42" s="831"/>
      <c r="AA42" s="831"/>
      <c r="AB42" s="831"/>
      <c r="AC42" s="831"/>
      <c r="AD42" s="832"/>
      <c r="AE42" s="830"/>
      <c r="AF42" s="831"/>
      <c r="AG42" s="831"/>
      <c r="AH42" s="831"/>
      <c r="AI42" s="831"/>
      <c r="AJ42" s="831"/>
      <c r="AK42" s="832"/>
      <c r="AL42" s="836"/>
      <c r="AM42" s="836"/>
      <c r="AN42" s="836"/>
      <c r="AO42" s="836"/>
      <c r="AQ42" s="258" t="str">
        <f t="shared" ref="AQ42" si="22">IF(OR(AL42="",MOD(COUNT(C42:AK42),2)=1),"",AL42*10000+AM42*100+AN42)</f>
        <v/>
      </c>
    </row>
    <row r="43" spans="1:61" ht="19.5" customHeight="1" x14ac:dyDescent="0.15">
      <c r="B43" s="808"/>
      <c r="C43" s="840"/>
      <c r="D43" s="841"/>
      <c r="E43" s="841"/>
      <c r="F43" s="841"/>
      <c r="G43" s="841"/>
      <c r="H43" s="841"/>
      <c r="I43" s="842"/>
      <c r="J43" s="840"/>
      <c r="K43" s="841"/>
      <c r="L43" s="841"/>
      <c r="M43" s="841"/>
      <c r="N43" s="841"/>
      <c r="O43" s="841"/>
      <c r="P43" s="842"/>
      <c r="Q43" s="812"/>
      <c r="R43" s="813"/>
      <c r="S43" s="813"/>
      <c r="T43" s="813"/>
      <c r="U43" s="813"/>
      <c r="V43" s="813"/>
      <c r="W43" s="814"/>
      <c r="X43" s="830"/>
      <c r="Y43" s="831"/>
      <c r="Z43" s="831"/>
      <c r="AA43" s="831"/>
      <c r="AB43" s="831"/>
      <c r="AC43" s="831"/>
      <c r="AD43" s="832"/>
      <c r="AE43" s="830"/>
      <c r="AF43" s="831"/>
      <c r="AG43" s="831"/>
      <c r="AH43" s="831"/>
      <c r="AI43" s="831"/>
      <c r="AJ43" s="831"/>
      <c r="AK43" s="832"/>
      <c r="AL43" s="836"/>
      <c r="AM43" s="836"/>
      <c r="AN43" s="836"/>
      <c r="AO43" s="836"/>
    </row>
    <row r="44" spans="1:61" ht="3.75" customHeight="1" x14ac:dyDescent="0.15">
      <c r="B44" s="808"/>
      <c r="C44" s="843"/>
      <c r="D44" s="844"/>
      <c r="E44" s="844"/>
      <c r="F44" s="844"/>
      <c r="G44" s="844"/>
      <c r="H44" s="844"/>
      <c r="I44" s="845"/>
      <c r="J44" s="843"/>
      <c r="K44" s="844"/>
      <c r="L44" s="844"/>
      <c r="M44" s="844"/>
      <c r="N44" s="844"/>
      <c r="O44" s="844"/>
      <c r="P44" s="845"/>
      <c r="Q44" s="815"/>
      <c r="R44" s="816"/>
      <c r="S44" s="816"/>
      <c r="T44" s="816"/>
      <c r="U44" s="816"/>
      <c r="V44" s="816"/>
      <c r="W44" s="817"/>
      <c r="X44" s="833"/>
      <c r="Y44" s="834"/>
      <c r="Z44" s="834"/>
      <c r="AA44" s="834"/>
      <c r="AB44" s="834"/>
      <c r="AC44" s="834"/>
      <c r="AD44" s="835"/>
      <c r="AE44" s="833"/>
      <c r="AF44" s="834"/>
      <c r="AG44" s="834"/>
      <c r="AH44" s="834"/>
      <c r="AI44" s="834"/>
      <c r="AJ44" s="834"/>
      <c r="AK44" s="835"/>
      <c r="AL44" s="836"/>
      <c r="AM44" s="836"/>
      <c r="AN44" s="836"/>
      <c r="AO44" s="836"/>
    </row>
    <row r="45" spans="1:61" ht="19.5" customHeight="1" x14ac:dyDescent="0.15">
      <c r="A45" s="258">
        <f t="shared" ref="A45" si="23">A41+1</f>
        <v>4</v>
      </c>
      <c r="B45" s="808" t="str">
        <f>IF(ISERROR(MATCH(A45,予選学校名!$H$22:$H$32,0)),"",INDEX(予選学校名!$H$22:$K$32,MATCH(A45,予選学校名!$H$22:$H$32,0),2))</f>
        <v>輪島</v>
      </c>
      <c r="C45" s="837" t="s">
        <v>173</v>
      </c>
      <c r="D45" s="838"/>
      <c r="E45" s="838"/>
      <c r="F45" s="838"/>
      <c r="G45" s="838"/>
      <c r="H45" s="838"/>
      <c r="I45" s="839"/>
      <c r="J45" s="837" t="s">
        <v>166</v>
      </c>
      <c r="K45" s="838"/>
      <c r="L45" s="838"/>
      <c r="M45" s="838"/>
      <c r="N45" s="838"/>
      <c r="O45" s="838"/>
      <c r="P45" s="839"/>
      <c r="Q45" s="837" t="s">
        <v>167</v>
      </c>
      <c r="R45" s="838"/>
      <c r="S45" s="838"/>
      <c r="T45" s="838"/>
      <c r="U45" s="838"/>
      <c r="V45" s="838"/>
      <c r="W45" s="839"/>
      <c r="X45" s="809"/>
      <c r="Y45" s="810"/>
      <c r="Z45" s="810"/>
      <c r="AA45" s="810"/>
      <c r="AB45" s="810"/>
      <c r="AC45" s="810"/>
      <c r="AD45" s="811"/>
      <c r="AE45" s="827" t="str">
        <f>VLOOKUP(X49,$BE$1:$BJ$10,6,FALSE)</f>
        <v>15日
14:00</v>
      </c>
      <c r="AF45" s="828"/>
      <c r="AG45" s="828"/>
      <c r="AH45" s="828"/>
      <c r="AI45" s="828"/>
      <c r="AJ45" s="828"/>
      <c r="AK45" s="829"/>
      <c r="AL45" s="836" t="str">
        <f t="shared" ref="AL45" si="24">IF(COUNT(C46:AK46)=0,"",COUNTIF(C45:AK45,"○")*3+COUNTIF(X45:AK45,"△"))</f>
        <v/>
      </c>
      <c r="AM45" s="836" t="str">
        <f>IF(AL45="","",SUM(AB33:AB52)/2-SUM(Z33:Z52))</f>
        <v/>
      </c>
      <c r="AN45" s="836" t="str">
        <f>IF(AL45="","",SUM(AB33:AB52)/2)</f>
        <v/>
      </c>
      <c r="AO45" s="836" t="str">
        <f>IF(OR(AL45="",MOD(COUNT(C45:AK45),2)=1),"",RANK(AQ45,$AQ$10:$AQ$29))</f>
        <v/>
      </c>
      <c r="AQ45" s="258" t="str">
        <f t="shared" ref="AQ45" si="25">IF(OR(AL45="",MOD(COUNT(C45:AK45),2)=1),"",AL45*10000+AM45*100+AN45)</f>
        <v/>
      </c>
    </row>
    <row r="46" spans="1:61" ht="19.5" customHeight="1" x14ac:dyDescent="0.15">
      <c r="B46" s="808"/>
      <c r="C46" s="840"/>
      <c r="D46" s="841"/>
      <c r="E46" s="841"/>
      <c r="F46" s="841"/>
      <c r="G46" s="841"/>
      <c r="H46" s="841"/>
      <c r="I46" s="842"/>
      <c r="J46" s="840"/>
      <c r="K46" s="841"/>
      <c r="L46" s="841"/>
      <c r="M46" s="841"/>
      <c r="N46" s="841"/>
      <c r="O46" s="841"/>
      <c r="P46" s="842"/>
      <c r="Q46" s="840"/>
      <c r="R46" s="841"/>
      <c r="S46" s="841"/>
      <c r="T46" s="841"/>
      <c r="U46" s="841"/>
      <c r="V46" s="841"/>
      <c r="W46" s="842"/>
      <c r="X46" s="812"/>
      <c r="Y46" s="813"/>
      <c r="Z46" s="813"/>
      <c r="AA46" s="813"/>
      <c r="AB46" s="813"/>
      <c r="AC46" s="813"/>
      <c r="AD46" s="814"/>
      <c r="AE46" s="830"/>
      <c r="AF46" s="831"/>
      <c r="AG46" s="831"/>
      <c r="AH46" s="831"/>
      <c r="AI46" s="831"/>
      <c r="AJ46" s="831"/>
      <c r="AK46" s="832"/>
      <c r="AL46" s="836"/>
      <c r="AM46" s="836"/>
      <c r="AN46" s="836"/>
      <c r="AO46" s="836"/>
    </row>
    <row r="47" spans="1:61" ht="19.5" customHeight="1" x14ac:dyDescent="0.15">
      <c r="B47" s="808"/>
      <c r="C47" s="840"/>
      <c r="D47" s="841"/>
      <c r="E47" s="841"/>
      <c r="F47" s="841"/>
      <c r="G47" s="841"/>
      <c r="H47" s="841"/>
      <c r="I47" s="842"/>
      <c r="J47" s="840"/>
      <c r="K47" s="841"/>
      <c r="L47" s="841"/>
      <c r="M47" s="841"/>
      <c r="N47" s="841"/>
      <c r="O47" s="841"/>
      <c r="P47" s="842"/>
      <c r="Q47" s="840"/>
      <c r="R47" s="841"/>
      <c r="S47" s="841"/>
      <c r="T47" s="841"/>
      <c r="U47" s="841"/>
      <c r="V47" s="841"/>
      <c r="W47" s="842"/>
      <c r="X47" s="812"/>
      <c r="Y47" s="813"/>
      <c r="Z47" s="813"/>
      <c r="AA47" s="813"/>
      <c r="AB47" s="813"/>
      <c r="AC47" s="813"/>
      <c r="AD47" s="814"/>
      <c r="AE47" s="830"/>
      <c r="AF47" s="831"/>
      <c r="AG47" s="831"/>
      <c r="AH47" s="831"/>
      <c r="AI47" s="831"/>
      <c r="AJ47" s="831"/>
      <c r="AK47" s="832"/>
      <c r="AL47" s="836"/>
      <c r="AM47" s="836"/>
      <c r="AN47" s="836"/>
      <c r="AO47" s="836"/>
    </row>
    <row r="48" spans="1:61" ht="3.75" customHeight="1" x14ac:dyDescent="0.15">
      <c r="B48" s="808"/>
      <c r="C48" s="843"/>
      <c r="D48" s="844"/>
      <c r="E48" s="844"/>
      <c r="F48" s="844"/>
      <c r="G48" s="844"/>
      <c r="H48" s="844"/>
      <c r="I48" s="845"/>
      <c r="J48" s="843"/>
      <c r="K48" s="844"/>
      <c r="L48" s="844"/>
      <c r="M48" s="844"/>
      <c r="N48" s="844"/>
      <c r="O48" s="844"/>
      <c r="P48" s="845"/>
      <c r="Q48" s="843"/>
      <c r="R48" s="844"/>
      <c r="S48" s="844"/>
      <c r="T48" s="844"/>
      <c r="U48" s="844"/>
      <c r="V48" s="844"/>
      <c r="W48" s="845"/>
      <c r="X48" s="815"/>
      <c r="Y48" s="816"/>
      <c r="Z48" s="816"/>
      <c r="AA48" s="816"/>
      <c r="AB48" s="816"/>
      <c r="AC48" s="816"/>
      <c r="AD48" s="817"/>
      <c r="AE48" s="833"/>
      <c r="AF48" s="834"/>
      <c r="AG48" s="834"/>
      <c r="AH48" s="834"/>
      <c r="AI48" s="834"/>
      <c r="AJ48" s="834"/>
      <c r="AK48" s="835"/>
      <c r="AL48" s="836"/>
      <c r="AM48" s="836"/>
      <c r="AN48" s="836"/>
      <c r="AO48" s="836"/>
      <c r="AQ48" s="258" t="str">
        <f t="shared" ref="AQ48" si="26">IF(OR(AL48="",MOD(COUNT(C48:AK48),2)=1),"",AL48*10000+AM48*100+AN48)</f>
        <v/>
      </c>
    </row>
    <row r="49" spans="1:43" ht="19.5" customHeight="1" x14ac:dyDescent="0.15">
      <c r="A49" s="258">
        <f t="shared" ref="A49" si="27">A45+1</f>
        <v>5</v>
      </c>
      <c r="B49" s="808" t="str">
        <f>IF(ISERROR(MATCH(A49,予選学校名!$H$22:$H$32,0)),"",INDEX(予選学校名!$H$22:$K$32,MATCH(A49,予選学校名!$H$22:$H$32,0),2))</f>
        <v>七尾東部</v>
      </c>
      <c r="C49" s="837" t="s">
        <v>171</v>
      </c>
      <c r="D49" s="838"/>
      <c r="E49" s="838"/>
      <c r="F49" s="838"/>
      <c r="G49" s="838"/>
      <c r="H49" s="838"/>
      <c r="I49" s="839"/>
      <c r="J49" s="837" t="s">
        <v>165</v>
      </c>
      <c r="K49" s="838"/>
      <c r="L49" s="838"/>
      <c r="M49" s="838"/>
      <c r="N49" s="838"/>
      <c r="O49" s="838"/>
      <c r="P49" s="839"/>
      <c r="Q49" s="837" t="s">
        <v>168</v>
      </c>
      <c r="R49" s="838"/>
      <c r="S49" s="838"/>
      <c r="T49" s="838"/>
      <c r="U49" s="838"/>
      <c r="V49" s="838"/>
      <c r="W49" s="839"/>
      <c r="X49" s="837" t="s">
        <v>172</v>
      </c>
      <c r="Y49" s="838"/>
      <c r="Z49" s="838"/>
      <c r="AA49" s="838"/>
      <c r="AB49" s="838"/>
      <c r="AC49" s="838"/>
      <c r="AD49" s="839"/>
      <c r="AE49" s="809"/>
      <c r="AF49" s="810"/>
      <c r="AG49" s="810"/>
      <c r="AH49" s="810"/>
      <c r="AI49" s="810"/>
      <c r="AJ49" s="810"/>
      <c r="AK49" s="811"/>
      <c r="AL49" s="836" t="str">
        <f t="shared" ref="AL49" si="28">IF(COUNT(C50:AK50)=0,"",COUNTIF(C49:AK49,"○")*3+COUNTIF(X49:AK49,"△"))</f>
        <v/>
      </c>
      <c r="AM49" s="836" t="str">
        <f>IF(AL49="","",SUM(AI33:AI52)/2-SUM(AG33:AG52))</f>
        <v/>
      </c>
      <c r="AN49" s="836" t="str">
        <f>IF(AL49="","",SUM(AI33:AI52)/2)</f>
        <v/>
      </c>
      <c r="AO49" s="836" t="str">
        <f>IF(OR(AL49="",MOD(COUNT(C49:AK49),2)=1),"",RANK(AQ49,$AQ$10:$AQ$29))</f>
        <v/>
      </c>
    </row>
    <row r="50" spans="1:43" ht="19.5" customHeight="1" x14ac:dyDescent="0.15">
      <c r="B50" s="808"/>
      <c r="C50" s="840"/>
      <c r="D50" s="841"/>
      <c r="E50" s="841"/>
      <c r="F50" s="841"/>
      <c r="G50" s="841"/>
      <c r="H50" s="841"/>
      <c r="I50" s="842"/>
      <c r="J50" s="840"/>
      <c r="K50" s="841"/>
      <c r="L50" s="841"/>
      <c r="M50" s="841"/>
      <c r="N50" s="841"/>
      <c r="O50" s="841"/>
      <c r="P50" s="842"/>
      <c r="Q50" s="840"/>
      <c r="R50" s="841"/>
      <c r="S50" s="841"/>
      <c r="T50" s="841"/>
      <c r="U50" s="841"/>
      <c r="V50" s="841"/>
      <c r="W50" s="842"/>
      <c r="X50" s="840"/>
      <c r="Y50" s="841"/>
      <c r="Z50" s="841"/>
      <c r="AA50" s="841"/>
      <c r="AB50" s="841"/>
      <c r="AC50" s="841"/>
      <c r="AD50" s="842"/>
      <c r="AE50" s="812"/>
      <c r="AF50" s="813"/>
      <c r="AG50" s="813"/>
      <c r="AH50" s="813"/>
      <c r="AI50" s="813"/>
      <c r="AJ50" s="813"/>
      <c r="AK50" s="814"/>
      <c r="AL50" s="836"/>
      <c r="AM50" s="836"/>
      <c r="AN50" s="836"/>
      <c r="AO50" s="836"/>
    </row>
    <row r="51" spans="1:43" ht="19.5" customHeight="1" x14ac:dyDescent="0.15">
      <c r="B51" s="808"/>
      <c r="C51" s="840"/>
      <c r="D51" s="841"/>
      <c r="E51" s="841"/>
      <c r="F51" s="841"/>
      <c r="G51" s="841"/>
      <c r="H51" s="841"/>
      <c r="I51" s="842"/>
      <c r="J51" s="840"/>
      <c r="K51" s="841"/>
      <c r="L51" s="841"/>
      <c r="M51" s="841"/>
      <c r="N51" s="841"/>
      <c r="O51" s="841"/>
      <c r="P51" s="842"/>
      <c r="Q51" s="840"/>
      <c r="R51" s="841"/>
      <c r="S51" s="841"/>
      <c r="T51" s="841"/>
      <c r="U51" s="841"/>
      <c r="V51" s="841"/>
      <c r="W51" s="842"/>
      <c r="X51" s="840"/>
      <c r="Y51" s="841"/>
      <c r="Z51" s="841"/>
      <c r="AA51" s="841"/>
      <c r="AB51" s="841"/>
      <c r="AC51" s="841"/>
      <c r="AD51" s="842"/>
      <c r="AE51" s="812"/>
      <c r="AF51" s="813"/>
      <c r="AG51" s="813"/>
      <c r="AH51" s="813"/>
      <c r="AI51" s="813"/>
      <c r="AJ51" s="813"/>
      <c r="AK51" s="814"/>
      <c r="AL51" s="836"/>
      <c r="AM51" s="836"/>
      <c r="AN51" s="836"/>
      <c r="AO51" s="836"/>
      <c r="AQ51" s="258" t="str">
        <f t="shared" ref="AQ51" si="29">IF(OR(AL51="",MOD(COUNT(C51:AK51),2)=1),"",AL51*10000+AM51*100+AN51)</f>
        <v/>
      </c>
    </row>
    <row r="52" spans="1:43" ht="3.75" customHeight="1" x14ac:dyDescent="0.15">
      <c r="B52" s="808"/>
      <c r="C52" s="843"/>
      <c r="D52" s="844"/>
      <c r="E52" s="844"/>
      <c r="F52" s="844"/>
      <c r="G52" s="844"/>
      <c r="H52" s="844"/>
      <c r="I52" s="845"/>
      <c r="J52" s="843"/>
      <c r="K52" s="844"/>
      <c r="L52" s="844"/>
      <c r="M52" s="844"/>
      <c r="N52" s="844"/>
      <c r="O52" s="844"/>
      <c r="P52" s="845"/>
      <c r="Q52" s="843"/>
      <c r="R52" s="844"/>
      <c r="S52" s="844"/>
      <c r="T52" s="844"/>
      <c r="U52" s="844"/>
      <c r="V52" s="844"/>
      <c r="W52" s="845"/>
      <c r="X52" s="843"/>
      <c r="Y52" s="844"/>
      <c r="Z52" s="844"/>
      <c r="AA52" s="844"/>
      <c r="AB52" s="844"/>
      <c r="AC52" s="844"/>
      <c r="AD52" s="845"/>
      <c r="AE52" s="815"/>
      <c r="AF52" s="816"/>
      <c r="AG52" s="816"/>
      <c r="AH52" s="816"/>
      <c r="AI52" s="816"/>
      <c r="AJ52" s="816"/>
      <c r="AK52" s="817"/>
      <c r="AL52" s="836"/>
      <c r="AM52" s="836"/>
      <c r="AN52" s="836"/>
      <c r="AO52" s="836"/>
    </row>
  </sheetData>
  <mergeCells count="140">
    <mergeCell ref="AO49:AO52"/>
    <mergeCell ref="AL45:AL48"/>
    <mergeCell ref="AM45:AM48"/>
    <mergeCell ref="AN45:AN48"/>
    <mergeCell ref="AO45:AO48"/>
    <mergeCell ref="B49:B52"/>
    <mergeCell ref="C49:I52"/>
    <mergeCell ref="J49:P52"/>
    <mergeCell ref="Q49:W52"/>
    <mergeCell ref="X49:AD52"/>
    <mergeCell ref="AE49:AK52"/>
    <mergeCell ref="B45:B48"/>
    <mergeCell ref="C45:I48"/>
    <mergeCell ref="J45:P48"/>
    <mergeCell ref="Q45:W48"/>
    <mergeCell ref="X45:AD48"/>
    <mergeCell ref="AE45:AK48"/>
    <mergeCell ref="AL49:AL52"/>
    <mergeCell ref="AM49:AM52"/>
    <mergeCell ref="AN49:AN52"/>
    <mergeCell ref="Q41:W44"/>
    <mergeCell ref="X41:AD44"/>
    <mergeCell ref="AE41:AK44"/>
    <mergeCell ref="AL41:AL44"/>
    <mergeCell ref="AM41:AM44"/>
    <mergeCell ref="AN41:AN44"/>
    <mergeCell ref="AN33:AN36"/>
    <mergeCell ref="AO33:AO36"/>
    <mergeCell ref="B37:B40"/>
    <mergeCell ref="C37:I40"/>
    <mergeCell ref="J37:P40"/>
    <mergeCell ref="Q37:W40"/>
    <mergeCell ref="X37:AD40"/>
    <mergeCell ref="AE37:AK40"/>
    <mergeCell ref="AL37:AL40"/>
    <mergeCell ref="AM37:AM40"/>
    <mergeCell ref="AN37:AN40"/>
    <mergeCell ref="AO37:AO40"/>
    <mergeCell ref="AO41:AO44"/>
    <mergeCell ref="B41:B44"/>
    <mergeCell ref="C41:I44"/>
    <mergeCell ref="J41:P44"/>
    <mergeCell ref="AE32:AK32"/>
    <mergeCell ref="B33:B36"/>
    <mergeCell ref="C33:I36"/>
    <mergeCell ref="J33:P36"/>
    <mergeCell ref="Q33:W36"/>
    <mergeCell ref="X33:AD36"/>
    <mergeCell ref="AE33:AK36"/>
    <mergeCell ref="AL33:AL36"/>
    <mergeCell ref="AM33:AM36"/>
    <mergeCell ref="C26:E26"/>
    <mergeCell ref="G26:I26"/>
    <mergeCell ref="C32:I32"/>
    <mergeCell ref="J32:P32"/>
    <mergeCell ref="X26:Z26"/>
    <mergeCell ref="AB26:AD26"/>
    <mergeCell ref="C18:E18"/>
    <mergeCell ref="G18:I18"/>
    <mergeCell ref="J22:L22"/>
    <mergeCell ref="N22:P22"/>
    <mergeCell ref="Q26:S26"/>
    <mergeCell ref="U26:W26"/>
    <mergeCell ref="C22:E22"/>
    <mergeCell ref="G22:I22"/>
    <mergeCell ref="Q32:W32"/>
    <mergeCell ref="X32:AD32"/>
    <mergeCell ref="G14:I14"/>
    <mergeCell ref="J18:L18"/>
    <mergeCell ref="N18:P18"/>
    <mergeCell ref="Q22:S22"/>
    <mergeCell ref="U22:W22"/>
    <mergeCell ref="X18:Z18"/>
    <mergeCell ref="AB18:AD18"/>
    <mergeCell ref="AE18:AG18"/>
    <mergeCell ref="J26:L26"/>
    <mergeCell ref="N26:P26"/>
    <mergeCell ref="AB10:AD10"/>
    <mergeCell ref="AL22:AL25"/>
    <mergeCell ref="AM22:AM25"/>
    <mergeCell ref="AN22:AN25"/>
    <mergeCell ref="AO22:AO25"/>
    <mergeCell ref="AL10:AL13"/>
    <mergeCell ref="AM10:AM13"/>
    <mergeCell ref="AN10:AN13"/>
    <mergeCell ref="AO10:AO13"/>
    <mergeCell ref="AI18:AK18"/>
    <mergeCell ref="AE22:AG22"/>
    <mergeCell ref="AI22:AK22"/>
    <mergeCell ref="AB14:AD14"/>
    <mergeCell ref="AE14:AG14"/>
    <mergeCell ref="AI14:AK14"/>
    <mergeCell ref="B26:B29"/>
    <mergeCell ref="AE26:AK29"/>
    <mergeCell ref="AL18:AL21"/>
    <mergeCell ref="AM18:AM21"/>
    <mergeCell ref="AN18:AN21"/>
    <mergeCell ref="AO18:AO21"/>
    <mergeCell ref="B22:B25"/>
    <mergeCell ref="X22:AD25"/>
    <mergeCell ref="AL14:AL17"/>
    <mergeCell ref="AM14:AM17"/>
    <mergeCell ref="AN14:AN17"/>
    <mergeCell ref="AO14:AO17"/>
    <mergeCell ref="B18:B21"/>
    <mergeCell ref="Q18:W21"/>
    <mergeCell ref="B14:B17"/>
    <mergeCell ref="J14:P17"/>
    <mergeCell ref="AL26:AL29"/>
    <mergeCell ref="AM26:AM29"/>
    <mergeCell ref="AN26:AN29"/>
    <mergeCell ref="AO26:AO29"/>
    <mergeCell ref="Q14:S14"/>
    <mergeCell ref="U14:W14"/>
    <mergeCell ref="X14:Z14"/>
    <mergeCell ref="C14:E14"/>
    <mergeCell ref="E3:G3"/>
    <mergeCell ref="H3:AE3"/>
    <mergeCell ref="AG3:AJ3"/>
    <mergeCell ref="E4:G4"/>
    <mergeCell ref="H4:AE4"/>
    <mergeCell ref="AG4:AJ4"/>
    <mergeCell ref="B10:B13"/>
    <mergeCell ref="C10:I13"/>
    <mergeCell ref="AE10:AG10"/>
    <mergeCell ref="AI10:AK10"/>
    <mergeCell ref="E5:G5"/>
    <mergeCell ref="H5:AE5"/>
    <mergeCell ref="AG5:AJ5"/>
    <mergeCell ref="H6:W6"/>
    <mergeCell ref="C9:I9"/>
    <mergeCell ref="J9:P9"/>
    <mergeCell ref="Q9:W9"/>
    <mergeCell ref="X9:AD9"/>
    <mergeCell ref="AE9:AK9"/>
    <mergeCell ref="J10:L10"/>
    <mergeCell ref="N10:P10"/>
    <mergeCell ref="Q10:S10"/>
    <mergeCell ref="U10:W10"/>
    <mergeCell ref="X10:Z10"/>
  </mergeCells>
  <phoneticPr fontId="2"/>
  <printOptions horizontalCentered="1"/>
  <pageMargins left="0.39370078740157483" right="0.39370078740157483" top="0.39370078740157483" bottom="0.74803149606299213" header="0.31496062992125984" footer="0.31496062992125984"/>
  <pageSetup paperSize="9" scale="8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064A8-2D90-490C-98C6-28F0D42D1F33}">
  <sheetPr>
    <tabColor rgb="FF00B050"/>
    <pageSetUpPr fitToPage="1"/>
  </sheetPr>
  <dimension ref="A1:BJ52"/>
  <sheetViews>
    <sheetView showGridLines="0" view="pageBreakPreview" topLeftCell="B9" zoomScaleNormal="80" zoomScaleSheetLayoutView="100" workbookViewId="0">
      <selection activeCell="B54" sqref="B54"/>
    </sheetView>
  </sheetViews>
  <sheetFormatPr defaultColWidth="9" defaultRowHeight="14.25" x14ac:dyDescent="0.15"/>
  <cols>
    <col min="1" max="1" width="9.375" style="258" hidden="1" customWidth="1"/>
    <col min="2" max="2" width="5" style="258" customWidth="1"/>
    <col min="3" max="4" width="0.625" style="290" customWidth="1"/>
    <col min="5" max="5" width="2.5" style="446" customWidth="1"/>
    <col min="6" max="6" width="3.125" style="447" customWidth="1"/>
    <col min="7" max="7" width="2.5" style="448" customWidth="1"/>
    <col min="8" max="11" width="0.625" style="290" customWidth="1"/>
    <col min="12" max="12" width="2.5" style="446" customWidth="1"/>
    <col min="13" max="13" width="3.125" style="447" customWidth="1"/>
    <col min="14" max="14" width="2.5" style="448" customWidth="1"/>
    <col min="15" max="18" width="0.625" style="290" customWidth="1"/>
    <col min="19" max="19" width="2.5" style="446" customWidth="1"/>
    <col min="20" max="20" width="3.125" style="447" customWidth="1"/>
    <col min="21" max="21" width="2.5" style="448" customWidth="1"/>
    <col min="22" max="23" width="0.625" style="290" customWidth="1"/>
    <col min="24" max="25" width="0.625" style="258" customWidth="1"/>
    <col min="26" max="26" width="2.5" style="258" customWidth="1"/>
    <col min="27" max="27" width="3.125" style="258" customWidth="1"/>
    <col min="28" max="28" width="2.5" style="258" customWidth="1"/>
    <col min="29" max="32" width="0.625" style="258" customWidth="1"/>
    <col min="33" max="33" width="2.5" style="258" customWidth="1"/>
    <col min="34" max="34" width="3.125" style="258" customWidth="1"/>
    <col min="35" max="35" width="2.5" style="258" customWidth="1"/>
    <col min="36" max="37" width="0.625" style="258" customWidth="1"/>
    <col min="38" max="41" width="7.5" style="258" customWidth="1"/>
    <col min="42" max="42" width="0.625" style="258" customWidth="1"/>
    <col min="43" max="43" width="9.375" style="258" hidden="1" customWidth="1"/>
    <col min="44" max="45" width="0.625" style="258" hidden="1" customWidth="1"/>
    <col min="46" max="51" width="6.25" style="258" hidden="1" customWidth="1"/>
    <col min="52" max="56" width="2.375" style="258" customWidth="1"/>
    <col min="57" max="57" width="3.625" style="258" bestFit="1" customWidth="1"/>
    <col min="58" max="58" width="4" style="258" bestFit="1" customWidth="1"/>
    <col min="59" max="60" width="2.375" style="258" customWidth="1"/>
    <col min="61" max="61" width="6.625" style="258" bestFit="1" customWidth="1"/>
    <col min="62" max="62" width="10.75" style="258" bestFit="1" customWidth="1"/>
    <col min="63" max="91" width="2.375" style="258" customWidth="1"/>
    <col min="92" max="16384" width="9" style="258"/>
  </cols>
  <sheetData>
    <row r="1" spans="1:62" ht="24.75" x14ac:dyDescent="0.15">
      <c r="B1" s="445" t="str">
        <f ca="1">"令和"&amp;IF(YEAR(NOW())=2019,"元",YEAR(NOW())-2018)&amp;"年度 第"&amp;YEAR(NOW())-1999&amp;"回 全能登中学校サッカー大会"</f>
        <v>令和6年度 第25回 全能登中学校サッカー大会</v>
      </c>
      <c r="AG1" s="290"/>
      <c r="AH1" s="290"/>
      <c r="AI1" s="446"/>
      <c r="AJ1" s="447"/>
      <c r="AK1" s="448"/>
      <c r="AL1" s="290"/>
      <c r="AM1" s="290"/>
      <c r="AN1" s="290"/>
      <c r="AO1" s="290"/>
      <c r="AP1" s="446"/>
      <c r="AQ1" s="447"/>
      <c r="AR1" s="448"/>
      <c r="AS1" s="290"/>
      <c r="BE1" s="290" t="s">
        <v>170</v>
      </c>
      <c r="BF1" s="258">
        <f>15</f>
        <v>15</v>
      </c>
      <c r="BG1" s="258" t="s">
        <v>84</v>
      </c>
      <c r="BH1" s="258" t="str">
        <f t="shared" ref="BH1:BH10" si="0">CHAR(10)</f>
        <v xml:space="preserve">
</v>
      </c>
      <c r="BI1" s="449" t="s">
        <v>177</v>
      </c>
      <c r="BJ1" s="258" t="str">
        <f>BF1&amp;BG1&amp;BH1&amp;BI1</f>
        <v>15日
9:00</v>
      </c>
    </row>
    <row r="2" spans="1:62" x14ac:dyDescent="0.15">
      <c r="AG2" s="290"/>
      <c r="AH2" s="290"/>
      <c r="AI2" s="446"/>
      <c r="AJ2" s="447"/>
      <c r="AK2" s="448"/>
      <c r="AL2" s="290"/>
      <c r="AM2" s="290"/>
      <c r="AN2" s="290"/>
      <c r="AO2" s="290"/>
      <c r="AP2" s="446"/>
      <c r="AQ2" s="447"/>
      <c r="AR2" s="448"/>
      <c r="AS2" s="290"/>
      <c r="BE2" s="290" t="s">
        <v>167</v>
      </c>
      <c r="BF2" s="258">
        <f>BF1</f>
        <v>15</v>
      </c>
      <c r="BG2" s="258" t="s">
        <v>84</v>
      </c>
      <c r="BH2" s="258" t="str">
        <f t="shared" si="0"/>
        <v xml:space="preserve">
</v>
      </c>
      <c r="BI2" s="449" t="s">
        <v>178</v>
      </c>
      <c r="BJ2" s="258" t="str">
        <f t="shared" ref="BJ2:BJ10" si="1">BF2&amp;BG2&amp;BH2&amp;BI2</f>
        <v>15日
10:15</v>
      </c>
    </row>
    <row r="3" spans="1:62" ht="25.5" customHeight="1" x14ac:dyDescent="0.15">
      <c r="A3" s="290">
        <f>1</f>
        <v>1</v>
      </c>
      <c r="E3" s="805" t="s">
        <v>77</v>
      </c>
      <c r="F3" s="805"/>
      <c r="G3" s="805"/>
      <c r="H3" s="806" t="str">
        <f>IF(ISERROR(MATCH($A3,$AO$33:$AO$52,0)),"",INDEX(予選学校名!$I$22:$K$32,MATCH(INDEX($B$33:$B$52,MATCH($A3,$AO$33:$AO$52,0),1),予選学校名!$I$22:$I$32,0),3)&amp;"立"&amp;INDEX($B$33:$B$52,MATCH($A3,$AO$33:$AO$52,0),1)&amp;"中学校")</f>
        <v/>
      </c>
      <c r="I3" s="806"/>
      <c r="J3" s="806"/>
      <c r="K3" s="806"/>
      <c r="L3" s="806"/>
      <c r="M3" s="806"/>
      <c r="N3" s="806"/>
      <c r="O3" s="806"/>
      <c r="P3" s="806"/>
      <c r="Q3" s="806"/>
      <c r="R3" s="806"/>
      <c r="S3" s="806"/>
      <c r="T3" s="806"/>
      <c r="U3" s="806"/>
      <c r="V3" s="806"/>
      <c r="W3" s="806"/>
      <c r="X3" s="806"/>
      <c r="Y3" s="806"/>
      <c r="Z3" s="806"/>
      <c r="AA3" s="806"/>
      <c r="AB3" s="806"/>
      <c r="AC3" s="806"/>
      <c r="AD3" s="806"/>
      <c r="AE3" s="806"/>
      <c r="AF3" s="450"/>
      <c r="AG3" s="807" t="str">
        <f>IF(H3="","","("&amp;INDEX(予選学校名!$I$22:$K$32,MATCH(INDEX($B$33:$B$52,MATCH($A3,$AO$33:$AO$52,0),1),予選学校名!$I$22:$I$32,0),2)&amp;")")</f>
        <v/>
      </c>
      <c r="AH3" s="807"/>
      <c r="AI3" s="807"/>
      <c r="AJ3" s="807"/>
      <c r="AL3" s="258" t="s">
        <v>78</v>
      </c>
      <c r="AM3" s="451"/>
      <c r="BE3" s="290" t="s">
        <v>171</v>
      </c>
      <c r="BF3" s="258">
        <f t="shared" ref="BF3:BF10" si="2">BF2</f>
        <v>15</v>
      </c>
      <c r="BG3" s="258" t="s">
        <v>84</v>
      </c>
      <c r="BH3" s="258" t="str">
        <f t="shared" si="0"/>
        <v xml:space="preserve">
</v>
      </c>
      <c r="BI3" s="449" t="s">
        <v>179</v>
      </c>
      <c r="BJ3" s="258" t="str">
        <f t="shared" si="1"/>
        <v>15日
11:30</v>
      </c>
    </row>
    <row r="4" spans="1:62" ht="25.5" customHeight="1" x14ac:dyDescent="0.15">
      <c r="A4" s="290">
        <f>A3+1</f>
        <v>2</v>
      </c>
      <c r="E4" s="805" t="s">
        <v>79</v>
      </c>
      <c r="F4" s="805"/>
      <c r="G4" s="805"/>
      <c r="H4" s="806" t="str">
        <f>IF(ISERROR(MATCH($A4,$AO$33:$AO$52,0)),"",INDEX(予選学校名!$I$22:$K$32,MATCH(INDEX($B$33:$B$52,MATCH($A4,$AO$33:$AO$52,0),1),予選学校名!$I$22:$I$32,0),3)&amp;"立"&amp;INDEX($B$33:$B$52,MATCH($A4,$AO$33:$AO$52,0),1)&amp;"中学校")</f>
        <v/>
      </c>
      <c r="I4" s="806"/>
      <c r="J4" s="806"/>
      <c r="K4" s="806"/>
      <c r="L4" s="806"/>
      <c r="M4" s="806"/>
      <c r="N4" s="806"/>
      <c r="O4" s="806"/>
      <c r="P4" s="806"/>
      <c r="Q4" s="806"/>
      <c r="R4" s="806"/>
      <c r="S4" s="806"/>
      <c r="T4" s="806"/>
      <c r="U4" s="806"/>
      <c r="V4" s="806"/>
      <c r="W4" s="806"/>
      <c r="X4" s="806"/>
      <c r="Y4" s="806"/>
      <c r="Z4" s="806"/>
      <c r="AA4" s="806"/>
      <c r="AB4" s="806"/>
      <c r="AC4" s="806"/>
      <c r="AD4" s="806"/>
      <c r="AE4" s="806"/>
      <c r="AF4" s="450"/>
      <c r="AG4" s="807" t="str">
        <f>IF(H4="","","("&amp;INDEX(予選学校名!$I$22:$K$32,MATCH(INDEX($B$33:$B$52,MATCH($A4,$AO$33:$AO$52,0),1),予選学校名!$I$22:$I$32,0),2)&amp;")")</f>
        <v/>
      </c>
      <c r="AH4" s="807"/>
      <c r="AI4" s="807"/>
      <c r="AJ4" s="807"/>
      <c r="AL4" s="258" t="s">
        <v>78</v>
      </c>
      <c r="AM4" s="451"/>
      <c r="BE4" s="290" t="s">
        <v>169</v>
      </c>
      <c r="BF4" s="258">
        <f t="shared" si="2"/>
        <v>15</v>
      </c>
      <c r="BG4" s="258" t="s">
        <v>84</v>
      </c>
      <c r="BH4" s="258" t="str">
        <f t="shared" si="0"/>
        <v xml:space="preserve">
</v>
      </c>
      <c r="BI4" s="449" t="s">
        <v>184</v>
      </c>
      <c r="BJ4" s="258" t="str">
        <f t="shared" si="1"/>
        <v>15日
12:45</v>
      </c>
    </row>
    <row r="5" spans="1:62" ht="25.5" customHeight="1" x14ac:dyDescent="0.15">
      <c r="A5" s="290">
        <f>A4+1</f>
        <v>3</v>
      </c>
      <c r="E5" s="805" t="s">
        <v>80</v>
      </c>
      <c r="F5" s="805"/>
      <c r="G5" s="805"/>
      <c r="H5" s="806" t="str">
        <f>IF(ISERROR(MATCH($A5,$AO$33:$AO$52,0)),"",INDEX(予選学校名!$I$22:$K$32,MATCH(INDEX($B$33:$B$52,MATCH($A5,$AO$33:$AO$52,0),1),予選学校名!$I$22:$I$32,0),3)&amp;"立"&amp;INDEX($B$33:$B$52,MATCH($A5,$AO$33:$AO$52,0),1)&amp;"中学校")</f>
        <v/>
      </c>
      <c r="I5" s="806"/>
      <c r="J5" s="806"/>
      <c r="K5" s="806"/>
      <c r="L5" s="806"/>
      <c r="M5" s="806"/>
      <c r="N5" s="806"/>
      <c r="O5" s="806"/>
      <c r="P5" s="806"/>
      <c r="Q5" s="806"/>
      <c r="R5" s="806"/>
      <c r="S5" s="806"/>
      <c r="T5" s="806"/>
      <c r="U5" s="806"/>
      <c r="V5" s="806"/>
      <c r="W5" s="806"/>
      <c r="X5" s="806"/>
      <c r="Y5" s="806"/>
      <c r="Z5" s="806"/>
      <c r="AA5" s="806"/>
      <c r="AB5" s="806"/>
      <c r="AC5" s="806"/>
      <c r="AD5" s="806"/>
      <c r="AE5" s="806"/>
      <c r="AF5" s="452"/>
      <c r="AG5" s="807" t="str">
        <f>IF(H5="","","("&amp;INDEX(予選学校名!$I$22:$K$32,MATCH(INDEX($B$33:$B$52,MATCH($A5,$AO$33:$AO$52,0),1),予選学校名!$I$22:$I$32,0),2)&amp;")")</f>
        <v/>
      </c>
      <c r="AH5" s="807"/>
      <c r="AI5" s="807"/>
      <c r="AJ5" s="807"/>
      <c r="AK5" s="290"/>
      <c r="AL5" s="290"/>
      <c r="AM5" s="446"/>
      <c r="AN5" s="447"/>
      <c r="AO5" s="448"/>
      <c r="AP5" s="290"/>
      <c r="AQ5" s="290"/>
      <c r="AR5" s="290"/>
      <c r="AS5" s="290"/>
      <c r="BE5" s="290" t="s">
        <v>172</v>
      </c>
      <c r="BF5" s="258">
        <f t="shared" si="2"/>
        <v>15</v>
      </c>
      <c r="BG5" s="258" t="s">
        <v>84</v>
      </c>
      <c r="BH5" s="258" t="str">
        <f t="shared" si="0"/>
        <v xml:space="preserve">
</v>
      </c>
      <c r="BI5" s="449" t="s">
        <v>180</v>
      </c>
      <c r="BJ5" s="258" t="str">
        <f t="shared" si="1"/>
        <v>15日
14:00</v>
      </c>
    </row>
    <row r="6" spans="1:62" ht="25.5" customHeight="1" x14ac:dyDescent="0.15">
      <c r="H6" s="821"/>
      <c r="I6" s="822"/>
      <c r="J6" s="822"/>
      <c r="K6" s="822"/>
      <c r="L6" s="822"/>
      <c r="M6" s="822"/>
      <c r="N6" s="822"/>
      <c r="O6" s="822"/>
      <c r="P6" s="822"/>
      <c r="Q6" s="822"/>
      <c r="R6" s="822"/>
      <c r="S6" s="822"/>
      <c r="T6" s="822"/>
      <c r="U6" s="822"/>
      <c r="V6" s="822"/>
      <c r="W6" s="822"/>
      <c r="X6" s="453"/>
      <c r="Y6" s="296"/>
      <c r="Z6" s="296"/>
      <c r="AA6" s="296"/>
      <c r="AD6" s="290"/>
      <c r="AE6" s="290"/>
      <c r="AF6" s="446"/>
      <c r="AG6" s="447"/>
      <c r="AH6" s="448"/>
      <c r="AI6" s="290"/>
      <c r="AJ6" s="290"/>
      <c r="AK6" s="290"/>
      <c r="AL6" s="290"/>
      <c r="AM6" s="446"/>
      <c r="AN6" s="447"/>
      <c r="AO6" s="448"/>
      <c r="AP6" s="290"/>
      <c r="AQ6" s="290"/>
      <c r="AR6" s="290"/>
      <c r="AS6" s="290"/>
      <c r="BE6" s="290" t="s">
        <v>173</v>
      </c>
      <c r="BF6" s="258">
        <f>BF5+1</f>
        <v>16</v>
      </c>
      <c r="BG6" s="258" t="s">
        <v>84</v>
      </c>
      <c r="BH6" s="258" t="str">
        <f t="shared" si="0"/>
        <v xml:space="preserve">
</v>
      </c>
      <c r="BI6" s="449" t="s">
        <v>177</v>
      </c>
      <c r="BJ6" s="258" t="str">
        <f t="shared" si="1"/>
        <v>16日
9:00</v>
      </c>
    </row>
    <row r="7" spans="1:62" ht="26.25" customHeight="1" x14ac:dyDescent="0.15">
      <c r="AG7" s="290"/>
      <c r="AH7" s="290"/>
      <c r="AI7" s="446"/>
      <c r="AJ7" s="447"/>
      <c r="AK7" s="448"/>
      <c r="AL7" s="290"/>
      <c r="AM7" s="290"/>
      <c r="AN7" s="290"/>
      <c r="AO7" s="454" t="s">
        <v>713</v>
      </c>
      <c r="AP7" s="446"/>
      <c r="AQ7" s="447"/>
      <c r="AR7" s="448"/>
      <c r="AS7" s="290"/>
      <c r="BE7" s="290" t="s">
        <v>168</v>
      </c>
      <c r="BF7" s="258">
        <f t="shared" ref="BF7" si="3">BF6</f>
        <v>16</v>
      </c>
      <c r="BG7" s="258" t="s">
        <v>84</v>
      </c>
      <c r="BH7" s="258" t="str">
        <f t="shared" si="0"/>
        <v xml:space="preserve">
</v>
      </c>
      <c r="BI7" s="449" t="s">
        <v>178</v>
      </c>
      <c r="BJ7" s="258" t="str">
        <f t="shared" si="1"/>
        <v>16日
10:15</v>
      </c>
    </row>
    <row r="8" spans="1:62" s="455" customFormat="1" ht="26.25" customHeight="1" x14ac:dyDescent="0.15">
      <c r="B8" s="456" t="s">
        <v>715</v>
      </c>
      <c r="C8" s="457"/>
      <c r="D8" s="457"/>
      <c r="E8" s="458"/>
      <c r="F8" s="459"/>
      <c r="G8" s="460"/>
      <c r="H8" s="457"/>
      <c r="I8" s="457"/>
      <c r="J8" s="457"/>
      <c r="K8" s="457"/>
      <c r="L8" s="458"/>
      <c r="M8" s="459"/>
      <c r="N8" s="460"/>
      <c r="O8" s="457"/>
      <c r="P8" s="457"/>
      <c r="Q8" s="457"/>
      <c r="R8" s="457"/>
      <c r="S8" s="458"/>
      <c r="T8" s="459"/>
      <c r="U8" s="460"/>
      <c r="V8" s="457"/>
      <c r="W8" s="457"/>
      <c r="AF8" s="457"/>
      <c r="AG8" s="457"/>
      <c r="AH8" s="458"/>
      <c r="AI8" s="459"/>
      <c r="AJ8" s="460"/>
      <c r="AK8" s="457"/>
      <c r="AL8" s="457"/>
      <c r="AM8" s="457"/>
      <c r="AN8" s="457"/>
      <c r="AO8" s="458"/>
      <c r="AP8" s="459"/>
      <c r="AQ8" s="460"/>
      <c r="AR8" s="457"/>
      <c r="AS8" s="457"/>
      <c r="BE8" s="290" t="s">
        <v>166</v>
      </c>
      <c r="BF8" s="258">
        <f>BF7</f>
        <v>16</v>
      </c>
      <c r="BG8" s="258" t="s">
        <v>150</v>
      </c>
      <c r="BH8" s="258" t="str">
        <f t="shared" si="0"/>
        <v xml:space="preserve">
</v>
      </c>
      <c r="BI8" s="449" t="s">
        <v>179</v>
      </c>
      <c r="BJ8" s="258" t="str">
        <f t="shared" si="1"/>
        <v>16日
11:30</v>
      </c>
    </row>
    <row r="9" spans="1:62" ht="30" customHeight="1" x14ac:dyDescent="0.15">
      <c r="B9" s="297"/>
      <c r="C9" s="823" t="str">
        <f>B10</f>
        <v>志賀</v>
      </c>
      <c r="D9" s="823"/>
      <c r="E9" s="823"/>
      <c r="F9" s="823"/>
      <c r="G9" s="823"/>
      <c r="H9" s="823"/>
      <c r="I9" s="823"/>
      <c r="J9" s="823" t="str">
        <f>B14</f>
        <v>中能登</v>
      </c>
      <c r="K9" s="823"/>
      <c r="L9" s="823"/>
      <c r="M9" s="823"/>
      <c r="N9" s="823"/>
      <c r="O9" s="823"/>
      <c r="P9" s="823"/>
      <c r="Q9" s="823" t="str">
        <f>B18</f>
        <v>七尾</v>
      </c>
      <c r="R9" s="823"/>
      <c r="S9" s="823"/>
      <c r="T9" s="823"/>
      <c r="U9" s="823"/>
      <c r="V9" s="823"/>
      <c r="W9" s="823"/>
      <c r="X9" s="823" t="str">
        <f>B22</f>
        <v>輪島</v>
      </c>
      <c r="Y9" s="823"/>
      <c r="Z9" s="823"/>
      <c r="AA9" s="823"/>
      <c r="AB9" s="823"/>
      <c r="AC9" s="823"/>
      <c r="AD9" s="823"/>
      <c r="AE9" s="823" t="str">
        <f>B26</f>
        <v>七尾東部</v>
      </c>
      <c r="AF9" s="823"/>
      <c r="AG9" s="823"/>
      <c r="AH9" s="823"/>
      <c r="AI9" s="823"/>
      <c r="AJ9" s="823"/>
      <c r="AK9" s="823"/>
      <c r="AL9" s="461" t="s">
        <v>88</v>
      </c>
      <c r="AM9" s="462" t="s">
        <v>89</v>
      </c>
      <c r="AN9" s="461" t="s">
        <v>90</v>
      </c>
      <c r="AO9" s="461" t="s">
        <v>91</v>
      </c>
      <c r="AU9" s="290"/>
      <c r="AV9" s="290"/>
      <c r="AW9" s="290"/>
      <c r="BA9" s="449"/>
      <c r="BE9" s="258" t="s">
        <v>174</v>
      </c>
      <c r="BF9" s="258">
        <f t="shared" si="2"/>
        <v>16</v>
      </c>
      <c r="BG9" s="258" t="s">
        <v>150</v>
      </c>
      <c r="BH9" s="258" t="str">
        <f t="shared" si="0"/>
        <v xml:space="preserve">
</v>
      </c>
      <c r="BI9" s="449" t="s">
        <v>184</v>
      </c>
      <c r="BJ9" s="258" t="str">
        <f t="shared" si="1"/>
        <v>16日
12:45</v>
      </c>
    </row>
    <row r="10" spans="1:62" ht="19.5" customHeight="1" x14ac:dyDescent="0.15">
      <c r="A10" s="258">
        <f>1</f>
        <v>1</v>
      </c>
      <c r="B10" s="808" t="str">
        <f>IF(ISERROR(MATCH(A10,予選学校名!$H$22:$H$32,0)),"",INDEX(予選学校名!$H$22:$K$32,MATCH(A10,予選学校名!$H$22:$H$32,0),2))</f>
        <v>志賀</v>
      </c>
      <c r="C10" s="809"/>
      <c r="D10" s="810"/>
      <c r="E10" s="810"/>
      <c r="F10" s="810"/>
      <c r="G10" s="810"/>
      <c r="H10" s="810"/>
      <c r="I10" s="811"/>
      <c r="J10" s="827" t="str">
        <f>VLOOKUP(C14,$BE$1:$BJ$10,6,FALSE)</f>
        <v>15日
9:00</v>
      </c>
      <c r="K10" s="828"/>
      <c r="L10" s="828"/>
      <c r="M10" s="828"/>
      <c r="N10" s="828"/>
      <c r="O10" s="828"/>
      <c r="P10" s="829"/>
      <c r="Q10" s="827" t="str">
        <f>VLOOKUP(C18,$BE$1:$BJ$10,6,FALSE)</f>
        <v>16日
12:45</v>
      </c>
      <c r="R10" s="828"/>
      <c r="S10" s="828"/>
      <c r="T10" s="828"/>
      <c r="U10" s="828"/>
      <c r="V10" s="828"/>
      <c r="W10" s="829"/>
      <c r="X10" s="827" t="str">
        <f>VLOOKUP(C22,$BE$1:$BJ$10,6,FALSE)</f>
        <v>16日
9:00</v>
      </c>
      <c r="Y10" s="828"/>
      <c r="Z10" s="828"/>
      <c r="AA10" s="828"/>
      <c r="AB10" s="828"/>
      <c r="AC10" s="828"/>
      <c r="AD10" s="829"/>
      <c r="AE10" s="827" t="str">
        <f>VLOOKUP(C26,$BE$1:$BJ$10,6,FALSE)</f>
        <v>15日
11:30</v>
      </c>
      <c r="AF10" s="828"/>
      <c r="AG10" s="828"/>
      <c r="AH10" s="828"/>
      <c r="AI10" s="828"/>
      <c r="AJ10" s="828"/>
      <c r="AK10" s="829"/>
      <c r="AL10" s="836" t="str">
        <f>IF(COUNT(C11:AK11)=0,"",COUNTIF(C10:AK10,"○")*3+COUNTIF(X10:AK10,"△"))</f>
        <v/>
      </c>
      <c r="AM10" s="836" t="str">
        <f>IF(AL10="","",SUM(G10:G29)/2-SUM(E10:E29))</f>
        <v/>
      </c>
      <c r="AN10" s="836" t="str">
        <f>IF(AL10="","",SUM(G10:G29)/2)</f>
        <v/>
      </c>
      <c r="AO10" s="836" t="str">
        <f>IF(OR(AL10="",MOD(COUNT(C10:AK10),2)=1),"",RANK(AQ10,$AQ$10:$AQ$29))</f>
        <v/>
      </c>
      <c r="AQ10" s="258" t="str">
        <f>IF(OR(AL10="",MOD(COUNT(C10:AK10),2)=1),"",AL10*10000+AM10*100+AN10)</f>
        <v/>
      </c>
      <c r="BE10" s="258" t="s">
        <v>165</v>
      </c>
      <c r="BF10" s="258">
        <f t="shared" si="2"/>
        <v>16</v>
      </c>
      <c r="BG10" s="258" t="s">
        <v>150</v>
      </c>
      <c r="BH10" s="258" t="str">
        <f t="shared" si="0"/>
        <v xml:space="preserve">
</v>
      </c>
      <c r="BI10" s="449" t="s">
        <v>180</v>
      </c>
      <c r="BJ10" s="258" t="str">
        <f t="shared" si="1"/>
        <v>16日
14:00</v>
      </c>
    </row>
    <row r="11" spans="1:62" ht="19.5" customHeight="1" x14ac:dyDescent="0.15">
      <c r="B11" s="808"/>
      <c r="C11" s="812"/>
      <c r="D11" s="813"/>
      <c r="E11" s="813"/>
      <c r="F11" s="813"/>
      <c r="G11" s="813"/>
      <c r="H11" s="813"/>
      <c r="I11" s="814"/>
      <c r="J11" s="830"/>
      <c r="K11" s="831"/>
      <c r="L11" s="831"/>
      <c r="M11" s="831"/>
      <c r="N11" s="831"/>
      <c r="O11" s="831"/>
      <c r="P11" s="832"/>
      <c r="Q11" s="830"/>
      <c r="R11" s="831"/>
      <c r="S11" s="831"/>
      <c r="T11" s="831"/>
      <c r="U11" s="831"/>
      <c r="V11" s="831"/>
      <c r="W11" s="832"/>
      <c r="X11" s="830"/>
      <c r="Y11" s="831"/>
      <c r="Z11" s="831"/>
      <c r="AA11" s="831"/>
      <c r="AB11" s="831"/>
      <c r="AC11" s="831"/>
      <c r="AD11" s="832"/>
      <c r="AE11" s="830"/>
      <c r="AF11" s="831"/>
      <c r="AG11" s="831"/>
      <c r="AH11" s="831"/>
      <c r="AI11" s="831"/>
      <c r="AJ11" s="831"/>
      <c r="AK11" s="832"/>
      <c r="AL11" s="836"/>
      <c r="AM11" s="836"/>
      <c r="AN11" s="836"/>
      <c r="AO11" s="836"/>
    </row>
    <row r="12" spans="1:62" ht="19.5" customHeight="1" x14ac:dyDescent="0.15">
      <c r="B12" s="808"/>
      <c r="C12" s="812"/>
      <c r="D12" s="813"/>
      <c r="E12" s="813"/>
      <c r="F12" s="813"/>
      <c r="G12" s="813"/>
      <c r="H12" s="813"/>
      <c r="I12" s="814"/>
      <c r="J12" s="830"/>
      <c r="K12" s="831"/>
      <c r="L12" s="831"/>
      <c r="M12" s="831"/>
      <c r="N12" s="831"/>
      <c r="O12" s="831"/>
      <c r="P12" s="832"/>
      <c r="Q12" s="830"/>
      <c r="R12" s="831"/>
      <c r="S12" s="831"/>
      <c r="T12" s="831"/>
      <c r="U12" s="831"/>
      <c r="V12" s="831"/>
      <c r="W12" s="832"/>
      <c r="X12" s="830"/>
      <c r="Y12" s="831"/>
      <c r="Z12" s="831"/>
      <c r="AA12" s="831"/>
      <c r="AB12" s="831"/>
      <c r="AC12" s="831"/>
      <c r="AD12" s="832"/>
      <c r="AE12" s="830"/>
      <c r="AF12" s="831"/>
      <c r="AG12" s="831"/>
      <c r="AH12" s="831"/>
      <c r="AI12" s="831"/>
      <c r="AJ12" s="831"/>
      <c r="AK12" s="832"/>
      <c r="AL12" s="836"/>
      <c r="AM12" s="836"/>
      <c r="AN12" s="836"/>
      <c r="AO12" s="836"/>
    </row>
    <row r="13" spans="1:62" ht="3.75" customHeight="1" x14ac:dyDescent="0.15">
      <c r="B13" s="808"/>
      <c r="C13" s="815"/>
      <c r="D13" s="816"/>
      <c r="E13" s="816"/>
      <c r="F13" s="816"/>
      <c r="G13" s="816"/>
      <c r="H13" s="816"/>
      <c r="I13" s="817"/>
      <c r="J13" s="833"/>
      <c r="K13" s="834"/>
      <c r="L13" s="834"/>
      <c r="M13" s="834"/>
      <c r="N13" s="834"/>
      <c r="O13" s="834"/>
      <c r="P13" s="835"/>
      <c r="Q13" s="833"/>
      <c r="R13" s="834"/>
      <c r="S13" s="834"/>
      <c r="T13" s="834"/>
      <c r="U13" s="834"/>
      <c r="V13" s="834"/>
      <c r="W13" s="835"/>
      <c r="X13" s="833"/>
      <c r="Y13" s="834"/>
      <c r="Z13" s="834"/>
      <c r="AA13" s="834"/>
      <c r="AB13" s="834"/>
      <c r="AC13" s="834"/>
      <c r="AD13" s="835"/>
      <c r="AE13" s="833"/>
      <c r="AF13" s="834"/>
      <c r="AG13" s="834"/>
      <c r="AH13" s="834"/>
      <c r="AI13" s="834"/>
      <c r="AJ13" s="834"/>
      <c r="AK13" s="835"/>
      <c r="AL13" s="836"/>
      <c r="AM13" s="836"/>
      <c r="AN13" s="836"/>
      <c r="AO13" s="836"/>
      <c r="AQ13" s="258" t="str">
        <f t="shared" ref="AQ13" si="4">IF(OR(AL13="",MOD(COUNT(C13:AK13),2)=1),"",AL13*10000+AM13*100+AN13)</f>
        <v/>
      </c>
    </row>
    <row r="14" spans="1:62" ht="19.5" customHeight="1" x14ac:dyDescent="0.15">
      <c r="A14" s="258">
        <f>A10+1</f>
        <v>2</v>
      </c>
      <c r="B14" s="808" t="str">
        <f>IF(ISERROR(MATCH(A14,予選学校名!$H$22:$H$32,0)),"",INDEX(予選学校名!$H$22:$K$32,MATCH(A14,予選学校名!$H$22:$H$32,0),2))</f>
        <v>中能登</v>
      </c>
      <c r="C14" s="837" t="s">
        <v>170</v>
      </c>
      <c r="D14" s="838"/>
      <c r="E14" s="838"/>
      <c r="F14" s="838"/>
      <c r="G14" s="838"/>
      <c r="H14" s="838"/>
      <c r="I14" s="839"/>
      <c r="J14" s="809"/>
      <c r="K14" s="810"/>
      <c r="L14" s="810"/>
      <c r="M14" s="810"/>
      <c r="N14" s="810"/>
      <c r="O14" s="810"/>
      <c r="P14" s="811"/>
      <c r="Q14" s="827" t="str">
        <f>VLOOKUP(J18,$BE$1:$BJ$10,6,FALSE)</f>
        <v>15日
12:45</v>
      </c>
      <c r="R14" s="828"/>
      <c r="S14" s="828"/>
      <c r="T14" s="828"/>
      <c r="U14" s="828"/>
      <c r="V14" s="828"/>
      <c r="W14" s="829"/>
      <c r="X14" s="827" t="str">
        <f>VLOOKUP(J22,$BE$1:$BJ$10,6,FALSE)</f>
        <v>16日
11:30</v>
      </c>
      <c r="Y14" s="828"/>
      <c r="Z14" s="828"/>
      <c r="AA14" s="828"/>
      <c r="AB14" s="828"/>
      <c r="AC14" s="828"/>
      <c r="AD14" s="829"/>
      <c r="AE14" s="827" t="str">
        <f>VLOOKUP(J26,$BE$1:$BJ$10,6,FALSE)</f>
        <v>16日
14:00</v>
      </c>
      <c r="AF14" s="828"/>
      <c r="AG14" s="828"/>
      <c r="AH14" s="828"/>
      <c r="AI14" s="828"/>
      <c r="AJ14" s="828"/>
      <c r="AK14" s="829"/>
      <c r="AL14" s="836" t="str">
        <f>IF(COUNT(C15:AK15)=0,"",COUNTIF(C14:AK14,"○")*3+COUNTIF(X14:AK14,"△"))</f>
        <v/>
      </c>
      <c r="AM14" s="836" t="str">
        <f>IF(AL14="","",SUM(N10:N29)/2-SUM(L10:L29))</f>
        <v/>
      </c>
      <c r="AN14" s="836" t="str">
        <f>IF(AL14="","",SUM(N10:N29)/2)</f>
        <v/>
      </c>
      <c r="AO14" s="836" t="str">
        <f>IF(OR(AL14="",MOD(COUNT(C14:AK14),2)=1),"",RANK(AQ14,$AQ$10:$AQ$29))</f>
        <v/>
      </c>
    </row>
    <row r="15" spans="1:62" ht="19.5" customHeight="1" x14ac:dyDescent="0.15">
      <c r="B15" s="808"/>
      <c r="C15" s="840"/>
      <c r="D15" s="841"/>
      <c r="E15" s="841"/>
      <c r="F15" s="841"/>
      <c r="G15" s="841"/>
      <c r="H15" s="841"/>
      <c r="I15" s="842"/>
      <c r="J15" s="812"/>
      <c r="K15" s="813"/>
      <c r="L15" s="813"/>
      <c r="M15" s="813"/>
      <c r="N15" s="813"/>
      <c r="O15" s="813"/>
      <c r="P15" s="814"/>
      <c r="Q15" s="830"/>
      <c r="R15" s="831"/>
      <c r="S15" s="831"/>
      <c r="T15" s="831"/>
      <c r="U15" s="831"/>
      <c r="V15" s="831"/>
      <c r="W15" s="832"/>
      <c r="X15" s="830"/>
      <c r="Y15" s="831"/>
      <c r="Z15" s="831"/>
      <c r="AA15" s="831"/>
      <c r="AB15" s="831"/>
      <c r="AC15" s="831"/>
      <c r="AD15" s="832"/>
      <c r="AE15" s="830"/>
      <c r="AF15" s="831"/>
      <c r="AG15" s="831"/>
      <c r="AH15" s="831"/>
      <c r="AI15" s="831"/>
      <c r="AJ15" s="831"/>
      <c r="AK15" s="832"/>
      <c r="AL15" s="836"/>
      <c r="AM15" s="836"/>
      <c r="AN15" s="836"/>
      <c r="AO15" s="836"/>
    </row>
    <row r="16" spans="1:62" ht="19.5" customHeight="1" x14ac:dyDescent="0.15">
      <c r="B16" s="808"/>
      <c r="C16" s="840"/>
      <c r="D16" s="841"/>
      <c r="E16" s="841"/>
      <c r="F16" s="841"/>
      <c r="G16" s="841"/>
      <c r="H16" s="841"/>
      <c r="I16" s="842"/>
      <c r="J16" s="812"/>
      <c r="K16" s="813"/>
      <c r="L16" s="813"/>
      <c r="M16" s="813"/>
      <c r="N16" s="813"/>
      <c r="O16" s="813"/>
      <c r="P16" s="814"/>
      <c r="Q16" s="830"/>
      <c r="R16" s="831"/>
      <c r="S16" s="831"/>
      <c r="T16" s="831"/>
      <c r="U16" s="831"/>
      <c r="V16" s="831"/>
      <c r="W16" s="832"/>
      <c r="X16" s="830"/>
      <c r="Y16" s="831"/>
      <c r="Z16" s="831"/>
      <c r="AA16" s="831"/>
      <c r="AB16" s="831"/>
      <c r="AC16" s="831"/>
      <c r="AD16" s="832"/>
      <c r="AE16" s="830"/>
      <c r="AF16" s="831"/>
      <c r="AG16" s="831"/>
      <c r="AH16" s="831"/>
      <c r="AI16" s="831"/>
      <c r="AJ16" s="831"/>
      <c r="AK16" s="832"/>
      <c r="AL16" s="836"/>
      <c r="AM16" s="836"/>
      <c r="AN16" s="836"/>
      <c r="AO16" s="836"/>
      <c r="AQ16" s="258" t="str">
        <f t="shared" ref="AQ16" si="5">IF(OR(AL16="",MOD(COUNT(C16:AK16),2)=1),"",AL16*10000+AM16*100+AN16)</f>
        <v/>
      </c>
    </row>
    <row r="17" spans="1:61" ht="3.75" customHeight="1" x14ac:dyDescent="0.15">
      <c r="B17" s="808"/>
      <c r="C17" s="843"/>
      <c r="D17" s="844"/>
      <c r="E17" s="844"/>
      <c r="F17" s="844"/>
      <c r="G17" s="844"/>
      <c r="H17" s="844"/>
      <c r="I17" s="845"/>
      <c r="J17" s="815"/>
      <c r="K17" s="816"/>
      <c r="L17" s="816"/>
      <c r="M17" s="816"/>
      <c r="N17" s="816"/>
      <c r="O17" s="816"/>
      <c r="P17" s="817"/>
      <c r="Q17" s="833"/>
      <c r="R17" s="834"/>
      <c r="S17" s="834"/>
      <c r="T17" s="834"/>
      <c r="U17" s="834"/>
      <c r="V17" s="834"/>
      <c r="W17" s="835"/>
      <c r="X17" s="833"/>
      <c r="Y17" s="834"/>
      <c r="Z17" s="834"/>
      <c r="AA17" s="834"/>
      <c r="AB17" s="834"/>
      <c r="AC17" s="834"/>
      <c r="AD17" s="835"/>
      <c r="AE17" s="833"/>
      <c r="AF17" s="834"/>
      <c r="AG17" s="834"/>
      <c r="AH17" s="834"/>
      <c r="AI17" s="834"/>
      <c r="AJ17" s="834"/>
      <c r="AK17" s="835"/>
      <c r="AL17" s="836"/>
      <c r="AM17" s="836"/>
      <c r="AN17" s="836"/>
      <c r="AO17" s="836"/>
    </row>
    <row r="18" spans="1:61" ht="19.5" customHeight="1" x14ac:dyDescent="0.15">
      <c r="A18" s="258">
        <f t="shared" ref="A18" si="6">A14+1</f>
        <v>3</v>
      </c>
      <c r="B18" s="808" t="str">
        <f>IF(ISERROR(MATCH(A18,予選学校名!$H$22:$H$32,0)),"",INDEX(予選学校名!$H$22:$K$32,MATCH(A18,予選学校名!$H$22:$H$32,0),2))</f>
        <v>七尾</v>
      </c>
      <c r="C18" s="837" t="s">
        <v>174</v>
      </c>
      <c r="D18" s="838"/>
      <c r="E18" s="838"/>
      <c r="F18" s="838"/>
      <c r="G18" s="838"/>
      <c r="H18" s="838"/>
      <c r="I18" s="839"/>
      <c r="J18" s="837" t="s">
        <v>169</v>
      </c>
      <c r="K18" s="838"/>
      <c r="L18" s="838"/>
      <c r="M18" s="838"/>
      <c r="N18" s="838"/>
      <c r="O18" s="838"/>
      <c r="P18" s="839"/>
      <c r="Q18" s="809"/>
      <c r="R18" s="810"/>
      <c r="S18" s="810"/>
      <c r="T18" s="810"/>
      <c r="U18" s="810"/>
      <c r="V18" s="810"/>
      <c r="W18" s="811"/>
      <c r="X18" s="827" t="str">
        <f>VLOOKUP(Q22,$BE$1:$BJ$10,6,FALSE)</f>
        <v>15日
10:15</v>
      </c>
      <c r="Y18" s="828"/>
      <c r="Z18" s="828"/>
      <c r="AA18" s="828"/>
      <c r="AB18" s="828"/>
      <c r="AC18" s="828"/>
      <c r="AD18" s="829"/>
      <c r="AE18" s="827" t="str">
        <f>VLOOKUP(Q26,$BE$1:$BJ$10,6,FALSE)</f>
        <v>16日
10:15</v>
      </c>
      <c r="AF18" s="828"/>
      <c r="AG18" s="828"/>
      <c r="AH18" s="828"/>
      <c r="AI18" s="828"/>
      <c r="AJ18" s="828"/>
      <c r="AK18" s="829"/>
      <c r="AL18" s="836" t="str">
        <f t="shared" ref="AL18" si="7">IF(COUNT(C19:AK19)=0,"",COUNTIF(C18:AK18,"○")*3+COUNTIF(X18:AK18,"△"))</f>
        <v/>
      </c>
      <c r="AM18" s="836" t="str">
        <f>IF(AL18="","",SUM(U10:U29)/2-SUM(S10:S29))</f>
        <v/>
      </c>
      <c r="AN18" s="836" t="str">
        <f>IF(AL18="","",SUM(U10:U29)/2)</f>
        <v/>
      </c>
      <c r="AO18" s="836" t="str">
        <f t="shared" ref="AO18" si="8">IF(OR(AL18="",MOD(COUNT(C18:AK18),2)=1),"",RANK(AQ18,$AQ$10:$AQ$29))</f>
        <v/>
      </c>
    </row>
    <row r="19" spans="1:61" ht="19.5" customHeight="1" x14ac:dyDescent="0.15">
      <c r="B19" s="808"/>
      <c r="C19" s="840"/>
      <c r="D19" s="841"/>
      <c r="E19" s="841"/>
      <c r="F19" s="841"/>
      <c r="G19" s="841"/>
      <c r="H19" s="841"/>
      <c r="I19" s="842"/>
      <c r="J19" s="840"/>
      <c r="K19" s="841"/>
      <c r="L19" s="841"/>
      <c r="M19" s="841"/>
      <c r="N19" s="841"/>
      <c r="O19" s="841"/>
      <c r="P19" s="842"/>
      <c r="Q19" s="812"/>
      <c r="R19" s="813"/>
      <c r="S19" s="813"/>
      <c r="T19" s="813"/>
      <c r="U19" s="813"/>
      <c r="V19" s="813"/>
      <c r="W19" s="814"/>
      <c r="X19" s="830"/>
      <c r="Y19" s="831"/>
      <c r="Z19" s="831"/>
      <c r="AA19" s="831"/>
      <c r="AB19" s="831"/>
      <c r="AC19" s="831"/>
      <c r="AD19" s="832"/>
      <c r="AE19" s="830"/>
      <c r="AF19" s="831"/>
      <c r="AG19" s="831"/>
      <c r="AH19" s="831"/>
      <c r="AI19" s="831"/>
      <c r="AJ19" s="831"/>
      <c r="AK19" s="832"/>
      <c r="AL19" s="836"/>
      <c r="AM19" s="836"/>
      <c r="AN19" s="836"/>
      <c r="AO19" s="836"/>
      <c r="AQ19" s="258" t="str">
        <f t="shared" ref="AQ19" si="9">IF(OR(AL19="",MOD(COUNT(C19:AK19),2)=1),"",AL19*10000+AM19*100+AN19)</f>
        <v/>
      </c>
    </row>
    <row r="20" spans="1:61" ht="19.5" customHeight="1" x14ac:dyDescent="0.15">
      <c r="B20" s="808"/>
      <c r="C20" s="840"/>
      <c r="D20" s="841"/>
      <c r="E20" s="841"/>
      <c r="F20" s="841"/>
      <c r="G20" s="841"/>
      <c r="H20" s="841"/>
      <c r="I20" s="842"/>
      <c r="J20" s="840"/>
      <c r="K20" s="841"/>
      <c r="L20" s="841"/>
      <c r="M20" s="841"/>
      <c r="N20" s="841"/>
      <c r="O20" s="841"/>
      <c r="P20" s="842"/>
      <c r="Q20" s="812"/>
      <c r="R20" s="813"/>
      <c r="S20" s="813"/>
      <c r="T20" s="813"/>
      <c r="U20" s="813"/>
      <c r="V20" s="813"/>
      <c r="W20" s="814"/>
      <c r="X20" s="830"/>
      <c r="Y20" s="831"/>
      <c r="Z20" s="831"/>
      <c r="AA20" s="831"/>
      <c r="AB20" s="831"/>
      <c r="AC20" s="831"/>
      <c r="AD20" s="832"/>
      <c r="AE20" s="830"/>
      <c r="AF20" s="831"/>
      <c r="AG20" s="831"/>
      <c r="AH20" s="831"/>
      <c r="AI20" s="831"/>
      <c r="AJ20" s="831"/>
      <c r="AK20" s="832"/>
      <c r="AL20" s="836"/>
      <c r="AM20" s="836"/>
      <c r="AN20" s="836"/>
      <c r="AO20" s="836"/>
    </row>
    <row r="21" spans="1:61" ht="3.75" customHeight="1" x14ac:dyDescent="0.15">
      <c r="B21" s="808"/>
      <c r="C21" s="843"/>
      <c r="D21" s="844"/>
      <c r="E21" s="844"/>
      <c r="F21" s="844"/>
      <c r="G21" s="844"/>
      <c r="H21" s="844"/>
      <c r="I21" s="845"/>
      <c r="J21" s="843"/>
      <c r="K21" s="844"/>
      <c r="L21" s="844"/>
      <c r="M21" s="844"/>
      <c r="N21" s="844"/>
      <c r="O21" s="844"/>
      <c r="P21" s="845"/>
      <c r="Q21" s="815"/>
      <c r="R21" s="816"/>
      <c r="S21" s="816"/>
      <c r="T21" s="816"/>
      <c r="U21" s="816"/>
      <c r="V21" s="816"/>
      <c r="W21" s="817"/>
      <c r="X21" s="833"/>
      <c r="Y21" s="834"/>
      <c r="Z21" s="834"/>
      <c r="AA21" s="834"/>
      <c r="AB21" s="834"/>
      <c r="AC21" s="834"/>
      <c r="AD21" s="835"/>
      <c r="AE21" s="833"/>
      <c r="AF21" s="834"/>
      <c r="AG21" s="834"/>
      <c r="AH21" s="834"/>
      <c r="AI21" s="834"/>
      <c r="AJ21" s="834"/>
      <c r="AK21" s="835"/>
      <c r="AL21" s="836"/>
      <c r="AM21" s="836"/>
      <c r="AN21" s="836"/>
      <c r="AO21" s="836"/>
    </row>
    <row r="22" spans="1:61" ht="19.5" customHeight="1" x14ac:dyDescent="0.15">
      <c r="A22" s="258">
        <f t="shared" ref="A22" si="10">A18+1</f>
        <v>4</v>
      </c>
      <c r="B22" s="808" t="str">
        <f>IF(ISERROR(MATCH(A22,予選学校名!$H$22:$H$32,0)),"",INDEX(予選学校名!$H$22:$K$32,MATCH(A22,予選学校名!$H$22:$H$32,0),2))</f>
        <v>輪島</v>
      </c>
      <c r="C22" s="837" t="s">
        <v>173</v>
      </c>
      <c r="D22" s="838"/>
      <c r="E22" s="838"/>
      <c r="F22" s="838"/>
      <c r="G22" s="838"/>
      <c r="H22" s="838"/>
      <c r="I22" s="839"/>
      <c r="J22" s="837" t="s">
        <v>166</v>
      </c>
      <c r="K22" s="838"/>
      <c r="L22" s="838"/>
      <c r="M22" s="838"/>
      <c r="N22" s="838"/>
      <c r="O22" s="838"/>
      <c r="P22" s="839"/>
      <c r="Q22" s="837" t="s">
        <v>167</v>
      </c>
      <c r="R22" s="838"/>
      <c r="S22" s="838"/>
      <c r="T22" s="838"/>
      <c r="U22" s="838"/>
      <c r="V22" s="838"/>
      <c r="W22" s="839"/>
      <c r="X22" s="809"/>
      <c r="Y22" s="810"/>
      <c r="Z22" s="810"/>
      <c r="AA22" s="810"/>
      <c r="AB22" s="810"/>
      <c r="AC22" s="810"/>
      <c r="AD22" s="811"/>
      <c r="AE22" s="827" t="str">
        <f>VLOOKUP(X26,$BE$1:$BJ$10,6,FALSE)</f>
        <v>15日
14:00</v>
      </c>
      <c r="AF22" s="828"/>
      <c r="AG22" s="828"/>
      <c r="AH22" s="828"/>
      <c r="AI22" s="828"/>
      <c r="AJ22" s="828"/>
      <c r="AK22" s="829"/>
      <c r="AL22" s="836" t="str">
        <f t="shared" ref="AL22" si="11">IF(COUNT(C23:AK23)=0,"",COUNTIF(C22:AK22,"○")*3+COUNTIF(X22:AK22,"△"))</f>
        <v/>
      </c>
      <c r="AM22" s="836" t="str">
        <f>IF(AL22="","",SUM(AB10:AB29)/2-SUM(Z10:Z29))</f>
        <v/>
      </c>
      <c r="AN22" s="836" t="str">
        <f>IF(AL22="","",SUM(AB10:AB29)/2)</f>
        <v/>
      </c>
      <c r="AO22" s="836" t="str">
        <f t="shared" ref="AO22" si="12">IF(OR(AL22="",MOD(COUNT(C22:AK22),2)=1),"",RANK(AQ22,$AQ$10:$AQ$29))</f>
        <v/>
      </c>
      <c r="AQ22" s="258" t="str">
        <f t="shared" ref="AQ22" si="13">IF(OR(AL22="",MOD(COUNT(C22:AK22),2)=1),"",AL22*10000+AM22*100+AN22)</f>
        <v/>
      </c>
    </row>
    <row r="23" spans="1:61" ht="19.5" customHeight="1" x14ac:dyDescent="0.15">
      <c r="B23" s="808"/>
      <c r="C23" s="840"/>
      <c r="D23" s="841"/>
      <c r="E23" s="841"/>
      <c r="F23" s="841"/>
      <c r="G23" s="841"/>
      <c r="H23" s="841"/>
      <c r="I23" s="842"/>
      <c r="J23" s="840"/>
      <c r="K23" s="841"/>
      <c r="L23" s="841"/>
      <c r="M23" s="841"/>
      <c r="N23" s="841"/>
      <c r="O23" s="841"/>
      <c r="P23" s="842"/>
      <c r="Q23" s="840"/>
      <c r="R23" s="841"/>
      <c r="S23" s="841"/>
      <c r="T23" s="841"/>
      <c r="U23" s="841"/>
      <c r="V23" s="841"/>
      <c r="W23" s="842"/>
      <c r="X23" s="812"/>
      <c r="Y23" s="813"/>
      <c r="Z23" s="813"/>
      <c r="AA23" s="813"/>
      <c r="AB23" s="813"/>
      <c r="AC23" s="813"/>
      <c r="AD23" s="814"/>
      <c r="AE23" s="830"/>
      <c r="AF23" s="831"/>
      <c r="AG23" s="831"/>
      <c r="AH23" s="831"/>
      <c r="AI23" s="831"/>
      <c r="AJ23" s="831"/>
      <c r="AK23" s="832"/>
      <c r="AL23" s="836"/>
      <c r="AM23" s="836"/>
      <c r="AN23" s="836"/>
      <c r="AO23" s="836"/>
    </row>
    <row r="24" spans="1:61" ht="19.5" customHeight="1" x14ac:dyDescent="0.15">
      <c r="B24" s="808"/>
      <c r="C24" s="840"/>
      <c r="D24" s="841"/>
      <c r="E24" s="841"/>
      <c r="F24" s="841"/>
      <c r="G24" s="841"/>
      <c r="H24" s="841"/>
      <c r="I24" s="842"/>
      <c r="J24" s="840"/>
      <c r="K24" s="841"/>
      <c r="L24" s="841"/>
      <c r="M24" s="841"/>
      <c r="N24" s="841"/>
      <c r="O24" s="841"/>
      <c r="P24" s="842"/>
      <c r="Q24" s="840"/>
      <c r="R24" s="841"/>
      <c r="S24" s="841"/>
      <c r="T24" s="841"/>
      <c r="U24" s="841"/>
      <c r="V24" s="841"/>
      <c r="W24" s="842"/>
      <c r="X24" s="812"/>
      <c r="Y24" s="813"/>
      <c r="Z24" s="813"/>
      <c r="AA24" s="813"/>
      <c r="AB24" s="813"/>
      <c r="AC24" s="813"/>
      <c r="AD24" s="814"/>
      <c r="AE24" s="830"/>
      <c r="AF24" s="831"/>
      <c r="AG24" s="831"/>
      <c r="AH24" s="831"/>
      <c r="AI24" s="831"/>
      <c r="AJ24" s="831"/>
      <c r="AK24" s="832"/>
      <c r="AL24" s="836"/>
      <c r="AM24" s="836"/>
      <c r="AN24" s="836"/>
      <c r="AO24" s="836"/>
    </row>
    <row r="25" spans="1:61" ht="3.75" customHeight="1" x14ac:dyDescent="0.15">
      <c r="B25" s="808"/>
      <c r="C25" s="843"/>
      <c r="D25" s="844"/>
      <c r="E25" s="844"/>
      <c r="F25" s="844"/>
      <c r="G25" s="844"/>
      <c r="H25" s="844"/>
      <c r="I25" s="845"/>
      <c r="J25" s="843"/>
      <c r="K25" s="844"/>
      <c r="L25" s="844"/>
      <c r="M25" s="844"/>
      <c r="N25" s="844"/>
      <c r="O25" s="844"/>
      <c r="P25" s="845"/>
      <c r="Q25" s="843"/>
      <c r="R25" s="844"/>
      <c r="S25" s="844"/>
      <c r="T25" s="844"/>
      <c r="U25" s="844"/>
      <c r="V25" s="844"/>
      <c r="W25" s="845"/>
      <c r="X25" s="815"/>
      <c r="Y25" s="816"/>
      <c r="Z25" s="816"/>
      <c r="AA25" s="816"/>
      <c r="AB25" s="816"/>
      <c r="AC25" s="816"/>
      <c r="AD25" s="817"/>
      <c r="AE25" s="833"/>
      <c r="AF25" s="834"/>
      <c r="AG25" s="834"/>
      <c r="AH25" s="834"/>
      <c r="AI25" s="834"/>
      <c r="AJ25" s="834"/>
      <c r="AK25" s="835"/>
      <c r="AL25" s="836"/>
      <c r="AM25" s="836"/>
      <c r="AN25" s="836"/>
      <c r="AO25" s="836"/>
      <c r="AQ25" s="258" t="str">
        <f t="shared" ref="AQ25" si="14">IF(OR(AL25="",MOD(COUNT(C25:AK25),2)=1),"",AL25*10000+AM25*100+AN25)</f>
        <v/>
      </c>
    </row>
    <row r="26" spans="1:61" ht="19.5" customHeight="1" x14ac:dyDescent="0.15">
      <c r="A26" s="258">
        <f t="shared" ref="A26" si="15">A22+1</f>
        <v>5</v>
      </c>
      <c r="B26" s="808" t="str">
        <f>IF(ISERROR(MATCH(A26,予選学校名!$H$22:$H$32,0)),"",INDEX(予選学校名!$H$22:$K$32,MATCH(A26,予選学校名!$H$22:$H$32,0),2))</f>
        <v>七尾東部</v>
      </c>
      <c r="C26" s="837" t="s">
        <v>171</v>
      </c>
      <c r="D26" s="838"/>
      <c r="E26" s="838"/>
      <c r="F26" s="838"/>
      <c r="G26" s="838"/>
      <c r="H26" s="838"/>
      <c r="I26" s="839"/>
      <c r="J26" s="837" t="s">
        <v>165</v>
      </c>
      <c r="K26" s="838"/>
      <c r="L26" s="838"/>
      <c r="M26" s="838"/>
      <c r="N26" s="838"/>
      <c r="O26" s="838"/>
      <c r="P26" s="839"/>
      <c r="Q26" s="837" t="s">
        <v>168</v>
      </c>
      <c r="R26" s="838"/>
      <c r="S26" s="838"/>
      <c r="T26" s="838"/>
      <c r="U26" s="838"/>
      <c r="V26" s="838"/>
      <c r="W26" s="839"/>
      <c r="X26" s="837" t="s">
        <v>172</v>
      </c>
      <c r="Y26" s="838"/>
      <c r="Z26" s="838"/>
      <c r="AA26" s="838"/>
      <c r="AB26" s="838"/>
      <c r="AC26" s="838"/>
      <c r="AD26" s="839"/>
      <c r="AE26" s="809"/>
      <c r="AF26" s="810"/>
      <c r="AG26" s="810"/>
      <c r="AH26" s="810"/>
      <c r="AI26" s="810"/>
      <c r="AJ26" s="810"/>
      <c r="AK26" s="811"/>
      <c r="AL26" s="836" t="str">
        <f t="shared" ref="AL26" si="16">IF(COUNT(C27:AK27)=0,"",COUNTIF(C26:AK26,"○")*3+COUNTIF(X26:AK26,"△"))</f>
        <v/>
      </c>
      <c r="AM26" s="836" t="str">
        <f>IF(AL26="","",SUM(AI10:AI29)/2-SUM(AG10:AG29))</f>
        <v/>
      </c>
      <c r="AN26" s="836" t="str">
        <f>IF(AL26="","",SUM(AI10:AI29)/2)</f>
        <v/>
      </c>
      <c r="AO26" s="836" t="str">
        <f t="shared" ref="AO26" si="17">IF(OR(AL26="",MOD(COUNT(C26:AK26),2)=1),"",RANK(AQ26,$AQ$10:$AQ$29))</f>
        <v/>
      </c>
    </row>
    <row r="27" spans="1:61" ht="19.5" customHeight="1" x14ac:dyDescent="0.15">
      <c r="B27" s="808"/>
      <c r="C27" s="840"/>
      <c r="D27" s="841"/>
      <c r="E27" s="841"/>
      <c r="F27" s="841"/>
      <c r="G27" s="841"/>
      <c r="H27" s="841"/>
      <c r="I27" s="842"/>
      <c r="J27" s="840"/>
      <c r="K27" s="841"/>
      <c r="L27" s="841"/>
      <c r="M27" s="841"/>
      <c r="N27" s="841"/>
      <c r="O27" s="841"/>
      <c r="P27" s="842"/>
      <c r="Q27" s="840"/>
      <c r="R27" s="841"/>
      <c r="S27" s="841"/>
      <c r="T27" s="841"/>
      <c r="U27" s="841"/>
      <c r="V27" s="841"/>
      <c r="W27" s="842"/>
      <c r="X27" s="840"/>
      <c r="Y27" s="841"/>
      <c r="Z27" s="841"/>
      <c r="AA27" s="841"/>
      <c r="AB27" s="841"/>
      <c r="AC27" s="841"/>
      <c r="AD27" s="842"/>
      <c r="AE27" s="812"/>
      <c r="AF27" s="813"/>
      <c r="AG27" s="813"/>
      <c r="AH27" s="813"/>
      <c r="AI27" s="813"/>
      <c r="AJ27" s="813"/>
      <c r="AK27" s="814"/>
      <c r="AL27" s="836"/>
      <c r="AM27" s="836"/>
      <c r="AN27" s="836"/>
      <c r="AO27" s="836"/>
    </row>
    <row r="28" spans="1:61" ht="19.5" customHeight="1" x14ac:dyDescent="0.15">
      <c r="B28" s="808"/>
      <c r="C28" s="840"/>
      <c r="D28" s="841"/>
      <c r="E28" s="841"/>
      <c r="F28" s="841"/>
      <c r="G28" s="841"/>
      <c r="H28" s="841"/>
      <c r="I28" s="842"/>
      <c r="J28" s="840"/>
      <c r="K28" s="841"/>
      <c r="L28" s="841"/>
      <c r="M28" s="841"/>
      <c r="N28" s="841"/>
      <c r="O28" s="841"/>
      <c r="P28" s="842"/>
      <c r="Q28" s="840"/>
      <c r="R28" s="841"/>
      <c r="S28" s="841"/>
      <c r="T28" s="841"/>
      <c r="U28" s="841"/>
      <c r="V28" s="841"/>
      <c r="W28" s="842"/>
      <c r="X28" s="840"/>
      <c r="Y28" s="841"/>
      <c r="Z28" s="841"/>
      <c r="AA28" s="841"/>
      <c r="AB28" s="841"/>
      <c r="AC28" s="841"/>
      <c r="AD28" s="842"/>
      <c r="AE28" s="812"/>
      <c r="AF28" s="813"/>
      <c r="AG28" s="813"/>
      <c r="AH28" s="813"/>
      <c r="AI28" s="813"/>
      <c r="AJ28" s="813"/>
      <c r="AK28" s="814"/>
      <c r="AL28" s="836"/>
      <c r="AM28" s="836"/>
      <c r="AN28" s="836"/>
      <c r="AO28" s="836"/>
      <c r="AQ28" s="258" t="str">
        <f t="shared" ref="AQ28" si="18">IF(OR(AL28="",MOD(COUNT(C28:AK28),2)=1),"",AL28*10000+AM28*100+AN28)</f>
        <v/>
      </c>
    </row>
    <row r="29" spans="1:61" ht="3.75" customHeight="1" x14ac:dyDescent="0.15">
      <c r="B29" s="808"/>
      <c r="C29" s="843"/>
      <c r="D29" s="844"/>
      <c r="E29" s="844"/>
      <c r="F29" s="844"/>
      <c r="G29" s="844"/>
      <c r="H29" s="844"/>
      <c r="I29" s="845"/>
      <c r="J29" s="843"/>
      <c r="K29" s="844"/>
      <c r="L29" s="844"/>
      <c r="M29" s="844"/>
      <c r="N29" s="844"/>
      <c r="O29" s="844"/>
      <c r="P29" s="845"/>
      <c r="Q29" s="843"/>
      <c r="R29" s="844"/>
      <c r="S29" s="844"/>
      <c r="T29" s="844"/>
      <c r="U29" s="844"/>
      <c r="V29" s="844"/>
      <c r="W29" s="845"/>
      <c r="X29" s="843"/>
      <c r="Y29" s="844"/>
      <c r="Z29" s="844"/>
      <c r="AA29" s="844"/>
      <c r="AB29" s="844"/>
      <c r="AC29" s="844"/>
      <c r="AD29" s="845"/>
      <c r="AE29" s="815"/>
      <c r="AF29" s="816"/>
      <c r="AG29" s="816"/>
      <c r="AH29" s="816"/>
      <c r="AI29" s="816"/>
      <c r="AJ29" s="816"/>
      <c r="AK29" s="817"/>
      <c r="AL29" s="836"/>
      <c r="AM29" s="836"/>
      <c r="AN29" s="836"/>
      <c r="AO29" s="836"/>
    </row>
    <row r="30" spans="1:61" ht="26.25" customHeight="1" x14ac:dyDescent="0.15"/>
    <row r="31" spans="1:61" ht="26.25" customHeight="1" x14ac:dyDescent="0.15">
      <c r="B31" s="456" t="s">
        <v>714</v>
      </c>
      <c r="C31" s="457"/>
      <c r="D31" s="457"/>
      <c r="E31" s="458"/>
      <c r="F31" s="459"/>
      <c r="G31" s="460"/>
      <c r="H31" s="457"/>
      <c r="I31" s="457"/>
      <c r="J31" s="457"/>
      <c r="K31" s="457"/>
      <c r="L31" s="458"/>
      <c r="M31" s="459"/>
      <c r="N31" s="460"/>
      <c r="O31" s="457"/>
      <c r="P31" s="457"/>
      <c r="Q31" s="457"/>
      <c r="R31" s="457"/>
      <c r="S31" s="458"/>
      <c r="T31" s="459"/>
      <c r="U31" s="460"/>
      <c r="V31" s="457"/>
      <c r="W31" s="457"/>
      <c r="X31" s="455"/>
      <c r="Y31" s="455"/>
      <c r="Z31" s="455"/>
      <c r="AA31" s="455"/>
      <c r="AB31" s="455"/>
      <c r="AC31" s="455"/>
      <c r="AD31" s="455"/>
      <c r="AE31" s="455"/>
      <c r="AF31" s="457"/>
      <c r="AG31" s="457"/>
      <c r="AH31" s="458"/>
      <c r="AI31" s="459"/>
      <c r="AJ31" s="460"/>
      <c r="AK31" s="457"/>
      <c r="AL31" s="457"/>
      <c r="AM31" s="457"/>
      <c r="AN31" s="457"/>
      <c r="AO31" s="458"/>
    </row>
    <row r="32" spans="1:61" ht="30" customHeight="1" x14ac:dyDescent="0.15">
      <c r="B32" s="297"/>
      <c r="C32" s="823" t="str">
        <f>B33</f>
        <v>志賀</v>
      </c>
      <c r="D32" s="823"/>
      <c r="E32" s="823"/>
      <c r="F32" s="823"/>
      <c r="G32" s="823"/>
      <c r="H32" s="823"/>
      <c r="I32" s="823"/>
      <c r="J32" s="823" t="str">
        <f>B37</f>
        <v>中能登</v>
      </c>
      <c r="K32" s="823"/>
      <c r="L32" s="823"/>
      <c r="M32" s="823"/>
      <c r="N32" s="823"/>
      <c r="O32" s="823"/>
      <c r="P32" s="823"/>
      <c r="Q32" s="823" t="str">
        <f>B41</f>
        <v>七尾</v>
      </c>
      <c r="R32" s="823"/>
      <c r="S32" s="823"/>
      <c r="T32" s="823"/>
      <c r="U32" s="823"/>
      <c r="V32" s="823"/>
      <c r="W32" s="823"/>
      <c r="X32" s="823" t="str">
        <f>B45</f>
        <v>輪島</v>
      </c>
      <c r="Y32" s="823"/>
      <c r="Z32" s="823"/>
      <c r="AA32" s="823"/>
      <c r="AB32" s="823"/>
      <c r="AC32" s="823"/>
      <c r="AD32" s="823"/>
      <c r="AE32" s="823" t="str">
        <f>B49</f>
        <v>七尾東部</v>
      </c>
      <c r="AF32" s="823"/>
      <c r="AG32" s="823"/>
      <c r="AH32" s="823"/>
      <c r="AI32" s="823"/>
      <c r="AJ32" s="823"/>
      <c r="AK32" s="823"/>
      <c r="AL32" s="461" t="s">
        <v>88</v>
      </c>
      <c r="AM32" s="462" t="s">
        <v>89</v>
      </c>
      <c r="AN32" s="461" t="s">
        <v>90</v>
      </c>
      <c r="AO32" s="461" t="s">
        <v>91</v>
      </c>
      <c r="AT32" s="290" t="str">
        <f>C32</f>
        <v>志賀</v>
      </c>
      <c r="AU32" s="258" t="str">
        <f>C32</f>
        <v>志賀</v>
      </c>
      <c r="AV32" s="290" t="str">
        <f>J32</f>
        <v>中能登</v>
      </c>
      <c r="AW32" s="290" t="str">
        <f>Q32</f>
        <v>七尾</v>
      </c>
      <c r="AX32" s="290" t="str">
        <f>X32</f>
        <v>輪島</v>
      </c>
      <c r="AY32" s="258" t="str">
        <f>AE32</f>
        <v>七尾東部</v>
      </c>
      <c r="BA32" s="449"/>
      <c r="BI32" s="449"/>
    </row>
    <row r="33" spans="1:61" ht="19.5" customHeight="1" x14ac:dyDescent="0.15">
      <c r="A33" s="474">
        <f>1</f>
        <v>1</v>
      </c>
      <c r="B33" s="808" t="str">
        <f>IF(ISERROR(MATCH(A33,予選学校名!$H$22:$H$32,0)),"",INDEX(予選学校名!$H$22:$K$32,MATCH(A33,予選学校名!$H$22:$H$32,0),2))</f>
        <v>志賀</v>
      </c>
      <c r="C33" s="809"/>
      <c r="D33" s="810"/>
      <c r="E33" s="810"/>
      <c r="F33" s="810"/>
      <c r="G33" s="810"/>
      <c r="H33" s="810"/>
      <c r="I33" s="811"/>
      <c r="J33" s="818" t="str">
        <f>IF(L34="","",SUM(L34,L35))</f>
        <v/>
      </c>
      <c r="K33" s="819"/>
      <c r="L33" s="819"/>
      <c r="M33" s="463" t="str">
        <f>IF(J33="","",IF(J33&gt;N33,"○",IF(J33&lt;N33,"●","△")))</f>
        <v/>
      </c>
      <c r="N33" s="819" t="str">
        <f>IF(N34="","",SUM(N34,N35))</f>
        <v/>
      </c>
      <c r="O33" s="819"/>
      <c r="P33" s="820"/>
      <c r="Q33" s="818" t="str">
        <f>IF(S34="","",SUM(S34,S35))</f>
        <v/>
      </c>
      <c r="R33" s="819"/>
      <c r="S33" s="819"/>
      <c r="T33" s="463" t="str">
        <f>IF(Q33="","",IF(Q33&gt;U33,"○",IF(Q33&lt;U33,"●","△")))</f>
        <v/>
      </c>
      <c r="U33" s="819" t="str">
        <f>IF(U34="","",SUM(U34,U35))</f>
        <v/>
      </c>
      <c r="V33" s="819"/>
      <c r="W33" s="820"/>
      <c r="X33" s="818" t="str">
        <f>IF(Z34="","",SUM(Z34,Z35))</f>
        <v/>
      </c>
      <c r="Y33" s="819"/>
      <c r="Z33" s="819"/>
      <c r="AA33" s="463" t="str">
        <f>IF(X33="","",IF(X33&gt;AB33,"○",IF(X33&lt;AB33,"●","△")))</f>
        <v/>
      </c>
      <c r="AB33" s="819" t="str">
        <f>IF(AB34="","",SUM(AB34,AB35))</f>
        <v/>
      </c>
      <c r="AC33" s="819"/>
      <c r="AD33" s="820"/>
      <c r="AE33" s="818" t="str">
        <f>IF(AG34="","",SUM(AG34,AG35))</f>
        <v/>
      </c>
      <c r="AF33" s="819"/>
      <c r="AG33" s="819"/>
      <c r="AH33" s="463" t="str">
        <f>IF(AE33="","",IF(AE33&gt;AI33,"○",IF(AE33&lt;AI33,"●","△")))</f>
        <v/>
      </c>
      <c r="AI33" s="819" t="str">
        <f>IF(AI34="","",SUM(AI34,AI35))</f>
        <v/>
      </c>
      <c r="AJ33" s="819"/>
      <c r="AK33" s="820"/>
      <c r="AL33" s="836" t="str">
        <f>IF(COUNT(C34:AK34)=0,"",COUNTIF(C33:AK33,"○")*3+COUNTIF(C33:AK33,"△"))</f>
        <v/>
      </c>
      <c r="AM33" s="836" t="str">
        <f>IF(AL33="","",SUM(G33:G52)/2-SUM(E33:E52))</f>
        <v/>
      </c>
      <c r="AN33" s="836" t="str">
        <f>IF(AL33="","",SUM(G33:G52)/2)</f>
        <v/>
      </c>
      <c r="AO33" s="836" t="str">
        <f>IF(OR(AL33="",MOD(COUNT(C33:AK33),2)=1),"",RANK(AQ33,$AQ$33:$AQ$52))</f>
        <v/>
      </c>
      <c r="AQ33" s="258" t="str">
        <f>IF(OR(AL33="",MOD(COUNT(C33:AK33),2)=1),"",AL33*1000000+SUM(AU33:AY33)*10000+AM33*100+AN33)</f>
        <v/>
      </c>
      <c r="AT33" s="290" t="str">
        <f>B33</f>
        <v>志賀</v>
      </c>
      <c r="AV33" s="258">
        <f>IF(AL33=$AL37,IF(M33="○",3,IF(M33="△",1,0)),0)</f>
        <v>0</v>
      </c>
      <c r="AW33" s="258">
        <f>IF(AL33=$AL41,IF(T33="○",3,IF(T33="△",1,0)),0)</f>
        <v>0</v>
      </c>
      <c r="AX33" s="258">
        <f>IF(AL33=$AL45,IF(AA33="○",3,IF(AA33="△",1,0)),0)</f>
        <v>0</v>
      </c>
      <c r="AY33" s="258">
        <f>IF(AL33=$AL49,IF(AH33="○",3,IF(AH33="△",1,0)),0)</f>
        <v>0</v>
      </c>
      <c r="BI33" s="449"/>
    </row>
    <row r="34" spans="1:61" ht="19.5" customHeight="1" x14ac:dyDescent="0.15">
      <c r="A34" s="474"/>
      <c r="B34" s="808"/>
      <c r="C34" s="812"/>
      <c r="D34" s="813"/>
      <c r="E34" s="813"/>
      <c r="F34" s="813"/>
      <c r="G34" s="813"/>
      <c r="H34" s="813"/>
      <c r="I34" s="814"/>
      <c r="J34" s="464"/>
      <c r="L34" s="465"/>
      <c r="M34" s="447" t="s">
        <v>92</v>
      </c>
      <c r="N34" s="466"/>
      <c r="P34" s="467"/>
      <c r="Q34" s="464"/>
      <c r="S34" s="465"/>
      <c r="T34" s="447" t="s">
        <v>92</v>
      </c>
      <c r="U34" s="466"/>
      <c r="W34" s="467"/>
      <c r="X34" s="464"/>
      <c r="Y34" s="290"/>
      <c r="Z34" s="465"/>
      <c r="AA34" s="447" t="s">
        <v>92</v>
      </c>
      <c r="AB34" s="466"/>
      <c r="AC34" s="290"/>
      <c r="AD34" s="467"/>
      <c r="AE34" s="464"/>
      <c r="AF34" s="290"/>
      <c r="AG34" s="465"/>
      <c r="AH34" s="447" t="s">
        <v>92</v>
      </c>
      <c r="AI34" s="466"/>
      <c r="AJ34" s="290"/>
      <c r="AK34" s="467"/>
      <c r="AL34" s="836"/>
      <c r="AM34" s="836"/>
      <c r="AN34" s="836"/>
      <c r="AO34" s="836"/>
      <c r="AT34" s="290"/>
    </row>
    <row r="35" spans="1:61" ht="19.5" customHeight="1" x14ac:dyDescent="0.15">
      <c r="A35" s="474"/>
      <c r="B35" s="808"/>
      <c r="C35" s="812"/>
      <c r="D35" s="813"/>
      <c r="E35" s="813"/>
      <c r="F35" s="813"/>
      <c r="G35" s="813"/>
      <c r="H35" s="813"/>
      <c r="I35" s="814"/>
      <c r="J35" s="464"/>
      <c r="L35" s="465"/>
      <c r="M35" s="447" t="s">
        <v>92</v>
      </c>
      <c r="N35" s="466"/>
      <c r="P35" s="467"/>
      <c r="Q35" s="464"/>
      <c r="S35" s="465"/>
      <c r="T35" s="447" t="s">
        <v>92</v>
      </c>
      <c r="U35" s="466"/>
      <c r="W35" s="467"/>
      <c r="X35" s="464"/>
      <c r="Y35" s="290"/>
      <c r="Z35" s="465"/>
      <c r="AA35" s="447" t="s">
        <v>92</v>
      </c>
      <c r="AB35" s="466"/>
      <c r="AC35" s="290"/>
      <c r="AD35" s="467"/>
      <c r="AE35" s="464"/>
      <c r="AF35" s="290"/>
      <c r="AG35" s="465"/>
      <c r="AH35" s="447" t="s">
        <v>92</v>
      </c>
      <c r="AI35" s="466"/>
      <c r="AJ35" s="290"/>
      <c r="AK35" s="467"/>
      <c r="AL35" s="836"/>
      <c r="AM35" s="836"/>
      <c r="AN35" s="836"/>
      <c r="AO35" s="836"/>
      <c r="AT35" s="290"/>
    </row>
    <row r="36" spans="1:61" ht="3.75" customHeight="1" x14ac:dyDescent="0.15">
      <c r="A36" s="474"/>
      <c r="B36" s="808"/>
      <c r="C36" s="815"/>
      <c r="D36" s="816"/>
      <c r="E36" s="816"/>
      <c r="F36" s="816"/>
      <c r="G36" s="816"/>
      <c r="H36" s="816"/>
      <c r="I36" s="817"/>
      <c r="J36" s="468"/>
      <c r="K36" s="469"/>
      <c r="L36" s="470"/>
      <c r="M36" s="471"/>
      <c r="N36" s="472"/>
      <c r="O36" s="469"/>
      <c r="P36" s="473"/>
      <c r="Q36" s="468"/>
      <c r="R36" s="469"/>
      <c r="S36" s="470"/>
      <c r="T36" s="471"/>
      <c r="U36" s="472"/>
      <c r="V36" s="469"/>
      <c r="W36" s="473"/>
      <c r="X36" s="468"/>
      <c r="Y36" s="469"/>
      <c r="Z36" s="470"/>
      <c r="AA36" s="471"/>
      <c r="AB36" s="472"/>
      <c r="AC36" s="469"/>
      <c r="AD36" s="473"/>
      <c r="AE36" s="468"/>
      <c r="AF36" s="469"/>
      <c r="AG36" s="470"/>
      <c r="AH36" s="471"/>
      <c r="AI36" s="472"/>
      <c r="AJ36" s="469"/>
      <c r="AK36" s="473"/>
      <c r="AL36" s="836"/>
      <c r="AM36" s="836"/>
      <c r="AN36" s="836"/>
      <c r="AO36" s="836"/>
      <c r="AQ36" s="258" t="str">
        <f>IF(OR(AL36="",MOD(COUNT(C36:AK36),2)=1),"",AL36*10000+AM36*100+AN36)</f>
        <v/>
      </c>
      <c r="AT36" s="290"/>
    </row>
    <row r="37" spans="1:61" ht="19.5" customHeight="1" x14ac:dyDescent="0.15">
      <c r="A37" s="474">
        <f>A33+1</f>
        <v>2</v>
      </c>
      <c r="B37" s="808" t="str">
        <f>IF(ISERROR(MATCH(A37,予選学校名!$H$22:$H$32,0)),"",INDEX(予選学校名!$H$22:$K$32,MATCH(A37,予選学校名!$H$22:$H$32,0),2))</f>
        <v>中能登</v>
      </c>
      <c r="C37" s="818" t="str">
        <f>IF(E38="","",SUM(E38,E39))</f>
        <v/>
      </c>
      <c r="D37" s="819"/>
      <c r="E37" s="819"/>
      <c r="F37" s="463" t="str">
        <f>IF(C37="","",IF(C37&gt;G37,"○",IF(C37&lt;G37,"●","△")))</f>
        <v/>
      </c>
      <c r="G37" s="819" t="str">
        <f>IF(G38="","",SUM(G38,G39))</f>
        <v/>
      </c>
      <c r="H37" s="819"/>
      <c r="I37" s="820"/>
      <c r="J37" s="809"/>
      <c r="K37" s="810"/>
      <c r="L37" s="810"/>
      <c r="M37" s="810"/>
      <c r="N37" s="810"/>
      <c r="O37" s="810"/>
      <c r="P37" s="811"/>
      <c r="Q37" s="818" t="str">
        <f>IF(S38="","",SUM(S38,S39))</f>
        <v/>
      </c>
      <c r="R37" s="819"/>
      <c r="S37" s="819"/>
      <c r="T37" s="463" t="str">
        <f>IF(Q37="","",IF(Q37&gt;U37,"○",IF(Q37&lt;U37,"●","△")))</f>
        <v/>
      </c>
      <c r="U37" s="819" t="str">
        <f>IF(U38="","",SUM(U38,U39))</f>
        <v/>
      </c>
      <c r="V37" s="819"/>
      <c r="W37" s="820"/>
      <c r="X37" s="818" t="str">
        <f>IF(Z38="","",SUM(Z38,Z39))</f>
        <v/>
      </c>
      <c r="Y37" s="819"/>
      <c r="Z37" s="819"/>
      <c r="AA37" s="463" t="str">
        <f>IF(X37="","",IF(X37&gt;AB37,"○",IF(X37&lt;AB37,"●","△")))</f>
        <v/>
      </c>
      <c r="AB37" s="819" t="str">
        <f>IF(AB38="","",SUM(AB38,AB39))</f>
        <v/>
      </c>
      <c r="AC37" s="819"/>
      <c r="AD37" s="820"/>
      <c r="AE37" s="818" t="str">
        <f>IF(AG38="","",SUM(AG38,AG39))</f>
        <v/>
      </c>
      <c r="AF37" s="819"/>
      <c r="AG37" s="819"/>
      <c r="AH37" s="463" t="str">
        <f>IF(AE37="","",IF(AE37&gt;AI37,"○",IF(AE37&lt;AI37,"●","△")))</f>
        <v/>
      </c>
      <c r="AI37" s="819" t="str">
        <f>IF(AI38="","",SUM(AI38,AI39))</f>
        <v/>
      </c>
      <c r="AJ37" s="819"/>
      <c r="AK37" s="820"/>
      <c r="AL37" s="836" t="str">
        <f t="shared" ref="AL37" si="19">IF(COUNT(C38:AK38)=0,"",COUNTIF(C37:AK37,"○")*3+COUNTIF(C37:AK37,"△"))</f>
        <v/>
      </c>
      <c r="AM37" s="836" t="str">
        <f>IF(AL37="","",SUM(N33:N52)/2-SUM(L33:L52))</f>
        <v/>
      </c>
      <c r="AN37" s="836" t="str">
        <f>IF(AL37="","",SUM(N33:N52)/2)</f>
        <v/>
      </c>
      <c r="AO37" s="836" t="str">
        <f>IF(OR(AL37="",MOD(COUNT(C37:AK37),2)=1),"",RANK(AQ37,$AQ$33:$AQ$52))</f>
        <v/>
      </c>
      <c r="AQ37" s="258" t="str">
        <f t="shared" ref="AQ37" si="20">IF(OR(AL37="",MOD(COUNT(C37:AK37),2)=1),"",AL37*1000000+SUM(AU37:AY37)*10000+AM37*100+AN37)</f>
        <v/>
      </c>
      <c r="AT37" s="290" t="str">
        <f t="shared" ref="AT37" si="21">B37</f>
        <v>中能登</v>
      </c>
      <c r="AU37" s="258">
        <f>IF(AL37=$AL33,IF(F37="○",3,IF(F37="△",1,0)),0)</f>
        <v>0</v>
      </c>
      <c r="AW37" s="258">
        <f>IF(AL37=$AL41,IF(T37="○",3,IF(T37="△",1,0)),0)</f>
        <v>0</v>
      </c>
      <c r="AX37" s="258">
        <f>IF(AL37=$AL45,IF(AA37="○",3,IF(AA37="△",1,0)),0)</f>
        <v>0</v>
      </c>
      <c r="AY37" s="258">
        <f>IF(AL37=$AL49,IF(AH37="○",3,IF(AH37="△",1,0)),0)</f>
        <v>0</v>
      </c>
    </row>
    <row r="38" spans="1:61" ht="19.5" customHeight="1" x14ac:dyDescent="0.15">
      <c r="A38" s="474"/>
      <c r="B38" s="808"/>
      <c r="C38" s="464"/>
      <c r="E38" s="446" t="str">
        <f>IF(N34="","",N34)</f>
        <v/>
      </c>
      <c r="F38" s="447" t="s">
        <v>92</v>
      </c>
      <c r="G38" s="448" t="str">
        <f>IF(L34="","",L34)</f>
        <v/>
      </c>
      <c r="I38" s="467"/>
      <c r="J38" s="812"/>
      <c r="K38" s="813"/>
      <c r="L38" s="813"/>
      <c r="M38" s="813"/>
      <c r="N38" s="813"/>
      <c r="O38" s="813"/>
      <c r="P38" s="814"/>
      <c r="Q38" s="464"/>
      <c r="S38" s="465"/>
      <c r="T38" s="447" t="s">
        <v>92</v>
      </c>
      <c r="U38" s="466"/>
      <c r="W38" s="467"/>
      <c r="X38" s="464"/>
      <c r="Y38" s="290"/>
      <c r="Z38" s="465"/>
      <c r="AA38" s="447" t="s">
        <v>92</v>
      </c>
      <c r="AB38" s="466"/>
      <c r="AC38" s="290"/>
      <c r="AD38" s="467"/>
      <c r="AE38" s="464"/>
      <c r="AF38" s="290"/>
      <c r="AG38" s="465"/>
      <c r="AH38" s="447" t="s">
        <v>92</v>
      </c>
      <c r="AI38" s="466"/>
      <c r="AJ38" s="290"/>
      <c r="AK38" s="467"/>
      <c r="AL38" s="836"/>
      <c r="AM38" s="836"/>
      <c r="AN38" s="836"/>
      <c r="AO38" s="836"/>
      <c r="AT38" s="290"/>
    </row>
    <row r="39" spans="1:61" ht="19.5" customHeight="1" x14ac:dyDescent="0.15">
      <c r="A39" s="474"/>
      <c r="B39" s="808"/>
      <c r="C39" s="464"/>
      <c r="E39" s="446" t="str">
        <f>IF(N35="","",N35)</f>
        <v/>
      </c>
      <c r="F39" s="447" t="s">
        <v>92</v>
      </c>
      <c r="G39" s="448" t="str">
        <f>IF(L35="","",L35)</f>
        <v/>
      </c>
      <c r="I39" s="467"/>
      <c r="J39" s="812"/>
      <c r="K39" s="813"/>
      <c r="L39" s="813"/>
      <c r="M39" s="813"/>
      <c r="N39" s="813"/>
      <c r="O39" s="813"/>
      <c r="P39" s="814"/>
      <c r="Q39" s="464"/>
      <c r="S39" s="465"/>
      <c r="T39" s="447" t="s">
        <v>92</v>
      </c>
      <c r="U39" s="466"/>
      <c r="W39" s="467"/>
      <c r="X39" s="464"/>
      <c r="Y39" s="290"/>
      <c r="Z39" s="465"/>
      <c r="AA39" s="447" t="s">
        <v>92</v>
      </c>
      <c r="AB39" s="466"/>
      <c r="AC39" s="290"/>
      <c r="AD39" s="467"/>
      <c r="AE39" s="464"/>
      <c r="AF39" s="290"/>
      <c r="AG39" s="465"/>
      <c r="AH39" s="447" t="s">
        <v>92</v>
      </c>
      <c r="AI39" s="466"/>
      <c r="AJ39" s="290"/>
      <c r="AK39" s="467"/>
      <c r="AL39" s="836"/>
      <c r="AM39" s="836"/>
      <c r="AN39" s="836"/>
      <c r="AO39" s="836"/>
      <c r="AT39" s="290"/>
    </row>
    <row r="40" spans="1:61" ht="3.75" customHeight="1" x14ac:dyDescent="0.15">
      <c r="A40" s="474"/>
      <c r="B40" s="808"/>
      <c r="C40" s="468"/>
      <c r="D40" s="469"/>
      <c r="E40" s="470"/>
      <c r="F40" s="471"/>
      <c r="G40" s="472"/>
      <c r="H40" s="469"/>
      <c r="I40" s="473"/>
      <c r="J40" s="815"/>
      <c r="K40" s="816"/>
      <c r="L40" s="816"/>
      <c r="M40" s="816"/>
      <c r="N40" s="816"/>
      <c r="O40" s="816"/>
      <c r="P40" s="817"/>
      <c r="Q40" s="468"/>
      <c r="R40" s="469"/>
      <c r="S40" s="470"/>
      <c r="T40" s="471"/>
      <c r="U40" s="472"/>
      <c r="V40" s="469"/>
      <c r="W40" s="473"/>
      <c r="X40" s="468"/>
      <c r="Y40" s="469"/>
      <c r="Z40" s="470"/>
      <c r="AA40" s="471"/>
      <c r="AB40" s="472"/>
      <c r="AC40" s="469"/>
      <c r="AD40" s="473"/>
      <c r="AE40" s="468"/>
      <c r="AF40" s="469"/>
      <c r="AG40" s="470"/>
      <c r="AH40" s="471"/>
      <c r="AI40" s="472"/>
      <c r="AJ40" s="469"/>
      <c r="AK40" s="473"/>
      <c r="AL40" s="836"/>
      <c r="AM40" s="836"/>
      <c r="AN40" s="836"/>
      <c r="AO40" s="836"/>
      <c r="AQ40" s="258" t="str">
        <f t="shared" ref="AQ40" si="22">IF(OR(AL40="",MOD(COUNT(C40:AK40),2)=1),"",AL40*10000+AM40*100+AN40)</f>
        <v/>
      </c>
      <c r="AT40" s="290"/>
    </row>
    <row r="41" spans="1:61" ht="19.5" customHeight="1" x14ac:dyDescent="0.15">
      <c r="A41" s="474">
        <f t="shared" ref="A41" si="23">A37+1</f>
        <v>3</v>
      </c>
      <c r="B41" s="808" t="str">
        <f>IF(ISERROR(MATCH(A41,予選学校名!$H$22:$H$32,0)),"",INDEX(予選学校名!$H$22:$K$32,MATCH(A41,予選学校名!$H$22:$H$32,0),2))</f>
        <v>七尾</v>
      </c>
      <c r="C41" s="818" t="str">
        <f>IF(E42="","",SUM(E42,E43))</f>
        <v/>
      </c>
      <c r="D41" s="819"/>
      <c r="E41" s="819"/>
      <c r="F41" s="463" t="str">
        <f>IF(C41="","",IF(C41&gt;G41,"○",IF(C41&lt;G41,"●","△")))</f>
        <v/>
      </c>
      <c r="G41" s="819" t="str">
        <f>IF(G42="","",SUM(G42,G43))</f>
        <v/>
      </c>
      <c r="H41" s="819"/>
      <c r="I41" s="820"/>
      <c r="J41" s="818" t="str">
        <f>IF(L42="","",SUM(L42,L43))</f>
        <v/>
      </c>
      <c r="K41" s="819"/>
      <c r="L41" s="819"/>
      <c r="M41" s="463" t="str">
        <f>IF(J41="","",IF(J41&gt;N41,"○",IF(J41&lt;N41,"●","△")))</f>
        <v/>
      </c>
      <c r="N41" s="819" t="str">
        <f>IF(N42="","",SUM(N42,N43))</f>
        <v/>
      </c>
      <c r="O41" s="819"/>
      <c r="P41" s="820"/>
      <c r="Q41" s="809"/>
      <c r="R41" s="810"/>
      <c r="S41" s="810"/>
      <c r="T41" s="810"/>
      <c r="U41" s="810"/>
      <c r="V41" s="810"/>
      <c r="W41" s="811"/>
      <c r="X41" s="818" t="str">
        <f>IF(Z42="","",SUM(Z42,Z43))</f>
        <v/>
      </c>
      <c r="Y41" s="819"/>
      <c r="Z41" s="819"/>
      <c r="AA41" s="463" t="str">
        <f>IF(X41="","",IF(X41&gt;AB41,"○",IF(X41&lt;AB41,"●","△")))</f>
        <v/>
      </c>
      <c r="AB41" s="819" t="str">
        <f>IF(AB42="","",SUM(AB42,AB43))</f>
        <v/>
      </c>
      <c r="AC41" s="819"/>
      <c r="AD41" s="820"/>
      <c r="AE41" s="818" t="str">
        <f>IF(AG42="","",SUM(AG42,AG43))</f>
        <v/>
      </c>
      <c r="AF41" s="819"/>
      <c r="AG41" s="819"/>
      <c r="AH41" s="463" t="str">
        <f>IF(AE41="","",IF(AE41&gt;AI41,"○",IF(AE41&lt;AI41,"●","△")))</f>
        <v/>
      </c>
      <c r="AI41" s="819" t="str">
        <f>IF(AI42="","",SUM(AI42,AI43))</f>
        <v/>
      </c>
      <c r="AJ41" s="819"/>
      <c r="AK41" s="820"/>
      <c r="AL41" s="836" t="str">
        <f t="shared" ref="AL41" si="24">IF(COUNT(C42:AK42)=0,"",COUNTIF(C41:AK41,"○")*3+COUNTIF(C41:AK41,"△"))</f>
        <v/>
      </c>
      <c r="AM41" s="836" t="str">
        <f>IF(AL41="","",SUM(U33:U52)/2-SUM(S33:S52))</f>
        <v/>
      </c>
      <c r="AN41" s="836" t="str">
        <f>IF(AL41="","",SUM(U33:U52)/2)</f>
        <v/>
      </c>
      <c r="AO41" s="836" t="str">
        <f t="shared" ref="AO41" si="25">IF(OR(AL41="",MOD(COUNT(C41:AK41),2)=1),"",RANK(AQ41,$AQ$33:$AQ$52))</f>
        <v/>
      </c>
      <c r="AQ41" s="258" t="str">
        <f t="shared" ref="AQ41" si="26">IF(OR(AL41="",MOD(COUNT(C41:AK41),2)=1),"",AL41*1000000+SUM(AU41:AY41)*10000+AM41*100+AN41)</f>
        <v/>
      </c>
      <c r="AT41" s="290" t="str">
        <f t="shared" ref="AT41" si="27">B41</f>
        <v>七尾</v>
      </c>
      <c r="AU41" s="258">
        <f>IF(AL41=$AL33,IF(F41="○",3,IF(F41="△",1,0)),0)</f>
        <v>0</v>
      </c>
      <c r="AV41" s="258">
        <f>IF(AL41=$AL37,IF(M41="○",3,IF(M41="△",1,0)),0)</f>
        <v>0</v>
      </c>
      <c r="AX41" s="258">
        <f>IF(AL41=$AL45,IF(AA41="○",3,IF(AA41="△",1,0)),0)</f>
        <v>0</v>
      </c>
      <c r="AY41" s="258">
        <f>IF(AL41=$AL49,IF(AH41="○",3,IF(AH41="△",1,0)),0)</f>
        <v>0</v>
      </c>
    </row>
    <row r="42" spans="1:61" ht="19.5" customHeight="1" x14ac:dyDescent="0.15">
      <c r="A42" s="474"/>
      <c r="B42" s="808"/>
      <c r="C42" s="464"/>
      <c r="E42" s="446" t="str">
        <f>IF(U34="","",U34)</f>
        <v/>
      </c>
      <c r="F42" s="447" t="s">
        <v>92</v>
      </c>
      <c r="G42" s="448" t="str">
        <f>IF(S34="","",S34)</f>
        <v/>
      </c>
      <c r="I42" s="467"/>
      <c r="J42" s="464"/>
      <c r="L42" s="446" t="str">
        <f>IF(U38="","",U38)</f>
        <v/>
      </c>
      <c r="M42" s="447" t="s">
        <v>92</v>
      </c>
      <c r="N42" s="448" t="str">
        <f>IF(S38="","",S38)</f>
        <v/>
      </c>
      <c r="P42" s="467"/>
      <c r="Q42" s="812"/>
      <c r="R42" s="813"/>
      <c r="S42" s="813"/>
      <c r="T42" s="813"/>
      <c r="U42" s="813"/>
      <c r="V42" s="813"/>
      <c r="W42" s="814"/>
      <c r="X42" s="464"/>
      <c r="Y42" s="290"/>
      <c r="Z42" s="465"/>
      <c r="AA42" s="447" t="s">
        <v>92</v>
      </c>
      <c r="AB42" s="466"/>
      <c r="AC42" s="290"/>
      <c r="AD42" s="467"/>
      <c r="AE42" s="464"/>
      <c r="AF42" s="290"/>
      <c r="AG42" s="465"/>
      <c r="AH42" s="447" t="s">
        <v>92</v>
      </c>
      <c r="AI42" s="466"/>
      <c r="AJ42" s="290"/>
      <c r="AK42" s="467"/>
      <c r="AL42" s="836"/>
      <c r="AM42" s="836"/>
      <c r="AN42" s="836"/>
      <c r="AO42" s="836"/>
      <c r="AT42" s="290"/>
    </row>
    <row r="43" spans="1:61" ht="19.5" customHeight="1" x14ac:dyDescent="0.15">
      <c r="A43" s="474"/>
      <c r="B43" s="808"/>
      <c r="C43" s="464"/>
      <c r="E43" s="446" t="str">
        <f>IF(U35="","",U35)</f>
        <v/>
      </c>
      <c r="F43" s="447" t="s">
        <v>92</v>
      </c>
      <c r="G43" s="448" t="str">
        <f>IF(S35="","",S35)</f>
        <v/>
      </c>
      <c r="I43" s="467"/>
      <c r="J43" s="464"/>
      <c r="L43" s="446" t="str">
        <f>IF(U39="","",U39)</f>
        <v/>
      </c>
      <c r="M43" s="447" t="s">
        <v>92</v>
      </c>
      <c r="N43" s="448" t="str">
        <f>IF(S39="","",S39)</f>
        <v/>
      </c>
      <c r="P43" s="467"/>
      <c r="Q43" s="812"/>
      <c r="R43" s="813"/>
      <c r="S43" s="813"/>
      <c r="T43" s="813"/>
      <c r="U43" s="813"/>
      <c r="V43" s="813"/>
      <c r="W43" s="814"/>
      <c r="X43" s="464"/>
      <c r="Y43" s="290"/>
      <c r="Z43" s="465"/>
      <c r="AA43" s="447" t="s">
        <v>92</v>
      </c>
      <c r="AB43" s="466"/>
      <c r="AC43" s="290"/>
      <c r="AD43" s="467"/>
      <c r="AE43" s="464"/>
      <c r="AF43" s="290"/>
      <c r="AG43" s="465"/>
      <c r="AH43" s="447" t="s">
        <v>92</v>
      </c>
      <c r="AI43" s="466"/>
      <c r="AJ43" s="290"/>
      <c r="AK43" s="467"/>
      <c r="AL43" s="836"/>
      <c r="AM43" s="836"/>
      <c r="AN43" s="836"/>
      <c r="AO43" s="836"/>
      <c r="AT43" s="290"/>
    </row>
    <row r="44" spans="1:61" ht="3.75" customHeight="1" x14ac:dyDescent="0.15">
      <c r="A44" s="474"/>
      <c r="B44" s="808"/>
      <c r="C44" s="468"/>
      <c r="D44" s="469"/>
      <c r="E44" s="470"/>
      <c r="F44" s="471"/>
      <c r="G44" s="472"/>
      <c r="H44" s="469"/>
      <c r="I44" s="473"/>
      <c r="J44" s="468"/>
      <c r="K44" s="469"/>
      <c r="L44" s="470"/>
      <c r="M44" s="471"/>
      <c r="N44" s="472"/>
      <c r="O44" s="469"/>
      <c r="P44" s="473"/>
      <c r="Q44" s="815"/>
      <c r="R44" s="816"/>
      <c r="S44" s="816"/>
      <c r="T44" s="816"/>
      <c r="U44" s="816"/>
      <c r="V44" s="816"/>
      <c r="W44" s="817"/>
      <c r="X44" s="468"/>
      <c r="Y44" s="469"/>
      <c r="Z44" s="470"/>
      <c r="AA44" s="471"/>
      <c r="AB44" s="472"/>
      <c r="AC44" s="469"/>
      <c r="AD44" s="473"/>
      <c r="AE44" s="468"/>
      <c r="AF44" s="469"/>
      <c r="AG44" s="470"/>
      <c r="AH44" s="471"/>
      <c r="AI44" s="472"/>
      <c r="AJ44" s="469"/>
      <c r="AK44" s="473"/>
      <c r="AL44" s="836"/>
      <c r="AM44" s="836"/>
      <c r="AN44" s="836"/>
      <c r="AO44" s="836"/>
      <c r="AQ44" s="258" t="str">
        <f t="shared" ref="AQ44" si="28">IF(OR(AL44="",MOD(COUNT(C44:AK44),2)=1),"",AL44*10000+AM44*100+AN44)</f>
        <v/>
      </c>
      <c r="AT44" s="290"/>
    </row>
    <row r="45" spans="1:61" ht="19.5" customHeight="1" x14ac:dyDescent="0.15">
      <c r="A45" s="474">
        <f t="shared" ref="A45" si="29">A41+1</f>
        <v>4</v>
      </c>
      <c r="B45" s="808" t="str">
        <f>IF(ISERROR(MATCH(A45,予選学校名!$H$22:$H$32,0)),"",INDEX(予選学校名!$H$22:$K$32,MATCH(A45,予選学校名!$H$22:$H$32,0),2))</f>
        <v>輪島</v>
      </c>
      <c r="C45" s="818" t="str">
        <f>IF(E46="","",SUM(E46,E47))</f>
        <v/>
      </c>
      <c r="D45" s="819"/>
      <c r="E45" s="819"/>
      <c r="F45" s="463" t="str">
        <f>IF(C45="","",IF(C45&gt;G45,"○",IF(C45&lt;G45,"●","△")))</f>
        <v/>
      </c>
      <c r="G45" s="819" t="str">
        <f>IF(G46="","",SUM(G46,G47))</f>
        <v/>
      </c>
      <c r="H45" s="819"/>
      <c r="I45" s="820"/>
      <c r="J45" s="818" t="str">
        <f>IF(L46="","",SUM(L46,L47))</f>
        <v/>
      </c>
      <c r="K45" s="819"/>
      <c r="L45" s="819"/>
      <c r="M45" s="463" t="str">
        <f>IF(J45="","",IF(J45&gt;N45,"○",IF(J45&lt;N45,"●","△")))</f>
        <v/>
      </c>
      <c r="N45" s="819" t="str">
        <f>IF(N46="","",SUM(N46,N47))</f>
        <v/>
      </c>
      <c r="O45" s="819"/>
      <c r="P45" s="820"/>
      <c r="Q45" s="818" t="str">
        <f>IF(S46="","",SUM(S46,S47))</f>
        <v/>
      </c>
      <c r="R45" s="819"/>
      <c r="S45" s="819"/>
      <c r="T45" s="463" t="str">
        <f>IF(Q45="","",IF(Q45&gt;U45,"○",IF(Q45&lt;U45,"●","△")))</f>
        <v/>
      </c>
      <c r="U45" s="819" t="str">
        <f>IF(U46="","",SUM(U46,U47))</f>
        <v/>
      </c>
      <c r="V45" s="819"/>
      <c r="W45" s="820"/>
      <c r="X45" s="809"/>
      <c r="Y45" s="810"/>
      <c r="Z45" s="810"/>
      <c r="AA45" s="810"/>
      <c r="AB45" s="810"/>
      <c r="AC45" s="810"/>
      <c r="AD45" s="811"/>
      <c r="AE45" s="818" t="str">
        <f>IF(AG46="","",SUM(AG46,AG47))</f>
        <v/>
      </c>
      <c r="AF45" s="819"/>
      <c r="AG45" s="819"/>
      <c r="AH45" s="463" t="str">
        <f>IF(AE45="","",IF(AE45&gt;AI45,"○",IF(AE45&lt;AI45,"●","△")))</f>
        <v/>
      </c>
      <c r="AI45" s="819" t="str">
        <f>IF(AI46="","",SUM(AI46,AI47))</f>
        <v/>
      </c>
      <c r="AJ45" s="819"/>
      <c r="AK45" s="820"/>
      <c r="AL45" s="836" t="str">
        <f t="shared" ref="AL45" si="30">IF(COUNT(C46:AK46)=0,"",COUNTIF(C45:AK45,"○")*3+COUNTIF(C45:AK45,"△"))</f>
        <v/>
      </c>
      <c r="AM45" s="836" t="str">
        <f>IF(AL45="","",SUM(AB33:AB52)/2-SUM(Z33:Z52))</f>
        <v/>
      </c>
      <c r="AN45" s="836" t="str">
        <f>IF(AL45="","",SUM(AB33:AB52)/2)</f>
        <v/>
      </c>
      <c r="AO45" s="836" t="str">
        <f t="shared" ref="AO45" si="31">IF(OR(AL45="",MOD(COUNT(C45:AK45),2)=1),"",RANK(AQ45,$AQ$33:$AQ$52))</f>
        <v/>
      </c>
      <c r="AQ45" s="258" t="str">
        <f t="shared" ref="AQ45" si="32">IF(OR(AL45="",MOD(COUNT(C45:AK45),2)=1),"",AL45*1000000+SUM(AU45:AY45)*10000+AM45*100+AN45)</f>
        <v/>
      </c>
      <c r="AT45" s="290" t="str">
        <f t="shared" ref="AT45" si="33">B45</f>
        <v>輪島</v>
      </c>
      <c r="AU45" s="258">
        <f>IF(AL45=$AL33,IF(F45="○",3,IF(F45="△",1,0)),0)</f>
        <v>0</v>
      </c>
      <c r="AV45" s="258">
        <f>IF(AL45=$AL37,IF(M45="○",3,IF(M45="△",1,0)),0)</f>
        <v>0</v>
      </c>
      <c r="AW45" s="258">
        <f>IF(AL45=$AL41,IF(T45="○",3,IF(T45="△",1,0)),0)</f>
        <v>0</v>
      </c>
      <c r="AY45" s="258">
        <f>IF(AL45=$AL49,IF(AH45="○",3,IF(AH45="△",1,0)),0)</f>
        <v>0</v>
      </c>
    </row>
    <row r="46" spans="1:61" ht="19.5" customHeight="1" x14ac:dyDescent="0.15">
      <c r="A46" s="474"/>
      <c r="B46" s="808"/>
      <c r="C46" s="464"/>
      <c r="E46" s="446" t="str">
        <f>IF(AB34="","",AB34)</f>
        <v/>
      </c>
      <c r="F46" s="447" t="s">
        <v>92</v>
      </c>
      <c r="G46" s="448" t="str">
        <f>IF(Z34="","",Z34)</f>
        <v/>
      </c>
      <c r="I46" s="467"/>
      <c r="J46" s="464"/>
      <c r="L46" s="446" t="str">
        <f>IF(AB38="","",AB38)</f>
        <v/>
      </c>
      <c r="M46" s="447" t="s">
        <v>92</v>
      </c>
      <c r="N46" s="448" t="str">
        <f>IF(Z38="","",Z38)</f>
        <v/>
      </c>
      <c r="P46" s="467"/>
      <c r="Q46" s="464"/>
      <c r="S46" s="446" t="str">
        <f>IF(AB42="","",AB42)</f>
        <v/>
      </c>
      <c r="T46" s="447" t="s">
        <v>92</v>
      </c>
      <c r="U46" s="448" t="str">
        <f>IF(Z42="","",Z42)</f>
        <v/>
      </c>
      <c r="W46" s="467"/>
      <c r="X46" s="812"/>
      <c r="Y46" s="813"/>
      <c r="Z46" s="813"/>
      <c r="AA46" s="813"/>
      <c r="AB46" s="813"/>
      <c r="AC46" s="813"/>
      <c r="AD46" s="814"/>
      <c r="AE46" s="464"/>
      <c r="AF46" s="290"/>
      <c r="AG46" s="465"/>
      <c r="AH46" s="447" t="s">
        <v>92</v>
      </c>
      <c r="AI46" s="466"/>
      <c r="AJ46" s="290"/>
      <c r="AK46" s="467"/>
      <c r="AL46" s="836"/>
      <c r="AM46" s="836"/>
      <c r="AN46" s="836"/>
      <c r="AO46" s="836"/>
      <c r="AT46" s="290"/>
    </row>
    <row r="47" spans="1:61" ht="19.5" customHeight="1" x14ac:dyDescent="0.15">
      <c r="A47" s="474"/>
      <c r="B47" s="808"/>
      <c r="C47" s="464"/>
      <c r="E47" s="446" t="str">
        <f>IF(AB35="","",AB35)</f>
        <v/>
      </c>
      <c r="F47" s="447" t="s">
        <v>92</v>
      </c>
      <c r="G47" s="448" t="str">
        <f>IF(Z35="","",Z35)</f>
        <v/>
      </c>
      <c r="I47" s="467"/>
      <c r="J47" s="464"/>
      <c r="L47" s="446" t="str">
        <f>IF(AB39="","",AB39)</f>
        <v/>
      </c>
      <c r="M47" s="447" t="s">
        <v>92</v>
      </c>
      <c r="N47" s="448" t="str">
        <f>IF(Z39="","",Z39)</f>
        <v/>
      </c>
      <c r="P47" s="467"/>
      <c r="Q47" s="464"/>
      <c r="S47" s="446" t="str">
        <f>IF(AB43="","",AB43)</f>
        <v/>
      </c>
      <c r="T47" s="447" t="s">
        <v>92</v>
      </c>
      <c r="U47" s="448" t="str">
        <f>IF(Z43="","",Z43)</f>
        <v/>
      </c>
      <c r="W47" s="467"/>
      <c r="X47" s="812"/>
      <c r="Y47" s="813"/>
      <c r="Z47" s="813"/>
      <c r="AA47" s="813"/>
      <c r="AB47" s="813"/>
      <c r="AC47" s="813"/>
      <c r="AD47" s="814"/>
      <c r="AE47" s="464"/>
      <c r="AF47" s="290"/>
      <c r="AG47" s="465"/>
      <c r="AH47" s="447" t="s">
        <v>92</v>
      </c>
      <c r="AI47" s="466"/>
      <c r="AJ47" s="290"/>
      <c r="AK47" s="467"/>
      <c r="AL47" s="836"/>
      <c r="AM47" s="836"/>
      <c r="AN47" s="836"/>
      <c r="AO47" s="836"/>
      <c r="AT47" s="290"/>
    </row>
    <row r="48" spans="1:61" ht="3.75" customHeight="1" x14ac:dyDescent="0.15">
      <c r="A48" s="474"/>
      <c r="B48" s="808"/>
      <c r="C48" s="468"/>
      <c r="D48" s="469"/>
      <c r="E48" s="470"/>
      <c r="F48" s="471"/>
      <c r="G48" s="472"/>
      <c r="H48" s="469"/>
      <c r="I48" s="473"/>
      <c r="J48" s="468"/>
      <c r="K48" s="469"/>
      <c r="L48" s="470"/>
      <c r="M48" s="471"/>
      <c r="N48" s="472"/>
      <c r="O48" s="469"/>
      <c r="P48" s="473"/>
      <c r="Q48" s="468"/>
      <c r="R48" s="469"/>
      <c r="S48" s="470"/>
      <c r="T48" s="471"/>
      <c r="U48" s="472"/>
      <c r="V48" s="469"/>
      <c r="W48" s="473"/>
      <c r="X48" s="815"/>
      <c r="Y48" s="816"/>
      <c r="Z48" s="816"/>
      <c r="AA48" s="816"/>
      <c r="AB48" s="816"/>
      <c r="AC48" s="816"/>
      <c r="AD48" s="817"/>
      <c r="AE48" s="468"/>
      <c r="AF48" s="469"/>
      <c r="AG48" s="470"/>
      <c r="AH48" s="471"/>
      <c r="AI48" s="472"/>
      <c r="AJ48" s="469"/>
      <c r="AK48" s="473"/>
      <c r="AL48" s="836"/>
      <c r="AM48" s="836"/>
      <c r="AN48" s="836"/>
      <c r="AO48" s="836"/>
      <c r="AQ48" s="258" t="str">
        <f t="shared" ref="AQ48" si="34">IF(OR(AL48="",MOD(COUNT(C48:AK48),2)=1),"",AL48*10000+AM48*100+AN48)</f>
        <v/>
      </c>
      <c r="AT48" s="290"/>
    </row>
    <row r="49" spans="1:50" ht="19.5" customHeight="1" x14ac:dyDescent="0.15">
      <c r="A49" s="474">
        <f t="shared" ref="A49" si="35">A45+1</f>
        <v>5</v>
      </c>
      <c r="B49" s="808" t="str">
        <f>IF(ISERROR(MATCH(A49,予選学校名!$H$22:$H$32,0)),"",INDEX(予選学校名!$H$22:$K$32,MATCH(A49,予選学校名!$H$22:$H$32,0),2))</f>
        <v>七尾東部</v>
      </c>
      <c r="C49" s="818" t="str">
        <f>IF(E50="","",SUM(E50,E51))</f>
        <v/>
      </c>
      <c r="D49" s="819"/>
      <c r="E49" s="819"/>
      <c r="F49" s="463" t="str">
        <f>IF(C49="","",IF(C49&gt;G49,"○",IF(C49&lt;G49,"●","△")))</f>
        <v/>
      </c>
      <c r="G49" s="819" t="str">
        <f>IF(G50="","",SUM(G50,G51))</f>
        <v/>
      </c>
      <c r="H49" s="819"/>
      <c r="I49" s="820"/>
      <c r="J49" s="818" t="str">
        <f>IF(L50="","",SUM(L50,L51))</f>
        <v/>
      </c>
      <c r="K49" s="819"/>
      <c r="L49" s="819"/>
      <c r="M49" s="463" t="str">
        <f>IF(J49="","",IF(J49&gt;N49,"○",IF(J49&lt;N49,"●","△")))</f>
        <v/>
      </c>
      <c r="N49" s="819" t="str">
        <f>IF(N50="","",SUM(N50,N51))</f>
        <v/>
      </c>
      <c r="O49" s="819"/>
      <c r="P49" s="820"/>
      <c r="Q49" s="818" t="str">
        <f>IF(S50="","",SUM(S50,S51))</f>
        <v/>
      </c>
      <c r="R49" s="819"/>
      <c r="S49" s="819"/>
      <c r="T49" s="463" t="str">
        <f>IF(Q49="","",IF(Q49&gt;U49,"○",IF(Q49&lt;U49,"●","△")))</f>
        <v/>
      </c>
      <c r="U49" s="819" t="str">
        <f>IF(U50="","",SUM(U50,U51))</f>
        <v/>
      </c>
      <c r="V49" s="819"/>
      <c r="W49" s="820"/>
      <c r="X49" s="818" t="str">
        <f>IF(Z50="","",SUM(Z50,Z51))</f>
        <v/>
      </c>
      <c r="Y49" s="819"/>
      <c r="Z49" s="819"/>
      <c r="AA49" s="463" t="str">
        <f>IF(X49="","",IF(X49&gt;AB49,"○",IF(X49&lt;AB49,"●","△")))</f>
        <v/>
      </c>
      <c r="AB49" s="819" t="str">
        <f>IF(AB50="","",SUM(AB50,AB51))</f>
        <v/>
      </c>
      <c r="AC49" s="819"/>
      <c r="AD49" s="820"/>
      <c r="AE49" s="809"/>
      <c r="AF49" s="810"/>
      <c r="AG49" s="810"/>
      <c r="AH49" s="810"/>
      <c r="AI49" s="810"/>
      <c r="AJ49" s="810"/>
      <c r="AK49" s="811"/>
      <c r="AL49" s="836" t="str">
        <f t="shared" ref="AL49" si="36">IF(COUNT(C50:AK50)=0,"",COUNTIF(C49:AK49,"○")*3+COUNTIF(C49:AK49,"△"))</f>
        <v/>
      </c>
      <c r="AM49" s="836" t="str">
        <f>IF(AL49="","",SUM(AI33:AI52)/2-SUM(AG33:AG52))</f>
        <v/>
      </c>
      <c r="AN49" s="836" t="str">
        <f>IF(AL49="","",SUM(AI33:AI52)/2)</f>
        <v/>
      </c>
      <c r="AO49" s="836" t="str">
        <f t="shared" ref="AO49" si="37">IF(OR(AL49="",MOD(COUNT(C49:AK49),2)=1),"",RANK(AQ49,$AQ$33:$AQ$52))</f>
        <v/>
      </c>
      <c r="AQ49" s="258" t="str">
        <f t="shared" ref="AQ49" si="38">IF(OR(AL49="",MOD(COUNT(C49:AK49),2)=1),"",AL49*1000000+SUM(AU49:AY49)*10000+AM49*100+AN49)</f>
        <v/>
      </c>
      <c r="AT49" s="290" t="str">
        <f t="shared" ref="AT49" si="39">B49</f>
        <v>七尾東部</v>
      </c>
      <c r="AU49" s="258">
        <f>IF(AL49=$AL33,IF(F49="○",3,IF(F49="△",1,0)),0)</f>
        <v>0</v>
      </c>
      <c r="AV49" s="258">
        <f>IF(AL49=$AL37,IF(M49="○",3,IF(M49="△",1,0)),0)</f>
        <v>0</v>
      </c>
      <c r="AW49" s="258">
        <f>IF(AL49=$AL41,IF(T49="○",3,IF(T49="△",1,0)),0)</f>
        <v>0</v>
      </c>
      <c r="AX49" s="258">
        <f>IF(AL49=$AL45,IF(AA49="○",3,IF(AA49="△",1,0)),0)</f>
        <v>0</v>
      </c>
    </row>
    <row r="50" spans="1:50" ht="19.5" customHeight="1" x14ac:dyDescent="0.15">
      <c r="A50" s="474"/>
      <c r="B50" s="808"/>
      <c r="C50" s="464"/>
      <c r="E50" s="446" t="str">
        <f>IF(AI34="","",AI34)</f>
        <v/>
      </c>
      <c r="F50" s="447" t="s">
        <v>92</v>
      </c>
      <c r="G50" s="448" t="str">
        <f>IF(AG34="","",AG34)</f>
        <v/>
      </c>
      <c r="I50" s="467"/>
      <c r="J50" s="464"/>
      <c r="L50" s="446" t="str">
        <f>IF(AI38="","",AI38)</f>
        <v/>
      </c>
      <c r="M50" s="447" t="s">
        <v>92</v>
      </c>
      <c r="N50" s="448" t="str">
        <f>IF(AG38="","",AG38)</f>
        <v/>
      </c>
      <c r="P50" s="467"/>
      <c r="Q50" s="464"/>
      <c r="S50" s="446" t="str">
        <f>IF(AI42="","",AI42)</f>
        <v/>
      </c>
      <c r="T50" s="447" t="s">
        <v>92</v>
      </c>
      <c r="U50" s="448" t="str">
        <f>IF(AG42="","",AG42)</f>
        <v/>
      </c>
      <c r="W50" s="467"/>
      <c r="X50" s="464"/>
      <c r="Y50" s="290"/>
      <c r="Z50" s="446" t="str">
        <f>IF(AI46="","",AI46)</f>
        <v/>
      </c>
      <c r="AA50" s="447" t="s">
        <v>92</v>
      </c>
      <c r="AB50" s="448" t="str">
        <f>IF(AG46="","",AG46)</f>
        <v/>
      </c>
      <c r="AC50" s="290"/>
      <c r="AD50" s="467"/>
      <c r="AE50" s="812"/>
      <c r="AF50" s="813"/>
      <c r="AG50" s="813"/>
      <c r="AH50" s="813"/>
      <c r="AI50" s="813"/>
      <c r="AJ50" s="813"/>
      <c r="AK50" s="814"/>
      <c r="AL50" s="836"/>
      <c r="AM50" s="836"/>
      <c r="AN50" s="836"/>
      <c r="AO50" s="836"/>
    </row>
    <row r="51" spans="1:50" ht="19.5" customHeight="1" x14ac:dyDescent="0.15">
      <c r="A51" s="474"/>
      <c r="B51" s="808"/>
      <c r="C51" s="464"/>
      <c r="E51" s="446" t="str">
        <f>IF(AI35="","",AI35)</f>
        <v/>
      </c>
      <c r="F51" s="447" t="s">
        <v>92</v>
      </c>
      <c r="G51" s="448" t="str">
        <f>IF(AG35="","",AG35)</f>
        <v/>
      </c>
      <c r="I51" s="467"/>
      <c r="J51" s="464"/>
      <c r="L51" s="446" t="str">
        <f>IF(AI39="","",AI39)</f>
        <v/>
      </c>
      <c r="M51" s="447" t="s">
        <v>92</v>
      </c>
      <c r="N51" s="448" t="str">
        <f>IF(AG39="","",AG39)</f>
        <v/>
      </c>
      <c r="P51" s="467"/>
      <c r="Q51" s="464"/>
      <c r="S51" s="446" t="str">
        <f>IF(AI43="","",AI43)</f>
        <v/>
      </c>
      <c r="T51" s="447" t="s">
        <v>92</v>
      </c>
      <c r="U51" s="448" t="str">
        <f>IF(AG43="","",AG43)</f>
        <v/>
      </c>
      <c r="W51" s="467"/>
      <c r="X51" s="464"/>
      <c r="Y51" s="290"/>
      <c r="Z51" s="446" t="str">
        <f>IF(AI47="","",AI47)</f>
        <v/>
      </c>
      <c r="AA51" s="447" t="s">
        <v>92</v>
      </c>
      <c r="AB51" s="448" t="str">
        <f>IF(AG47="","",AG47)</f>
        <v/>
      </c>
      <c r="AC51" s="290"/>
      <c r="AD51" s="467"/>
      <c r="AE51" s="812"/>
      <c r="AF51" s="813"/>
      <c r="AG51" s="813"/>
      <c r="AH51" s="813"/>
      <c r="AI51" s="813"/>
      <c r="AJ51" s="813"/>
      <c r="AK51" s="814"/>
      <c r="AL51" s="836"/>
      <c r="AM51" s="836"/>
      <c r="AN51" s="836"/>
      <c r="AO51" s="836"/>
    </row>
    <row r="52" spans="1:50" ht="3.75" customHeight="1" x14ac:dyDescent="0.15">
      <c r="A52" s="474"/>
      <c r="B52" s="808"/>
      <c r="C52" s="468"/>
      <c r="D52" s="469"/>
      <c r="E52" s="470"/>
      <c r="F52" s="471"/>
      <c r="G52" s="472"/>
      <c r="H52" s="469"/>
      <c r="I52" s="473"/>
      <c r="J52" s="468"/>
      <c r="K52" s="469"/>
      <c r="L52" s="470"/>
      <c r="M52" s="471"/>
      <c r="N52" s="472"/>
      <c r="O52" s="469"/>
      <c r="P52" s="473"/>
      <c r="Q52" s="468"/>
      <c r="R52" s="469"/>
      <c r="S52" s="470"/>
      <c r="T52" s="471"/>
      <c r="U52" s="472"/>
      <c r="V52" s="469"/>
      <c r="W52" s="473"/>
      <c r="X52" s="468"/>
      <c r="Y52" s="469"/>
      <c r="Z52" s="470"/>
      <c r="AA52" s="471"/>
      <c r="AB52" s="472"/>
      <c r="AC52" s="469"/>
      <c r="AD52" s="473"/>
      <c r="AE52" s="815"/>
      <c r="AF52" s="816"/>
      <c r="AG52" s="816"/>
      <c r="AH52" s="816"/>
      <c r="AI52" s="816"/>
      <c r="AJ52" s="816"/>
      <c r="AK52" s="817"/>
      <c r="AL52" s="836"/>
      <c r="AM52" s="836"/>
      <c r="AN52" s="836"/>
      <c r="AO52" s="836"/>
      <c r="AQ52" s="258" t="str">
        <f t="shared" ref="AQ52" si="40">IF(OR(AL52="",MOD(COUNT(C52:AK52),2)=1),"",AL52*10000+AM52*100+AN52)</f>
        <v/>
      </c>
    </row>
  </sheetData>
  <mergeCells count="140">
    <mergeCell ref="AN49:AN52"/>
    <mergeCell ref="AO49:AO52"/>
    <mergeCell ref="AL45:AL48"/>
    <mergeCell ref="AM45:AM48"/>
    <mergeCell ref="AN45:AN48"/>
    <mergeCell ref="AO45:AO48"/>
    <mergeCell ref="B49:B52"/>
    <mergeCell ref="C49:E49"/>
    <mergeCell ref="G49:I49"/>
    <mergeCell ref="J49:L49"/>
    <mergeCell ref="N49:P49"/>
    <mergeCell ref="Q49:S49"/>
    <mergeCell ref="U49:W49"/>
    <mergeCell ref="X49:Z49"/>
    <mergeCell ref="AB49:AD49"/>
    <mergeCell ref="AE49:AK52"/>
    <mergeCell ref="AL49:AL52"/>
    <mergeCell ref="AM49:AM52"/>
    <mergeCell ref="Q45:S45"/>
    <mergeCell ref="U45:W45"/>
    <mergeCell ref="X45:AD48"/>
    <mergeCell ref="AE45:AG45"/>
    <mergeCell ref="AI45:AK45"/>
    <mergeCell ref="B45:B48"/>
    <mergeCell ref="C45:E45"/>
    <mergeCell ref="G45:I45"/>
    <mergeCell ref="J45:L45"/>
    <mergeCell ref="N45:P45"/>
    <mergeCell ref="AN37:AN40"/>
    <mergeCell ref="AO37:AO40"/>
    <mergeCell ref="B41:B44"/>
    <mergeCell ref="C41:E41"/>
    <mergeCell ref="G41:I41"/>
    <mergeCell ref="J41:L41"/>
    <mergeCell ref="N41:P41"/>
    <mergeCell ref="Q41:W44"/>
    <mergeCell ref="X41:Z41"/>
    <mergeCell ref="AB41:AD41"/>
    <mergeCell ref="AE41:AG41"/>
    <mergeCell ref="AI41:AK41"/>
    <mergeCell ref="AL41:AL44"/>
    <mergeCell ref="AM41:AM44"/>
    <mergeCell ref="AN41:AN44"/>
    <mergeCell ref="AO41:AO44"/>
    <mergeCell ref="AE10:AK13"/>
    <mergeCell ref="AL33:AL36"/>
    <mergeCell ref="AM33:AM36"/>
    <mergeCell ref="AN33:AN36"/>
    <mergeCell ref="AO33:AO36"/>
    <mergeCell ref="B37:B40"/>
    <mergeCell ref="C37:E37"/>
    <mergeCell ref="G37:I37"/>
    <mergeCell ref="J37:P40"/>
    <mergeCell ref="Q37:S37"/>
    <mergeCell ref="U37:W37"/>
    <mergeCell ref="X37:Z37"/>
    <mergeCell ref="AB37:AD37"/>
    <mergeCell ref="AE37:AG37"/>
    <mergeCell ref="AI37:AK37"/>
    <mergeCell ref="AL37:AL40"/>
    <mergeCell ref="AM37:AM40"/>
    <mergeCell ref="U33:W33"/>
    <mergeCell ref="X33:Z33"/>
    <mergeCell ref="AB33:AD33"/>
    <mergeCell ref="AE33:AG33"/>
    <mergeCell ref="AI33:AK33"/>
    <mergeCell ref="B33:B36"/>
    <mergeCell ref="C33:I36"/>
    <mergeCell ref="AE9:AK9"/>
    <mergeCell ref="E3:G3"/>
    <mergeCell ref="E4:G4"/>
    <mergeCell ref="E5:G5"/>
    <mergeCell ref="H3:AE3"/>
    <mergeCell ref="H4:AE4"/>
    <mergeCell ref="H5:AE5"/>
    <mergeCell ref="AG4:AJ4"/>
    <mergeCell ref="AG5:AJ5"/>
    <mergeCell ref="H6:W6"/>
    <mergeCell ref="C9:I9"/>
    <mergeCell ref="J9:P9"/>
    <mergeCell ref="Q9:W9"/>
    <mergeCell ref="X9:AD9"/>
    <mergeCell ref="AM18:AM21"/>
    <mergeCell ref="B14:B17"/>
    <mergeCell ref="C14:I17"/>
    <mergeCell ref="J14:P17"/>
    <mergeCell ref="Q14:W17"/>
    <mergeCell ref="N33:P33"/>
    <mergeCell ref="Q33:S33"/>
    <mergeCell ref="C32:I32"/>
    <mergeCell ref="J32:P32"/>
    <mergeCell ref="Q32:W32"/>
    <mergeCell ref="X32:AD32"/>
    <mergeCell ref="AE32:AK32"/>
    <mergeCell ref="J33:L33"/>
    <mergeCell ref="B22:B25"/>
    <mergeCell ref="C22:I25"/>
    <mergeCell ref="J22:P25"/>
    <mergeCell ref="Q22:W25"/>
    <mergeCell ref="X22:AD25"/>
    <mergeCell ref="B26:B29"/>
    <mergeCell ref="C26:I29"/>
    <mergeCell ref="J26:P29"/>
    <mergeCell ref="Q26:W29"/>
    <mergeCell ref="X26:AD29"/>
    <mergeCell ref="B10:B13"/>
    <mergeCell ref="C10:I13"/>
    <mergeCell ref="J10:P13"/>
    <mergeCell ref="Q10:W13"/>
    <mergeCell ref="B18:B21"/>
    <mergeCell ref="C18:I21"/>
    <mergeCell ref="J18:P21"/>
    <mergeCell ref="Q18:W21"/>
    <mergeCell ref="X14:AD17"/>
    <mergeCell ref="X18:AD21"/>
    <mergeCell ref="X10:AD13"/>
    <mergeCell ref="AO26:AO29"/>
    <mergeCell ref="AG3:AJ3"/>
    <mergeCell ref="AM22:AM25"/>
    <mergeCell ref="AN22:AN25"/>
    <mergeCell ref="AO22:AO25"/>
    <mergeCell ref="AE26:AK29"/>
    <mergeCell ref="AE22:AK25"/>
    <mergeCell ref="AL22:AL25"/>
    <mergeCell ref="AO18:AO21"/>
    <mergeCell ref="AO14:AO17"/>
    <mergeCell ref="AE14:AK17"/>
    <mergeCell ref="AL14:AL17"/>
    <mergeCell ref="AM14:AM17"/>
    <mergeCell ref="AN18:AN21"/>
    <mergeCell ref="AL26:AL29"/>
    <mergeCell ref="AM26:AM29"/>
    <mergeCell ref="AN26:AN29"/>
    <mergeCell ref="AN14:AN17"/>
    <mergeCell ref="AO10:AO13"/>
    <mergeCell ref="AL10:AL13"/>
    <mergeCell ref="AM10:AM13"/>
    <mergeCell ref="AN10:AN13"/>
    <mergeCell ref="AE18:AK21"/>
    <mergeCell ref="AL18:AL21"/>
  </mergeCells>
  <phoneticPr fontId="2"/>
  <printOptions horizontalCentered="1"/>
  <pageMargins left="0.39370078740157483" right="0.39370078740157483" top="0.39370078740157483" bottom="0.74803149606299213" header="0.31496062992125984" footer="0.31496062992125984"/>
  <pageSetup paperSize="9" scale="8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3430B-85B1-472F-996C-2F49DB45183D}">
  <sheetPr>
    <tabColor rgb="FFC00000"/>
    <pageSetUpPr fitToPage="1"/>
  </sheetPr>
  <dimension ref="A1:EL115"/>
  <sheetViews>
    <sheetView showGridLines="0" topLeftCell="B1" zoomScaleNormal="100" zoomScaleSheetLayoutView="98" workbookViewId="0">
      <selection activeCell="L3" sqref="L3:AO3"/>
    </sheetView>
  </sheetViews>
  <sheetFormatPr defaultColWidth="9" defaultRowHeight="14.25" x14ac:dyDescent="0.15"/>
  <cols>
    <col min="1" max="1" width="12.25" style="475" hidden="1" customWidth="1"/>
    <col min="2" max="131" width="1" style="475" customWidth="1"/>
    <col min="132" max="132" width="3.375" style="270" bestFit="1" customWidth="1"/>
    <col min="133" max="136" width="9" style="475"/>
    <col min="137" max="260" width="1" style="475" customWidth="1"/>
    <col min="261" max="16384" width="9" style="475"/>
  </cols>
  <sheetData>
    <row r="1" spans="1:133" ht="25.5" thickBot="1" x14ac:dyDescent="0.2">
      <c r="B1" s="476" t="str">
        <f ca="1">"令和"&amp;IF(YEAR(NOW())=2019,"元",YEAR(NOW())-2018)&amp;"年度 第"&amp;YEAR(NOW())-1999&amp;"回 加賀地区中学校サッカー大会 《 北加賀ブロック 》"</f>
        <v>令和6年度 第25回 加賀地区中学校サッカー大会 《 北加賀ブロック 》</v>
      </c>
      <c r="C1" s="476"/>
      <c r="D1" s="476"/>
      <c r="E1" s="476"/>
      <c r="F1" s="476"/>
      <c r="G1" s="476"/>
      <c r="H1" s="476"/>
      <c r="I1" s="476"/>
      <c r="J1" s="476"/>
      <c r="K1" s="476"/>
      <c r="L1" s="476"/>
      <c r="M1" s="476"/>
      <c r="N1" s="476"/>
      <c r="O1" s="476"/>
      <c r="P1" s="476"/>
      <c r="Q1" s="476"/>
      <c r="R1" s="476"/>
      <c r="S1" s="476"/>
      <c r="T1" s="476"/>
      <c r="U1" s="476"/>
      <c r="V1" s="476"/>
      <c r="W1" s="476"/>
      <c r="X1" s="476"/>
      <c r="Y1" s="476"/>
      <c r="Z1" s="476"/>
      <c r="AA1" s="476"/>
      <c r="AB1" s="476"/>
      <c r="AC1" s="476"/>
      <c r="AD1" s="476"/>
      <c r="AE1" s="476"/>
      <c r="AF1" s="476"/>
      <c r="AG1" s="476"/>
      <c r="AH1" s="476"/>
      <c r="AI1" s="476"/>
      <c r="AJ1" s="476"/>
      <c r="AK1" s="476"/>
      <c r="AL1" s="476"/>
      <c r="AM1" s="476"/>
      <c r="AN1" s="476"/>
      <c r="AO1" s="476"/>
      <c r="AP1" s="476"/>
      <c r="AQ1" s="476"/>
      <c r="AR1" s="476"/>
      <c r="AS1" s="476"/>
      <c r="AT1" s="476"/>
      <c r="AU1" s="476"/>
      <c r="AV1" s="476"/>
      <c r="AW1" s="476"/>
      <c r="AX1" s="476"/>
      <c r="AY1" s="476"/>
      <c r="AZ1" s="476"/>
      <c r="BA1" s="476"/>
      <c r="BB1" s="476"/>
      <c r="BC1" s="476"/>
      <c r="BD1" s="476"/>
      <c r="BE1" s="476"/>
      <c r="BF1" s="476"/>
      <c r="BG1" s="476"/>
      <c r="BH1" s="476"/>
      <c r="BI1" s="476"/>
      <c r="BJ1" s="476"/>
      <c r="BK1" s="476"/>
      <c r="BL1" s="476"/>
      <c r="BM1" s="476"/>
      <c r="BN1" s="476"/>
      <c r="BO1" s="476"/>
      <c r="BP1" s="476"/>
      <c r="BQ1" s="476"/>
      <c r="BR1" s="476"/>
      <c r="BS1" s="476"/>
      <c r="BT1" s="476"/>
      <c r="BU1" s="476"/>
      <c r="BV1" s="476"/>
      <c r="BW1" s="476"/>
      <c r="BX1" s="476"/>
      <c r="BY1" s="476"/>
      <c r="BZ1" s="476"/>
      <c r="CA1" s="476"/>
      <c r="CB1" s="476"/>
      <c r="CC1" s="476"/>
      <c r="CD1" s="476"/>
      <c r="CE1" s="476"/>
      <c r="CF1" s="476"/>
      <c r="CG1" s="476"/>
      <c r="CH1" s="476"/>
      <c r="CI1" s="476"/>
      <c r="CJ1" s="476"/>
      <c r="CK1" s="476"/>
      <c r="CL1" s="476"/>
      <c r="CM1" s="476"/>
      <c r="CN1" s="476"/>
      <c r="CO1" s="476"/>
      <c r="CP1" s="476"/>
      <c r="CQ1" s="476"/>
      <c r="CR1" s="476"/>
      <c r="CS1" s="476"/>
      <c r="CT1" s="476"/>
      <c r="CU1" s="476"/>
      <c r="CV1" s="476"/>
      <c r="CW1" s="476"/>
      <c r="CX1" s="476"/>
      <c r="CY1" s="476"/>
      <c r="CZ1" s="476"/>
      <c r="DA1" s="476"/>
      <c r="DB1" s="476"/>
      <c r="DC1" s="476"/>
      <c r="DD1" s="476"/>
      <c r="DE1" s="476"/>
      <c r="DF1" s="476"/>
      <c r="DG1" s="476"/>
      <c r="DH1" s="476"/>
      <c r="DI1" s="476"/>
      <c r="DJ1" s="476"/>
      <c r="DK1" s="476"/>
      <c r="DL1" s="476"/>
      <c r="DM1" s="476"/>
      <c r="DN1" s="476"/>
      <c r="DO1" s="476"/>
      <c r="DP1" s="476"/>
      <c r="DQ1" s="476"/>
      <c r="DR1" s="476"/>
      <c r="DS1" s="476"/>
      <c r="DT1" s="476"/>
      <c r="DU1" s="476"/>
      <c r="DV1" s="476"/>
      <c r="DW1" s="476"/>
      <c r="DX1" s="476"/>
      <c r="DY1" s="476"/>
      <c r="DZ1" s="476"/>
      <c r="EA1" s="476"/>
      <c r="EB1" s="477"/>
      <c r="EC1" s="478">
        <v>3</v>
      </c>
    </row>
    <row r="2" spans="1:133" x14ac:dyDescent="0.15">
      <c r="AQ2" s="479"/>
      <c r="AX2" s="480"/>
      <c r="AY2" s="480"/>
      <c r="AZ2" s="480"/>
      <c r="BS2" s="481"/>
      <c r="BY2" s="481"/>
      <c r="BZ2" s="481"/>
      <c r="CA2" s="481"/>
      <c r="CB2" s="481"/>
    </row>
    <row r="3" spans="1:133" ht="18.75" customHeight="1" x14ac:dyDescent="0.15">
      <c r="A3" s="482" t="str">
        <f>IF(BJ14=BP14,"",IF(BJ14&gt;BP14,AC16,CW16))</f>
        <v>学院附属</v>
      </c>
      <c r="D3" s="888" t="s">
        <v>108</v>
      </c>
      <c r="E3" s="889"/>
      <c r="F3" s="889"/>
      <c r="G3" s="889"/>
      <c r="H3" s="889"/>
      <c r="I3" s="889"/>
      <c r="J3" s="889"/>
      <c r="K3" s="483"/>
      <c r="L3" s="859" t="str">
        <f>IF(A3="","",IF(VLOOKUP(A3,予選学校名!$C$3:$F$32,3,FALSE)="",VLOOKUP(A3,予選学校名!$C$3:$F$32,4,FALSE),VLOOKUP(A3,予選学校名!$C$3:$F$32,3,FALSE)&amp;"立"&amp;'北(22)'!A3&amp;"中学校"))</f>
        <v>金沢学院大学附属中学校</v>
      </c>
      <c r="M3" s="859"/>
      <c r="N3" s="859"/>
      <c r="O3" s="859"/>
      <c r="P3" s="859"/>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90" t="str">
        <f>IF(A3="","","("&amp;VLOOKUP(A3,予選学校名!$C$3:$F$32,2,FALSE)&amp;")")</f>
        <v>(金沢市)</v>
      </c>
      <c r="AQ3" s="890"/>
      <c r="AR3" s="890"/>
      <c r="AS3" s="890"/>
      <c r="AT3" s="890"/>
      <c r="AU3" s="890"/>
      <c r="AV3" s="890"/>
      <c r="AW3" s="890"/>
      <c r="AX3" s="890"/>
      <c r="AY3" s="890"/>
      <c r="AZ3" s="890"/>
      <c r="BA3" s="890"/>
      <c r="BB3" s="890"/>
      <c r="BC3" s="460"/>
      <c r="BD3" s="460"/>
      <c r="BE3" s="888" t="s">
        <v>109</v>
      </c>
      <c r="BF3" s="888"/>
      <c r="BG3" s="888"/>
      <c r="BH3" s="888"/>
      <c r="BI3" s="888"/>
      <c r="BJ3" s="888"/>
      <c r="BK3" s="888"/>
      <c r="BL3" s="888"/>
      <c r="BM3" s="888"/>
      <c r="BN3" s="483"/>
      <c r="BO3" s="859" t="str">
        <f>IF(A7="","",IF(VLOOKUP(A7,予選学校名!$C$3:$F$32,3,FALSE)="",VLOOKUP(A7,予選学校名!$C$3:$F$32,4,FALSE),VLOOKUP(A7,予選学校名!$C$3:$F$32,3,FALSE)&amp;"立"&amp;'北(22)'!A7&amp;"中学校"))</f>
        <v>金沢市立清泉中学校</v>
      </c>
      <c r="BP3" s="859"/>
      <c r="BQ3" s="859"/>
      <c r="BR3" s="859"/>
      <c r="BS3" s="859"/>
      <c r="BT3" s="859"/>
      <c r="BU3" s="859"/>
      <c r="BV3" s="859"/>
      <c r="BW3" s="859"/>
      <c r="BX3" s="859"/>
      <c r="BY3" s="859"/>
      <c r="BZ3" s="859"/>
      <c r="CA3" s="859"/>
      <c r="CB3" s="859"/>
      <c r="CC3" s="859"/>
      <c r="CD3" s="859"/>
      <c r="CE3" s="859"/>
      <c r="CF3" s="859"/>
      <c r="CG3" s="859"/>
      <c r="CH3" s="859"/>
      <c r="CI3" s="859"/>
      <c r="CJ3" s="859"/>
      <c r="CK3" s="859"/>
      <c r="CL3" s="859"/>
      <c r="CM3" s="859"/>
      <c r="CN3" s="859"/>
      <c r="CO3" s="859"/>
      <c r="CP3" s="859"/>
      <c r="CQ3" s="859"/>
      <c r="CR3" s="859"/>
      <c r="CS3" s="890" t="str">
        <f>IF(A7="","","("&amp;VLOOKUP(A7,予選学校名!$C$3:$F$32,2,FALSE)&amp;")")</f>
        <v>(金沢市)</v>
      </c>
      <c r="CT3" s="890"/>
      <c r="CU3" s="890"/>
      <c r="CV3" s="890"/>
      <c r="CW3" s="890"/>
      <c r="CX3" s="890"/>
      <c r="CY3" s="890"/>
      <c r="CZ3" s="890"/>
      <c r="DA3" s="890"/>
      <c r="DB3" s="890"/>
      <c r="DC3" s="890"/>
      <c r="DD3" s="890"/>
      <c r="DE3" s="890"/>
      <c r="DW3" s="270"/>
      <c r="EB3" s="475"/>
    </row>
    <row r="4" spans="1:133" ht="18.75" customHeight="1" x14ac:dyDescent="0.15">
      <c r="A4" s="482" t="str">
        <f>IF(A3="","",IF(BJ14=BP14,"",IF(BJ14&lt;BP14,AC16,CW16)))</f>
        <v>星稜</v>
      </c>
      <c r="D4" s="888" t="s">
        <v>110</v>
      </c>
      <c r="E4" s="889"/>
      <c r="F4" s="889"/>
      <c r="G4" s="889"/>
      <c r="H4" s="889"/>
      <c r="I4" s="889"/>
      <c r="J4" s="889"/>
      <c r="K4" s="483"/>
      <c r="L4" s="896" t="str">
        <f>IF(A4="","",IF(VLOOKUP(A4,予選学校名!$C$3:$F$32,3,FALSE)="",VLOOKUP(A4,予選学校名!$C$3:$F$32,4,FALSE),VLOOKUP(A4,予選学校名!$C$3:$F$32,3,FALSE)&amp;"立"&amp;'北(22)'!A4&amp;"中学校"))</f>
        <v>星稜中学校</v>
      </c>
      <c r="M4" s="896"/>
      <c r="N4" s="896"/>
      <c r="O4" s="896"/>
      <c r="P4" s="896"/>
      <c r="Q4" s="896"/>
      <c r="R4" s="896"/>
      <c r="S4" s="896"/>
      <c r="T4" s="896"/>
      <c r="U4" s="896"/>
      <c r="V4" s="896"/>
      <c r="W4" s="896"/>
      <c r="X4" s="896"/>
      <c r="Y4" s="896"/>
      <c r="Z4" s="896"/>
      <c r="AA4" s="896"/>
      <c r="AB4" s="896"/>
      <c r="AC4" s="896"/>
      <c r="AD4" s="896"/>
      <c r="AE4" s="896"/>
      <c r="AF4" s="896"/>
      <c r="AG4" s="896"/>
      <c r="AH4" s="896"/>
      <c r="AI4" s="896"/>
      <c r="AJ4" s="896"/>
      <c r="AK4" s="896"/>
      <c r="AL4" s="896"/>
      <c r="AM4" s="896"/>
      <c r="AN4" s="896"/>
      <c r="AO4" s="896"/>
      <c r="AP4" s="860" t="str">
        <f>IF(A4="","","("&amp;VLOOKUP(A4,予選学校名!$C$3:$F$32,2,FALSE)&amp;")")</f>
        <v>(金沢市)</v>
      </c>
      <c r="AQ4" s="860"/>
      <c r="AR4" s="860"/>
      <c r="AS4" s="860"/>
      <c r="AT4" s="860"/>
      <c r="AU4" s="860"/>
      <c r="AV4" s="860"/>
      <c r="AW4" s="860"/>
      <c r="AX4" s="860"/>
      <c r="AY4" s="860"/>
      <c r="AZ4" s="860"/>
      <c r="BA4" s="860"/>
      <c r="BB4" s="860"/>
      <c r="BC4" s="460"/>
      <c r="BD4" s="460"/>
      <c r="BE4" s="460"/>
      <c r="BF4" s="460"/>
      <c r="BG4" s="460"/>
      <c r="BH4" s="483"/>
      <c r="BI4" s="483"/>
      <c r="BJ4" s="483"/>
      <c r="BK4" s="483"/>
      <c r="BL4" s="483"/>
      <c r="BM4" s="483"/>
      <c r="BN4" s="483"/>
      <c r="BO4" s="859" t="str">
        <f>IF(A8="","",IF(VLOOKUP(A8,予選学校名!$C$3:$F$32,3,FALSE)="",VLOOKUP(A8,予選学校名!$C$3:$F$32,4,FALSE),VLOOKUP(A8,予選学校名!$C$3:$F$32,3,FALSE)&amp;"立"&amp;'北(22)'!A8&amp;"中学校"))</f>
        <v>金沢市立野田中学校</v>
      </c>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60" t="str">
        <f>IF(A8="","","("&amp;VLOOKUP(A8,予選学校名!$C$3:$F$32,2,FALSE)&amp;")")</f>
        <v>(金沢市)</v>
      </c>
      <c r="CT4" s="860"/>
      <c r="CU4" s="860"/>
      <c r="CV4" s="860"/>
      <c r="CW4" s="860"/>
      <c r="CX4" s="860"/>
      <c r="CY4" s="860"/>
      <c r="CZ4" s="860"/>
      <c r="DA4" s="860"/>
      <c r="DB4" s="860"/>
      <c r="DC4" s="860"/>
      <c r="DD4" s="860"/>
      <c r="DE4" s="860"/>
      <c r="DW4" s="270"/>
      <c r="EB4" s="475"/>
    </row>
    <row r="5" spans="1:133" ht="18.75" customHeight="1" x14ac:dyDescent="0.15">
      <c r="A5" s="482" t="str">
        <f>IF(A3="","",IF(DF10&lt;&gt;"",DF10,IF(OR($A$3=K28,$A$3=AX28),$DA$23,$DO$23)))</f>
        <v>兼六</v>
      </c>
      <c r="D5" s="888" t="s">
        <v>111</v>
      </c>
      <c r="E5" s="889"/>
      <c r="F5" s="889"/>
      <c r="G5" s="889"/>
      <c r="H5" s="889"/>
      <c r="I5" s="889"/>
      <c r="J5" s="889"/>
      <c r="K5" s="483"/>
      <c r="L5" s="895" t="str">
        <f>IF(A5="","",IF(VLOOKUP(A5,予選学校名!$C$3:$F$32,3,FALSE)="",VLOOKUP(A5,予選学校名!$C$3:$F$32,4,FALSE),VLOOKUP(A5,予選学校名!$C$3:$F$32,3,FALSE)&amp;"立"&amp;'北(22)'!A5&amp;"中学校"))</f>
        <v>金沢市立兼六中学校</v>
      </c>
      <c r="M5" s="895"/>
      <c r="N5" s="895"/>
      <c r="O5" s="895"/>
      <c r="P5" s="895"/>
      <c r="Q5" s="895"/>
      <c r="R5" s="895"/>
      <c r="S5" s="895"/>
      <c r="T5" s="895"/>
      <c r="U5" s="895"/>
      <c r="V5" s="895"/>
      <c r="W5" s="895"/>
      <c r="X5" s="895"/>
      <c r="Y5" s="895"/>
      <c r="Z5" s="895"/>
      <c r="AA5" s="895"/>
      <c r="AB5" s="895"/>
      <c r="AC5" s="895"/>
      <c r="AD5" s="895"/>
      <c r="AE5" s="895"/>
      <c r="AF5" s="895"/>
      <c r="AG5" s="895"/>
      <c r="AH5" s="895"/>
      <c r="AI5" s="895"/>
      <c r="AJ5" s="895"/>
      <c r="AK5" s="895"/>
      <c r="AL5" s="895"/>
      <c r="AM5" s="895"/>
      <c r="AN5" s="895"/>
      <c r="AO5" s="895"/>
      <c r="AP5" s="860" t="str">
        <f>IF(A5="","","("&amp;VLOOKUP(A5,予選学校名!$C$3:$F$32,2,FALSE)&amp;")")</f>
        <v>(金沢市)</v>
      </c>
      <c r="AQ5" s="860"/>
      <c r="AR5" s="860"/>
      <c r="AS5" s="860"/>
      <c r="AT5" s="860"/>
      <c r="AU5" s="860"/>
      <c r="AV5" s="860"/>
      <c r="AW5" s="860"/>
      <c r="AX5" s="860"/>
      <c r="AY5" s="860"/>
      <c r="AZ5" s="860"/>
      <c r="BA5" s="860"/>
      <c r="BB5" s="860"/>
      <c r="BC5" s="460"/>
      <c r="BD5" s="460"/>
      <c r="BE5" s="460"/>
      <c r="BF5" s="460"/>
      <c r="BG5" s="460"/>
      <c r="BH5" s="483"/>
      <c r="BI5" s="483"/>
      <c r="BJ5" s="483"/>
      <c r="BK5" s="483"/>
      <c r="BL5" s="483"/>
      <c r="BM5" s="483"/>
      <c r="BN5" s="483"/>
      <c r="BO5" s="859" t="str">
        <f>IF(A9="","",IF(VLOOKUP(A9,予選学校名!$C$3:$F$32,3,FALSE)="",VLOOKUP(A9,予選学校名!$C$3:$F$32,4,FALSE),VLOOKUP(A9,予選学校名!$C$3:$F$32,3,FALSE)&amp;"立"&amp;'北(22)'!A9&amp;"中学校"))</f>
        <v>金沢市立浅野川中学校</v>
      </c>
      <c r="BP5" s="859"/>
      <c r="BQ5" s="859"/>
      <c r="BR5" s="859"/>
      <c r="BS5" s="859"/>
      <c r="BT5" s="859"/>
      <c r="BU5" s="859"/>
      <c r="BV5" s="859"/>
      <c r="BW5" s="859"/>
      <c r="BX5" s="859"/>
      <c r="BY5" s="859"/>
      <c r="BZ5" s="859"/>
      <c r="CA5" s="859"/>
      <c r="CB5" s="859"/>
      <c r="CC5" s="859"/>
      <c r="CD5" s="859"/>
      <c r="CE5" s="859"/>
      <c r="CF5" s="859"/>
      <c r="CG5" s="859"/>
      <c r="CH5" s="859"/>
      <c r="CI5" s="859"/>
      <c r="CJ5" s="859"/>
      <c r="CK5" s="859"/>
      <c r="CL5" s="859"/>
      <c r="CM5" s="859"/>
      <c r="CN5" s="859"/>
      <c r="CO5" s="859"/>
      <c r="CP5" s="859"/>
      <c r="CQ5" s="859"/>
      <c r="CR5" s="859"/>
      <c r="CS5" s="860" t="str">
        <f>IF(A9="","","("&amp;VLOOKUP(A9,予選学校名!$C$3:$F$32,2,FALSE)&amp;")")</f>
        <v>(金沢市)</v>
      </c>
      <c r="CT5" s="860"/>
      <c r="CU5" s="860"/>
      <c r="CV5" s="860"/>
      <c r="CW5" s="860"/>
      <c r="CX5" s="860"/>
      <c r="CY5" s="860"/>
      <c r="CZ5" s="860"/>
      <c r="DA5" s="860"/>
      <c r="DB5" s="860"/>
      <c r="DC5" s="860"/>
      <c r="DD5" s="860"/>
      <c r="DE5" s="860"/>
      <c r="DW5" s="270"/>
      <c r="EB5" s="475"/>
    </row>
    <row r="6" spans="1:133" s="447" customFormat="1" ht="18.75" customHeight="1" x14ac:dyDescent="0.15">
      <c r="A6" s="482" t="str">
        <f>IF(A3="","",IF(DF10&lt;&gt;"",IF(DF10=DA23,DO23,DA23),IF(OR($A$3=K28,$A$3=AX28),$DO$23,$DA$23)))</f>
        <v>津幡南</v>
      </c>
      <c r="D6" s="483"/>
      <c r="E6" s="459"/>
      <c r="F6" s="459"/>
      <c r="G6" s="459"/>
      <c r="H6" s="459"/>
      <c r="I6" s="459"/>
      <c r="J6" s="459"/>
      <c r="K6" s="459"/>
      <c r="L6" s="895" t="str">
        <f>IF(A6="","",IF(VLOOKUP(A6,予選学校名!$C$3:$F$32,3,FALSE)="",VLOOKUP(A6,予選学校名!$C$3:$F$32,4,FALSE),VLOOKUP(A6,予選学校名!$C$3:$F$32,3,FALSE)&amp;"立"&amp;'北(22)'!A6&amp;"中学校"))</f>
        <v>津幡町立津幡南中学校</v>
      </c>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60" t="str">
        <f>IF(A6="","","("&amp;VLOOKUP(A6,予選学校名!$C$3:$F$32,2,FALSE)&amp;")")</f>
        <v>(河北郡)</v>
      </c>
      <c r="AQ6" s="860"/>
      <c r="AR6" s="860"/>
      <c r="AS6" s="860"/>
      <c r="AT6" s="860"/>
      <c r="AU6" s="860"/>
      <c r="AV6" s="860"/>
      <c r="AW6" s="860"/>
      <c r="AX6" s="860"/>
      <c r="AY6" s="860"/>
      <c r="AZ6" s="860"/>
      <c r="BA6" s="860"/>
      <c r="BB6" s="860"/>
      <c r="BC6" s="460"/>
      <c r="BD6" s="460"/>
      <c r="BE6" s="460"/>
      <c r="BF6" s="460"/>
      <c r="BG6" s="460"/>
      <c r="BH6" s="459"/>
      <c r="BI6" s="459"/>
      <c r="BJ6" s="459"/>
      <c r="BK6" s="459"/>
      <c r="BL6" s="459"/>
      <c r="BM6" s="459"/>
      <c r="BN6" s="459"/>
      <c r="BO6" s="859" t="str">
        <f>IF(A10="","",IF(VLOOKUP(A10,予選学校名!$C$3:$F$32,3,FALSE)="",VLOOKUP(A10,予選学校名!$C$3:$F$32,4,FALSE),VLOOKUP(A10,予選学校名!$C$3:$F$32,3,FALSE)&amp;"立"&amp;'北(22)'!A10&amp;"中学校"))</f>
        <v>金沢市立西南部中学校</v>
      </c>
      <c r="BP6" s="859"/>
      <c r="BQ6" s="859"/>
      <c r="BR6" s="859"/>
      <c r="BS6" s="859"/>
      <c r="BT6" s="859"/>
      <c r="BU6" s="859"/>
      <c r="BV6" s="859"/>
      <c r="BW6" s="859"/>
      <c r="BX6" s="859"/>
      <c r="BY6" s="859"/>
      <c r="BZ6" s="859"/>
      <c r="CA6" s="859"/>
      <c r="CB6" s="859"/>
      <c r="CC6" s="859"/>
      <c r="CD6" s="859"/>
      <c r="CE6" s="859"/>
      <c r="CF6" s="859"/>
      <c r="CG6" s="859"/>
      <c r="CH6" s="859"/>
      <c r="CI6" s="859"/>
      <c r="CJ6" s="859"/>
      <c r="CK6" s="859"/>
      <c r="CL6" s="859"/>
      <c r="CM6" s="859"/>
      <c r="CN6" s="859"/>
      <c r="CO6" s="859"/>
      <c r="CP6" s="859"/>
      <c r="CQ6" s="859"/>
      <c r="CR6" s="859"/>
      <c r="CS6" s="860" t="str">
        <f>IF(A10="","","("&amp;VLOOKUP(A10,予選学校名!$C$3:$F$32,2,FALSE)&amp;")")</f>
        <v>(金沢市)</v>
      </c>
      <c r="CT6" s="860"/>
      <c r="CU6" s="860"/>
      <c r="CV6" s="860"/>
      <c r="CW6" s="860"/>
      <c r="CX6" s="860"/>
      <c r="CY6" s="860"/>
      <c r="CZ6" s="860"/>
      <c r="DA6" s="860"/>
      <c r="DB6" s="860"/>
      <c r="DC6" s="860"/>
      <c r="DD6" s="860"/>
      <c r="DE6" s="860"/>
      <c r="DW6" s="446"/>
    </row>
    <row r="7" spans="1:133" s="447" customFormat="1" ht="18.75" customHeight="1" x14ac:dyDescent="0.15">
      <c r="A7" s="482" t="str">
        <f>IF(A3="","",IF($A3=$C$38,$Z$38,IF($A3=$Z$38,$C$38,IF($A3=$AG$38,BI38,IF($A3=$BI$38,$AG$38,IF($A3=$BQ$38,$CS$38,IF($A3=$CS$38,$BQ$38,IF($A3=$CZ$38,$DW$38,IF($A3=$DW$38,$CZ$38)))))))))</f>
        <v>清泉</v>
      </c>
      <c r="D7" s="483"/>
      <c r="E7" s="459"/>
      <c r="F7" s="459"/>
      <c r="G7" s="459"/>
      <c r="H7" s="459"/>
      <c r="I7" s="459"/>
      <c r="J7" s="459"/>
      <c r="K7" s="459"/>
      <c r="L7" s="484"/>
      <c r="M7" s="484"/>
      <c r="N7" s="484"/>
      <c r="O7" s="484"/>
      <c r="P7" s="484"/>
      <c r="Q7" s="484"/>
      <c r="R7" s="484"/>
      <c r="S7" s="484"/>
      <c r="T7" s="484"/>
      <c r="U7" s="484"/>
      <c r="V7" s="484"/>
      <c r="W7" s="484"/>
      <c r="X7" s="484"/>
      <c r="Y7" s="484"/>
      <c r="Z7" s="484"/>
      <c r="AA7" s="484"/>
      <c r="AB7" s="484"/>
      <c r="AC7" s="484"/>
      <c r="AD7" s="484"/>
      <c r="AE7" s="484"/>
      <c r="AF7" s="484"/>
      <c r="AG7" s="484"/>
      <c r="AH7" s="484"/>
      <c r="AI7" s="484"/>
      <c r="AJ7" s="484"/>
      <c r="AK7" s="484"/>
      <c r="AL7" s="484"/>
      <c r="AM7" s="484"/>
      <c r="AN7" s="484"/>
      <c r="AO7" s="484"/>
      <c r="AP7" s="485"/>
      <c r="AQ7" s="485"/>
      <c r="AR7" s="485"/>
      <c r="AS7" s="485"/>
      <c r="AT7" s="485"/>
      <c r="AU7" s="485"/>
      <c r="AV7" s="485"/>
      <c r="AW7" s="485"/>
      <c r="AX7" s="485"/>
      <c r="AY7" s="485"/>
      <c r="AZ7" s="485"/>
      <c r="BA7" s="485"/>
      <c r="BB7" s="485"/>
      <c r="BC7" s="460"/>
      <c r="BD7" s="460"/>
      <c r="BE7" s="460"/>
      <c r="BF7" s="460"/>
      <c r="BG7" s="460"/>
      <c r="BH7" s="459"/>
      <c r="BI7" s="459"/>
      <c r="BJ7" s="459"/>
      <c r="BK7" s="459"/>
      <c r="BL7" s="459"/>
      <c r="BM7" s="459"/>
      <c r="BN7" s="459"/>
      <c r="BO7" s="859" t="str">
        <f>IF(A11="","",IF(VLOOKUP(A11,予選学校名!$C$3:$F$32,3,FALSE)="",VLOOKUP(A11,予選学校名!$C$3:$F$32,4,FALSE),VLOOKUP(A11,予選学校名!$C$3:$F$32,3,FALSE)&amp;"立"&amp;'北(22)'!A11&amp;"中学校"))</f>
        <v>金沢市立紫錦台中学校</v>
      </c>
      <c r="BP7" s="859"/>
      <c r="BQ7" s="859"/>
      <c r="BR7" s="859"/>
      <c r="BS7" s="859"/>
      <c r="BT7" s="859"/>
      <c r="BU7" s="859"/>
      <c r="BV7" s="859"/>
      <c r="BW7" s="859"/>
      <c r="BX7" s="859"/>
      <c r="BY7" s="859"/>
      <c r="BZ7" s="859"/>
      <c r="CA7" s="859"/>
      <c r="CB7" s="859"/>
      <c r="CC7" s="859"/>
      <c r="CD7" s="859"/>
      <c r="CE7" s="859"/>
      <c r="CF7" s="859"/>
      <c r="CG7" s="859"/>
      <c r="CH7" s="859"/>
      <c r="CI7" s="859"/>
      <c r="CJ7" s="859"/>
      <c r="CK7" s="859"/>
      <c r="CL7" s="859"/>
      <c r="CM7" s="859"/>
      <c r="CN7" s="859"/>
      <c r="CO7" s="859"/>
      <c r="CP7" s="859"/>
      <c r="CQ7" s="859"/>
      <c r="CR7" s="859"/>
      <c r="CS7" s="860" t="str">
        <f>IF(A11="","","("&amp;VLOOKUP(A11,予選学校名!$C$3:$F$32,2,FALSE)&amp;")")</f>
        <v>(金沢市)</v>
      </c>
      <c r="CT7" s="860"/>
      <c r="CU7" s="860"/>
      <c r="CV7" s="860"/>
      <c r="CW7" s="860"/>
      <c r="CX7" s="860"/>
      <c r="CY7" s="860"/>
      <c r="CZ7" s="860"/>
      <c r="DA7" s="860"/>
      <c r="DB7" s="860"/>
      <c r="DC7" s="860"/>
      <c r="DD7" s="860"/>
      <c r="DE7" s="860"/>
      <c r="DW7" s="446"/>
    </row>
    <row r="8" spans="1:133" s="447" customFormat="1" ht="18.75" customHeight="1" x14ac:dyDescent="0.15">
      <c r="A8" s="482" t="str">
        <f>IF(A3="","",IF($A4=$C$38,$Z$38,IF($A4=$Z$38,$C$38,IF($A4=$AG$38,BI38,IF($A4=$BI$38,$AG$38,IF($A4=$BQ$38,$CS$38,IF($A4=$CS$38,$BQ$38,IF($A4=$CZ$38,$DW$38,IF($A4=$DW$38,$CZ$38)))))))))</f>
        <v>野田</v>
      </c>
      <c r="D8" s="483"/>
      <c r="E8" s="459"/>
      <c r="F8" s="459"/>
      <c r="G8" s="459"/>
      <c r="H8" s="459"/>
      <c r="I8" s="459"/>
      <c r="J8" s="459"/>
      <c r="K8" s="459"/>
      <c r="L8" s="484"/>
      <c r="M8" s="484"/>
      <c r="N8" s="484"/>
      <c r="O8" s="484"/>
      <c r="P8" s="484"/>
      <c r="Q8" s="484"/>
      <c r="R8" s="484"/>
      <c r="S8" s="484"/>
      <c r="T8" s="484"/>
      <c r="U8" s="484"/>
      <c r="V8" s="484"/>
      <c r="W8" s="484"/>
      <c r="X8" s="484"/>
      <c r="Y8" s="484"/>
      <c r="Z8" s="484"/>
      <c r="AA8" s="484"/>
      <c r="AB8" s="484"/>
      <c r="AC8" s="484"/>
      <c r="AD8" s="484"/>
      <c r="AE8" s="484"/>
      <c r="AF8" s="484"/>
      <c r="AG8" s="484"/>
      <c r="AH8" s="484"/>
      <c r="AI8" s="484"/>
      <c r="AJ8" s="484"/>
      <c r="AK8" s="484"/>
      <c r="AL8" s="484"/>
      <c r="AM8" s="484"/>
      <c r="AN8" s="484"/>
      <c r="AO8" s="484"/>
      <c r="AP8" s="485"/>
      <c r="AQ8" s="485"/>
      <c r="AR8" s="485"/>
      <c r="AS8" s="485"/>
      <c r="AT8" s="485"/>
      <c r="AU8" s="485"/>
      <c r="AV8" s="485"/>
      <c r="AW8" s="485"/>
      <c r="AX8" s="485"/>
      <c r="AY8" s="485"/>
      <c r="AZ8" s="485"/>
      <c r="BA8" s="485"/>
      <c r="BB8" s="485"/>
      <c r="BC8" s="460"/>
      <c r="BD8" s="460"/>
      <c r="BE8" s="460"/>
      <c r="BF8" s="460"/>
      <c r="BG8" s="460"/>
      <c r="BH8" s="459"/>
      <c r="BI8" s="459"/>
      <c r="BJ8" s="459"/>
      <c r="BK8" s="459"/>
      <c r="BL8" s="459"/>
      <c r="BM8" s="459"/>
      <c r="BN8" s="459"/>
      <c r="BO8" s="484"/>
      <c r="BP8" s="484"/>
      <c r="BQ8" s="484"/>
      <c r="BR8" s="484"/>
      <c r="BS8" s="484"/>
      <c r="BT8" s="484"/>
      <c r="BU8" s="484"/>
      <c r="BV8" s="484"/>
      <c r="BW8" s="484"/>
      <c r="BX8" s="484"/>
      <c r="BY8" s="484"/>
      <c r="BZ8" s="484"/>
      <c r="CA8" s="484"/>
      <c r="CB8" s="484"/>
      <c r="CC8" s="484"/>
      <c r="CD8" s="484"/>
      <c r="CE8" s="484"/>
      <c r="CF8" s="484"/>
      <c r="CG8" s="484"/>
      <c r="CH8" s="484"/>
      <c r="CI8" s="484"/>
      <c r="CJ8" s="484"/>
      <c r="CK8" s="484"/>
      <c r="CL8" s="484"/>
      <c r="CM8" s="484"/>
      <c r="CN8" s="484"/>
      <c r="CO8" s="484"/>
      <c r="CP8" s="484"/>
      <c r="CQ8" s="484"/>
      <c r="CR8" s="484"/>
      <c r="CS8" s="485"/>
      <c r="CT8" s="485"/>
      <c r="CU8" s="485"/>
      <c r="CV8" s="485"/>
      <c r="CW8" s="485"/>
      <c r="CX8" s="485"/>
      <c r="CY8" s="485"/>
      <c r="CZ8" s="485"/>
      <c r="DA8" s="485"/>
      <c r="DB8" s="485"/>
      <c r="DC8" s="485"/>
      <c r="DD8" s="485"/>
      <c r="DE8" s="485"/>
      <c r="DW8" s="446"/>
    </row>
    <row r="9" spans="1:133" s="447" customFormat="1" ht="13.5" customHeight="1" x14ac:dyDescent="0.15">
      <c r="A9" s="482" t="str">
        <f>IF(A3="","",IF($A5=$C$38,$Z$38,IF($A5=$Z$38,$C$38,IF($A5=$AG$38,BI38,IF($A5=$BI$38,$AG$38,IF($A5=$BQ$38,$CS$38,IF($A5=$CS$38,$BQ$38,IF($A5=$CZ$38,$DW$38,IF($A5=$DW$38,$CZ$38)))))))))</f>
        <v>浅野川</v>
      </c>
      <c r="D9" s="475"/>
      <c r="AL9" s="883" t="s">
        <v>112</v>
      </c>
      <c r="AM9" s="883"/>
      <c r="AN9" s="883"/>
      <c r="AO9" s="883"/>
      <c r="AP9" s="883"/>
      <c r="AQ9" s="883"/>
      <c r="AR9" s="883"/>
      <c r="AS9" s="883"/>
      <c r="AT9" s="884" t="str">
        <f>IF(L3="","",L3)</f>
        <v>金沢学院大学附属中学校</v>
      </c>
      <c r="AU9" s="884"/>
      <c r="AV9" s="884"/>
      <c r="AW9" s="884"/>
      <c r="AX9" s="884"/>
      <c r="AY9" s="884"/>
      <c r="AZ9" s="884"/>
      <c r="BA9" s="884"/>
      <c r="BB9" s="884"/>
      <c r="BC9" s="884"/>
      <c r="BD9" s="884"/>
      <c r="BE9" s="884"/>
      <c r="BF9" s="884"/>
      <c r="BG9" s="884"/>
      <c r="BH9" s="884"/>
      <c r="BI9" s="884"/>
      <c r="BJ9" s="884"/>
      <c r="BK9" s="884"/>
      <c r="BL9" s="884"/>
      <c r="BM9" s="884"/>
      <c r="BN9" s="884"/>
      <c r="BO9" s="884"/>
      <c r="BP9" s="884"/>
      <c r="BQ9" s="884"/>
      <c r="BR9" s="884"/>
      <c r="BS9" s="884"/>
      <c r="BT9" s="884"/>
      <c r="BU9" s="884"/>
      <c r="BV9" s="884"/>
      <c r="BW9" s="884"/>
      <c r="BX9" s="884"/>
      <c r="BY9" s="884"/>
      <c r="BZ9" s="884"/>
      <c r="CA9" s="884"/>
      <c r="CB9" s="884"/>
      <c r="CC9" s="884"/>
      <c r="CD9" s="884"/>
      <c r="CE9" s="884"/>
      <c r="CF9" s="884"/>
      <c r="CG9" s="884"/>
      <c r="CH9" s="884"/>
      <c r="CI9" s="884"/>
      <c r="DA9" s="805" t="s">
        <v>113</v>
      </c>
      <c r="DB9" s="805"/>
      <c r="DC9" s="805"/>
      <c r="DD9" s="805"/>
      <c r="DE9" s="805"/>
      <c r="DF9" s="805"/>
      <c r="DG9" s="805"/>
      <c r="DH9" s="805"/>
      <c r="DI9" s="805"/>
      <c r="DJ9" s="805"/>
      <c r="DK9" s="805"/>
      <c r="DL9" s="805"/>
      <c r="DM9" s="805"/>
      <c r="DN9" s="805"/>
      <c r="EB9" s="446"/>
    </row>
    <row r="10" spans="1:133" s="447" customFormat="1" ht="13.5" customHeight="1" x14ac:dyDescent="0.15">
      <c r="A10" s="482" t="str">
        <f>IF(A3="","",IF($A6=$C$38,$Z$38,IF($A6=$Z$38,$C$38,IF($A6=$AG$38,BI38,IF($A6=$BI$38,$AG$38,IF($A6=$BQ$38,$CS$38,IF($A6=$CS$38,$BQ$38,IF($A6=$CZ$38,$DW$38,IF($A6=$DW$38,$CZ$38)))))))))</f>
        <v>西南部</v>
      </c>
      <c r="D10" s="475"/>
      <c r="AL10" s="883"/>
      <c r="AM10" s="883"/>
      <c r="AN10" s="883"/>
      <c r="AO10" s="883"/>
      <c r="AP10" s="883"/>
      <c r="AQ10" s="883"/>
      <c r="AR10" s="883"/>
      <c r="AS10" s="883"/>
      <c r="AT10" s="885"/>
      <c r="AU10" s="885"/>
      <c r="AV10" s="885"/>
      <c r="AW10" s="885"/>
      <c r="AX10" s="885"/>
      <c r="AY10" s="885"/>
      <c r="AZ10" s="885"/>
      <c r="BA10" s="885"/>
      <c r="BB10" s="885"/>
      <c r="BC10" s="885"/>
      <c r="BD10" s="885"/>
      <c r="BE10" s="885"/>
      <c r="BF10" s="885"/>
      <c r="BG10" s="885"/>
      <c r="BH10" s="885"/>
      <c r="BI10" s="885"/>
      <c r="BJ10" s="885"/>
      <c r="BK10" s="885"/>
      <c r="BL10" s="885"/>
      <c r="BM10" s="885"/>
      <c r="BN10" s="885"/>
      <c r="BO10" s="885"/>
      <c r="BP10" s="885"/>
      <c r="BQ10" s="885"/>
      <c r="BR10" s="885"/>
      <c r="BS10" s="885"/>
      <c r="BT10" s="885"/>
      <c r="BU10" s="885"/>
      <c r="BV10" s="885"/>
      <c r="BW10" s="885"/>
      <c r="BX10" s="885"/>
      <c r="BY10" s="885"/>
      <c r="BZ10" s="885"/>
      <c r="CA10" s="885"/>
      <c r="CB10" s="885"/>
      <c r="CC10" s="885"/>
      <c r="CD10" s="885"/>
      <c r="CE10" s="885"/>
      <c r="CF10" s="885"/>
      <c r="CG10" s="885"/>
      <c r="CH10" s="885"/>
      <c r="CI10" s="885"/>
      <c r="DF10" s="805" t="str">
        <f>IF(DH14=DN14,"",IF(DH14&gt;DN14,DA23,DO23))</f>
        <v>兼六</v>
      </c>
      <c r="DG10" s="805"/>
      <c r="DH10" s="805"/>
      <c r="DI10" s="805"/>
      <c r="DJ10" s="805"/>
      <c r="DK10" s="805"/>
      <c r="DL10" s="805"/>
      <c r="DM10" s="805"/>
      <c r="DN10" s="805"/>
      <c r="DO10" s="805"/>
      <c r="DP10" s="805"/>
      <c r="DQ10" s="805"/>
      <c r="DR10" s="805"/>
      <c r="DS10" s="805"/>
      <c r="EB10" s="446"/>
    </row>
    <row r="11" spans="1:133" s="447" customFormat="1" ht="7.5" customHeight="1" x14ac:dyDescent="0.15">
      <c r="A11" s="447" t="str">
        <f>IF(BJ74=BP74,"",IF(BJ74&gt;BP74,AH76,CR76))</f>
        <v>紫錦台</v>
      </c>
      <c r="D11" s="475"/>
      <c r="BN11" s="867"/>
      <c r="DF11" s="805"/>
      <c r="DG11" s="805"/>
      <c r="DH11" s="805"/>
      <c r="DI11" s="805"/>
      <c r="DJ11" s="805"/>
      <c r="DK11" s="805"/>
      <c r="DL11" s="805"/>
      <c r="DM11" s="805"/>
      <c r="DN11" s="805"/>
      <c r="DO11" s="805"/>
      <c r="DP11" s="805"/>
      <c r="DQ11" s="805"/>
      <c r="DR11" s="805"/>
      <c r="DS11" s="805"/>
      <c r="EB11" s="446"/>
    </row>
    <row r="12" spans="1:133" s="447" customFormat="1" ht="3.75" customHeight="1" x14ac:dyDescent="0.15">
      <c r="D12" s="475"/>
      <c r="BN12" s="867"/>
      <c r="EB12" s="446"/>
    </row>
    <row r="13" spans="1:133" s="447" customFormat="1" ht="13.5" customHeight="1" x14ac:dyDescent="0.15">
      <c r="D13" s="475"/>
      <c r="BJ13" s="873">
        <f>IF(BJ16="","",SUM(BJ16:BJ19))</f>
        <v>0</v>
      </c>
      <c r="BK13" s="873"/>
      <c r="BL13" s="873"/>
      <c r="BM13" s="873"/>
      <c r="BN13" s="867"/>
      <c r="BP13" s="848">
        <f>IF(BP16="","",SUM(BP16:BP19))</f>
        <v>1</v>
      </c>
      <c r="BQ13" s="848"/>
      <c r="BR13" s="848"/>
      <c r="BS13" s="848"/>
      <c r="CZ13" s="487"/>
      <c r="DA13" s="487"/>
      <c r="DB13" s="487"/>
      <c r="DC13" s="487"/>
      <c r="DD13" s="487"/>
      <c r="DE13" s="487"/>
      <c r="DF13" s="487"/>
      <c r="DG13" s="487"/>
      <c r="DH13" s="873">
        <f>IF(DH16="","",SUM(DH16:DH19))</f>
        <v>2</v>
      </c>
      <c r="DI13" s="873"/>
      <c r="DJ13" s="873"/>
      <c r="DK13" s="873"/>
      <c r="DL13" s="886"/>
      <c r="DM13" s="487"/>
      <c r="DN13" s="848">
        <f>IF(DN16="","",SUM(DN16:DN19))</f>
        <v>0</v>
      </c>
      <c r="DO13" s="848"/>
      <c r="DP13" s="848"/>
      <c r="DQ13" s="848"/>
      <c r="DR13" s="487"/>
      <c r="DS13" s="487"/>
      <c r="DT13" s="487"/>
      <c r="DU13" s="487"/>
      <c r="DV13" s="487"/>
      <c r="DW13" s="487"/>
      <c r="DX13" s="487"/>
      <c r="DY13" s="487"/>
      <c r="EB13" s="446"/>
    </row>
    <row r="14" spans="1:133" s="487" customFormat="1" ht="13.5" hidden="1" customHeight="1" x14ac:dyDescent="0.15">
      <c r="D14" s="488"/>
      <c r="BJ14" s="871">
        <f>SUM(BJ16:BJ23)</f>
        <v>0</v>
      </c>
      <c r="BK14" s="871"/>
      <c r="BL14" s="871"/>
      <c r="BM14" s="871"/>
      <c r="BN14" s="867"/>
      <c r="BP14" s="858">
        <f>SUM(BP16:BP23)</f>
        <v>1</v>
      </c>
      <c r="BQ14" s="858"/>
      <c r="BR14" s="858"/>
      <c r="BS14" s="858"/>
      <c r="CZ14" s="447"/>
      <c r="DA14" s="447"/>
      <c r="DB14" s="447"/>
      <c r="DC14" s="447"/>
      <c r="DD14" s="447"/>
      <c r="DE14" s="447"/>
      <c r="DF14" s="447"/>
      <c r="DG14" s="447"/>
      <c r="DH14" s="871">
        <f>SUM(DH16:DH23)</f>
        <v>2</v>
      </c>
      <c r="DI14" s="871"/>
      <c r="DJ14" s="871"/>
      <c r="DK14" s="871"/>
      <c r="DL14" s="886"/>
      <c r="DM14" s="447"/>
      <c r="DN14" s="858">
        <f>SUM(DN16:DN23)</f>
        <v>0</v>
      </c>
      <c r="DO14" s="858"/>
      <c r="DP14" s="858"/>
      <c r="DQ14" s="858"/>
      <c r="DR14" s="447"/>
      <c r="DS14" s="447"/>
      <c r="DT14" s="447"/>
      <c r="DU14" s="447"/>
      <c r="DV14" s="447"/>
      <c r="DW14" s="447"/>
      <c r="DX14" s="447"/>
      <c r="DY14" s="447"/>
      <c r="EB14" s="489"/>
    </row>
    <row r="15" spans="1:133" s="447" customFormat="1" ht="3.75" customHeight="1" thickBot="1" x14ac:dyDescent="0.2">
      <c r="A15" s="482"/>
      <c r="D15" s="475"/>
      <c r="AB15" s="290"/>
      <c r="AC15" s="290"/>
      <c r="AD15" s="290"/>
      <c r="AE15" s="290"/>
      <c r="AF15" s="290"/>
      <c r="AG15" s="290"/>
      <c r="AH15" s="491"/>
      <c r="AI15" s="491"/>
      <c r="AJ15" s="491"/>
      <c r="AK15" s="491"/>
      <c r="AL15" s="491"/>
      <c r="AM15" s="491"/>
      <c r="AN15" s="491"/>
      <c r="AO15" s="491"/>
      <c r="AP15" s="491"/>
      <c r="AQ15" s="491"/>
      <c r="AR15" s="491"/>
      <c r="AS15" s="491"/>
      <c r="AT15" s="491"/>
      <c r="AU15" s="491"/>
      <c r="AV15" s="491"/>
      <c r="AW15" s="491"/>
      <c r="AX15" s="491"/>
      <c r="AY15" s="491"/>
      <c r="AZ15" s="491"/>
      <c r="BA15" s="491"/>
      <c r="BB15" s="491"/>
      <c r="BC15" s="491"/>
      <c r="BD15" s="491"/>
      <c r="BE15" s="491"/>
      <c r="BF15" s="491"/>
      <c r="BG15" s="491"/>
      <c r="BH15" s="491"/>
      <c r="BI15" s="491"/>
      <c r="BJ15" s="491"/>
      <c r="BK15" s="491"/>
      <c r="BL15" s="491"/>
      <c r="BM15" s="491"/>
      <c r="BN15" s="872"/>
      <c r="BO15" s="492"/>
      <c r="BP15" s="491"/>
      <c r="BQ15" s="491"/>
      <c r="BR15" s="491"/>
      <c r="BS15" s="491"/>
      <c r="BT15" s="491"/>
      <c r="BU15" s="491"/>
      <c r="BV15" s="491"/>
      <c r="BW15" s="491"/>
      <c r="BX15" s="491"/>
      <c r="BY15" s="491"/>
      <c r="BZ15" s="491"/>
      <c r="CA15" s="491"/>
      <c r="CB15" s="491"/>
      <c r="CC15" s="491"/>
      <c r="CD15" s="491"/>
      <c r="CE15" s="491"/>
      <c r="CF15" s="491"/>
      <c r="CG15" s="491"/>
      <c r="CH15" s="491"/>
      <c r="CI15" s="491"/>
      <c r="CJ15" s="491"/>
      <c r="CK15" s="491"/>
      <c r="CL15" s="491"/>
      <c r="CM15" s="491"/>
      <c r="CN15" s="491"/>
      <c r="CO15" s="491"/>
      <c r="CP15" s="491"/>
      <c r="CQ15" s="491"/>
      <c r="CR15" s="491"/>
      <c r="CS15" s="491"/>
      <c r="CT15" s="491"/>
      <c r="CU15" s="491"/>
      <c r="CV15" s="290"/>
      <c r="CW15" s="290"/>
      <c r="CX15" s="290"/>
      <c r="CY15" s="290"/>
      <c r="DF15" s="851"/>
      <c r="DG15" s="851"/>
      <c r="DH15" s="851"/>
      <c r="DI15" s="851"/>
      <c r="DJ15" s="851"/>
      <c r="DK15" s="851"/>
      <c r="DL15" s="887"/>
      <c r="DM15" s="851"/>
      <c r="DN15" s="851"/>
      <c r="DO15" s="851"/>
      <c r="DP15" s="851"/>
      <c r="DQ15" s="851"/>
      <c r="DR15" s="851"/>
      <c r="DS15" s="851"/>
      <c r="EB15" s="446"/>
    </row>
    <row r="16" spans="1:133" s="447" customFormat="1" ht="13.5" customHeight="1" thickTop="1" x14ac:dyDescent="0.15">
      <c r="A16" s="482"/>
      <c r="D16" s="475"/>
      <c r="W16" s="493"/>
      <c r="X16" s="493"/>
      <c r="Y16" s="493"/>
      <c r="Z16" s="493"/>
      <c r="AA16" s="290"/>
      <c r="AC16" s="857" t="str">
        <f>IF(AC26=AI26,"",IF(AC26&gt;AI26,K28,AX28))</f>
        <v>星稜</v>
      </c>
      <c r="AD16" s="857"/>
      <c r="AE16" s="857"/>
      <c r="AF16" s="857"/>
      <c r="AG16" s="867"/>
      <c r="BJ16" s="865">
        <v>0</v>
      </c>
      <c r="BK16" s="865"/>
      <c r="BL16" s="865"/>
      <c r="BM16" s="865"/>
      <c r="BN16" s="805" t="s">
        <v>92</v>
      </c>
      <c r="BO16" s="805"/>
      <c r="BP16" s="864">
        <v>0</v>
      </c>
      <c r="BQ16" s="864"/>
      <c r="BR16" s="864"/>
      <c r="BS16" s="864"/>
      <c r="CV16" s="876"/>
      <c r="CW16" s="856" t="str">
        <f>IF(CQ26=CW26,"",IF(CQ26&gt;CW26,CB28,DO28))</f>
        <v>学院附属</v>
      </c>
      <c r="CX16" s="856"/>
      <c r="CY16" s="856"/>
      <c r="CZ16" s="856"/>
      <c r="DE16" s="878"/>
      <c r="DH16" s="865">
        <v>2</v>
      </c>
      <c r="DI16" s="865"/>
      <c r="DJ16" s="865"/>
      <c r="DK16" s="865"/>
      <c r="DL16" s="847" t="s">
        <v>114</v>
      </c>
      <c r="DM16" s="847"/>
      <c r="DN16" s="864">
        <v>0</v>
      </c>
      <c r="DO16" s="864"/>
      <c r="DP16" s="864"/>
      <c r="DQ16" s="864"/>
      <c r="DT16" s="879"/>
      <c r="EB16" s="446"/>
    </row>
    <row r="17" spans="1:132" s="447" customFormat="1" ht="13.5" customHeight="1" x14ac:dyDescent="0.15">
      <c r="A17" s="482"/>
      <c r="D17" s="475"/>
      <c r="W17" s="493"/>
      <c r="X17" s="493"/>
      <c r="Y17" s="493"/>
      <c r="Z17" s="493"/>
      <c r="AA17" s="290"/>
      <c r="AC17" s="857"/>
      <c r="AD17" s="857"/>
      <c r="AE17" s="857"/>
      <c r="AF17" s="857"/>
      <c r="AG17" s="867"/>
      <c r="BJ17" s="865">
        <v>0</v>
      </c>
      <c r="BK17" s="865"/>
      <c r="BL17" s="865"/>
      <c r="BM17" s="865"/>
      <c r="BN17" s="805" t="s">
        <v>92</v>
      </c>
      <c r="BO17" s="805"/>
      <c r="BP17" s="864">
        <v>1</v>
      </c>
      <c r="BQ17" s="864"/>
      <c r="BR17" s="864"/>
      <c r="BS17" s="864"/>
      <c r="CV17" s="876"/>
      <c r="CW17" s="856"/>
      <c r="CX17" s="856"/>
      <c r="CY17" s="856"/>
      <c r="CZ17" s="856"/>
      <c r="DE17" s="878"/>
      <c r="DH17" s="865">
        <v>0</v>
      </c>
      <c r="DI17" s="865"/>
      <c r="DJ17" s="865"/>
      <c r="DK17" s="865"/>
      <c r="DL17" s="847" t="s">
        <v>114</v>
      </c>
      <c r="DM17" s="847"/>
      <c r="DN17" s="864">
        <v>0</v>
      </c>
      <c r="DO17" s="864"/>
      <c r="DP17" s="864"/>
      <c r="DQ17" s="864"/>
      <c r="DT17" s="879"/>
      <c r="EB17" s="446"/>
    </row>
    <row r="18" spans="1:132" s="447" customFormat="1" ht="13.5" customHeight="1" x14ac:dyDescent="0.15">
      <c r="A18" s="482"/>
      <c r="D18" s="475"/>
      <c r="W18" s="493"/>
      <c r="X18" s="493"/>
      <c r="Y18" s="493"/>
      <c r="Z18" s="493"/>
      <c r="AA18" s="290"/>
      <c r="AC18" s="857"/>
      <c r="AD18" s="857"/>
      <c r="AE18" s="857"/>
      <c r="AF18" s="857"/>
      <c r="AG18" s="867"/>
      <c r="BJ18" s="865"/>
      <c r="BK18" s="865"/>
      <c r="BL18" s="865"/>
      <c r="BM18" s="865"/>
      <c r="BN18" s="847" t="str">
        <f>IF(BJ18="","","－")</f>
        <v/>
      </c>
      <c r="BO18" s="847"/>
      <c r="BP18" s="864"/>
      <c r="BQ18" s="864"/>
      <c r="BR18" s="864"/>
      <c r="BS18" s="864"/>
      <c r="CV18" s="876"/>
      <c r="CW18" s="856"/>
      <c r="CX18" s="856"/>
      <c r="CY18" s="856"/>
      <c r="CZ18" s="856"/>
      <c r="DE18" s="878"/>
      <c r="DH18" s="865"/>
      <c r="DI18" s="865"/>
      <c r="DJ18" s="865"/>
      <c r="DK18" s="865"/>
      <c r="DL18" s="847" t="str">
        <f>IF(DH18="","","－")</f>
        <v/>
      </c>
      <c r="DM18" s="847"/>
      <c r="DN18" s="864"/>
      <c r="DO18" s="864"/>
      <c r="DP18" s="864"/>
      <c r="DQ18" s="864"/>
      <c r="DT18" s="879"/>
      <c r="EB18" s="446"/>
    </row>
    <row r="19" spans="1:132" s="447" customFormat="1" ht="13.5" customHeight="1" x14ac:dyDescent="0.15">
      <c r="A19" s="482"/>
      <c r="D19" s="475"/>
      <c r="W19" s="493"/>
      <c r="X19" s="493"/>
      <c r="Y19" s="493"/>
      <c r="Z19" s="493"/>
      <c r="AA19" s="290"/>
      <c r="AC19" s="857"/>
      <c r="AD19" s="857"/>
      <c r="AE19" s="857"/>
      <c r="AF19" s="857"/>
      <c r="AG19" s="867"/>
      <c r="BJ19" s="865"/>
      <c r="BK19" s="865"/>
      <c r="BL19" s="865"/>
      <c r="BM19" s="865"/>
      <c r="BN19" s="847" t="str">
        <f>IF(BJ19="","","－")</f>
        <v/>
      </c>
      <c r="BO19" s="847"/>
      <c r="BP19" s="864"/>
      <c r="BQ19" s="864"/>
      <c r="BR19" s="864"/>
      <c r="BS19" s="864"/>
      <c r="CV19" s="876"/>
      <c r="CW19" s="856"/>
      <c r="CX19" s="856"/>
      <c r="CY19" s="856"/>
      <c r="CZ19" s="856"/>
      <c r="DE19" s="878"/>
      <c r="DH19" s="865"/>
      <c r="DI19" s="865"/>
      <c r="DJ19" s="865"/>
      <c r="DK19" s="865"/>
      <c r="DL19" s="847" t="str">
        <f>IF(DH19="","","－")</f>
        <v/>
      </c>
      <c r="DM19" s="847"/>
      <c r="DN19" s="864"/>
      <c r="DO19" s="864"/>
      <c r="DP19" s="864"/>
      <c r="DQ19" s="864"/>
      <c r="DT19" s="879"/>
      <c r="EB19" s="446"/>
    </row>
    <row r="20" spans="1:132" s="447" customFormat="1" ht="13.5" customHeight="1" x14ac:dyDescent="0.2">
      <c r="A20" s="482"/>
      <c r="D20" s="475"/>
      <c r="W20" s="493"/>
      <c r="X20" s="493"/>
      <c r="Y20" s="493"/>
      <c r="Z20" s="493"/>
      <c r="AA20" s="290"/>
      <c r="AC20" s="857"/>
      <c r="AD20" s="857"/>
      <c r="AE20" s="857"/>
      <c r="AF20" s="857"/>
      <c r="AG20" s="867"/>
      <c r="BJ20" s="497"/>
      <c r="BK20" s="497"/>
      <c r="BL20" s="497"/>
      <c r="BM20" s="866" t="str">
        <f>IF(BJ21="","","PK")</f>
        <v/>
      </c>
      <c r="BN20" s="866"/>
      <c r="BO20" s="866"/>
      <c r="BP20" s="866"/>
      <c r="BQ20" s="499"/>
      <c r="BR20" s="499"/>
      <c r="BS20" s="499"/>
      <c r="CV20" s="876"/>
      <c r="CW20" s="856"/>
      <c r="CX20" s="856"/>
      <c r="CY20" s="856"/>
      <c r="CZ20" s="856"/>
      <c r="DE20" s="878"/>
      <c r="DH20" s="290"/>
      <c r="DI20" s="290"/>
      <c r="DJ20" s="290"/>
      <c r="DK20" s="866" t="str">
        <f>IF(DH21="","","PK")</f>
        <v/>
      </c>
      <c r="DL20" s="866"/>
      <c r="DM20" s="866"/>
      <c r="DN20" s="866"/>
      <c r="DO20" s="290"/>
      <c r="DP20" s="290"/>
      <c r="DQ20" s="290"/>
      <c r="DT20" s="879"/>
      <c r="EB20" s="446"/>
    </row>
    <row r="21" spans="1:132" s="447" customFormat="1" ht="13.5" hidden="1" customHeight="1" x14ac:dyDescent="0.15">
      <c r="A21" s="482"/>
      <c r="D21" s="475"/>
      <c r="AA21" s="290"/>
      <c r="AC21" s="857"/>
      <c r="AD21" s="857"/>
      <c r="AE21" s="857"/>
      <c r="AF21" s="857"/>
      <c r="AG21" s="867"/>
      <c r="BJ21" s="865"/>
      <c r="BK21" s="865"/>
      <c r="BL21" s="865"/>
      <c r="BM21" s="865"/>
      <c r="BN21" s="847" t="str">
        <f>IF(BJ21="","","－")</f>
        <v/>
      </c>
      <c r="BO21" s="847"/>
      <c r="BP21" s="864"/>
      <c r="BQ21" s="864"/>
      <c r="BR21" s="864"/>
      <c r="BS21" s="864"/>
      <c r="CV21" s="876"/>
      <c r="CW21" s="856"/>
      <c r="CX21" s="856"/>
      <c r="CY21" s="856"/>
      <c r="CZ21" s="856"/>
      <c r="DE21" s="878"/>
      <c r="DH21" s="865"/>
      <c r="DI21" s="865"/>
      <c r="DJ21" s="865"/>
      <c r="DK21" s="865"/>
      <c r="DL21" s="847" t="str">
        <f>IF(DH21="","","－")</f>
        <v/>
      </c>
      <c r="DM21" s="847"/>
      <c r="DN21" s="864"/>
      <c r="DO21" s="864"/>
      <c r="DP21" s="864"/>
      <c r="DQ21" s="864"/>
      <c r="DT21" s="879"/>
      <c r="EB21" s="446"/>
    </row>
    <row r="22" spans="1:132" s="498" customFormat="1" ht="13.5" hidden="1" customHeight="1" x14ac:dyDescent="0.2">
      <c r="A22" s="500"/>
      <c r="D22" s="501"/>
      <c r="AA22" s="290"/>
      <c r="AC22" s="857"/>
      <c r="AD22" s="857"/>
      <c r="AE22" s="857"/>
      <c r="AF22" s="857"/>
      <c r="AG22" s="867"/>
      <c r="BJ22" s="497"/>
      <c r="BK22" s="497"/>
      <c r="BL22" s="497"/>
      <c r="BM22" s="866"/>
      <c r="BN22" s="866"/>
      <c r="BO22" s="866"/>
      <c r="BP22" s="866"/>
      <c r="BQ22" s="499"/>
      <c r="BR22" s="499"/>
      <c r="BS22" s="499"/>
      <c r="CV22" s="876"/>
      <c r="CW22" s="856"/>
      <c r="CX22" s="856"/>
      <c r="CY22" s="856"/>
      <c r="CZ22" s="856"/>
      <c r="DE22" s="878"/>
      <c r="DT22" s="879"/>
      <c r="EB22" s="497"/>
    </row>
    <row r="23" spans="1:132" s="447" customFormat="1" ht="13.5" customHeight="1" x14ac:dyDescent="0.15">
      <c r="A23" s="482"/>
      <c r="D23" s="475"/>
      <c r="AA23" s="290"/>
      <c r="AC23" s="857"/>
      <c r="AD23" s="857"/>
      <c r="AE23" s="857"/>
      <c r="AF23" s="857"/>
      <c r="AG23" s="867"/>
      <c r="BJ23" s="873"/>
      <c r="BK23" s="873"/>
      <c r="BL23" s="873"/>
      <c r="BM23" s="873"/>
      <c r="BN23" s="847"/>
      <c r="BO23" s="847"/>
      <c r="BP23" s="848"/>
      <c r="BQ23" s="848"/>
      <c r="BR23" s="848"/>
      <c r="BS23" s="848"/>
      <c r="CV23" s="876"/>
      <c r="CW23" s="856"/>
      <c r="CX23" s="856"/>
      <c r="CY23" s="856"/>
      <c r="CZ23" s="856"/>
      <c r="DA23" s="805" t="str">
        <f>IF(AI26=AC26,"",IF(AI26&lt;AC26,AX28,K28))</f>
        <v>兼六</v>
      </c>
      <c r="DB23" s="805"/>
      <c r="DC23" s="805"/>
      <c r="DD23" s="805"/>
      <c r="DE23" s="805"/>
      <c r="DF23" s="805"/>
      <c r="DG23" s="805"/>
      <c r="DH23" s="805"/>
      <c r="DI23" s="805"/>
      <c r="DJ23" s="805"/>
      <c r="DO23" s="805" t="str">
        <f>IF(CQ26=CW26,"",IF(CQ26&gt;CW26,DO28,CB28))</f>
        <v>津幡南</v>
      </c>
      <c r="DP23" s="805"/>
      <c r="DQ23" s="805"/>
      <c r="DR23" s="805"/>
      <c r="DS23" s="805"/>
      <c r="DT23" s="805"/>
      <c r="DU23" s="805"/>
      <c r="DV23" s="805"/>
      <c r="DW23" s="805"/>
      <c r="DX23" s="805"/>
      <c r="EB23" s="446"/>
    </row>
    <row r="24" spans="1:132" s="503" customFormat="1" ht="13.5" customHeight="1" x14ac:dyDescent="0.15">
      <c r="A24" s="502"/>
      <c r="D24" s="504"/>
      <c r="AA24" s="290"/>
      <c r="AG24" s="867"/>
      <c r="BM24" s="875"/>
      <c r="BN24" s="875"/>
      <c r="BO24" s="875"/>
      <c r="BP24" s="875"/>
      <c r="CV24" s="876"/>
      <c r="CY24" s="447"/>
      <c r="EB24" s="505"/>
    </row>
    <row r="25" spans="1:132" s="447" customFormat="1" ht="13.5" customHeight="1" x14ac:dyDescent="0.15">
      <c r="A25" s="482"/>
      <c r="D25" s="475"/>
      <c r="W25" s="873" t="str">
        <f>IF(W28="","",SUM(W28:Z31))</f>
        <v/>
      </c>
      <c r="X25" s="873"/>
      <c r="Y25" s="873"/>
      <c r="Z25" s="873"/>
      <c r="AA25" s="290"/>
      <c r="AC25" s="870">
        <f>IF(AC28="","",SUM(AC28:AC31))</f>
        <v>5</v>
      </c>
      <c r="AD25" s="870"/>
      <c r="AE25" s="870"/>
      <c r="AF25" s="870"/>
      <c r="AG25" s="867"/>
      <c r="AI25" s="848">
        <f>IF(AI28="","",SUM(AI28:AI31))</f>
        <v>0</v>
      </c>
      <c r="AJ25" s="848"/>
      <c r="AK25" s="848"/>
      <c r="AL25" s="848"/>
      <c r="CQ25" s="870">
        <f>IF(CQ28="","",SUM(CQ28:CQ31))</f>
        <v>2</v>
      </c>
      <c r="CR25" s="870"/>
      <c r="CS25" s="870"/>
      <c r="CT25" s="870"/>
      <c r="CU25" s="290"/>
      <c r="CV25" s="876"/>
      <c r="CW25" s="848">
        <f>IF(CW28="","",SUM(CW28:CW31))</f>
        <v>1</v>
      </c>
      <c r="CX25" s="848"/>
      <c r="CY25" s="848"/>
      <c r="CZ25" s="848"/>
      <c r="EB25" s="446"/>
    </row>
    <row r="26" spans="1:132" s="487" customFormat="1" ht="13.5" hidden="1" customHeight="1" x14ac:dyDescent="0.15">
      <c r="A26" s="506"/>
      <c r="D26" s="488"/>
      <c r="W26" s="871"/>
      <c r="X26" s="871"/>
      <c r="Y26" s="871"/>
      <c r="Z26" s="871"/>
      <c r="AA26" s="290"/>
      <c r="AC26" s="871">
        <f>SUM(AC28:AC33)</f>
        <v>5</v>
      </c>
      <c r="AD26" s="871"/>
      <c r="AE26" s="871"/>
      <c r="AF26" s="871"/>
      <c r="AG26" s="867"/>
      <c r="AI26" s="858">
        <f>SUM(AI28:AI33)</f>
        <v>0</v>
      </c>
      <c r="AJ26" s="858"/>
      <c r="AK26" s="858"/>
      <c r="AL26" s="858"/>
      <c r="CQ26" s="871">
        <f>SUM(CQ28:CQ33)</f>
        <v>2</v>
      </c>
      <c r="CR26" s="871"/>
      <c r="CS26" s="871"/>
      <c r="CT26" s="871"/>
      <c r="CU26" s="507"/>
      <c r="CV26" s="876"/>
      <c r="CW26" s="858">
        <f>SUM(CW28:CW33)</f>
        <v>1</v>
      </c>
      <c r="CX26" s="858"/>
      <c r="CY26" s="858"/>
      <c r="CZ26" s="858"/>
      <c r="EB26" s="489"/>
    </row>
    <row r="27" spans="1:132" s="447" customFormat="1" ht="3.75" customHeight="1" thickBot="1" x14ac:dyDescent="0.2">
      <c r="A27" s="482"/>
      <c r="D27" s="475"/>
      <c r="P27" s="849"/>
      <c r="Q27" s="849"/>
      <c r="R27" s="849"/>
      <c r="S27" s="849"/>
      <c r="T27" s="849"/>
      <c r="U27" s="849"/>
      <c r="V27" s="849"/>
      <c r="W27" s="849"/>
      <c r="X27" s="849"/>
      <c r="Y27" s="849"/>
      <c r="Z27" s="849"/>
      <c r="AA27" s="849"/>
      <c r="AB27" s="849"/>
      <c r="AC27" s="849"/>
      <c r="AD27" s="849"/>
      <c r="AE27" s="849"/>
      <c r="AF27" s="849"/>
      <c r="AG27" s="872"/>
      <c r="AH27" s="850"/>
      <c r="AI27" s="851"/>
      <c r="AJ27" s="851"/>
      <c r="AK27" s="851"/>
      <c r="AL27" s="851"/>
      <c r="AM27" s="851"/>
      <c r="AN27" s="851"/>
      <c r="AO27" s="851"/>
      <c r="AP27" s="851"/>
      <c r="AQ27" s="851"/>
      <c r="AR27" s="851"/>
      <c r="AS27" s="851"/>
      <c r="AT27" s="851"/>
      <c r="AU27" s="851"/>
      <c r="AV27" s="851"/>
      <c r="CG27" s="851"/>
      <c r="CH27" s="851"/>
      <c r="CI27" s="851"/>
      <c r="CJ27" s="851"/>
      <c r="CK27" s="851"/>
      <c r="CL27" s="851"/>
      <c r="CM27" s="851"/>
      <c r="CN27" s="851"/>
      <c r="CO27" s="851"/>
      <c r="CP27" s="851"/>
      <c r="CQ27" s="851"/>
      <c r="CR27" s="851"/>
      <c r="CS27" s="851"/>
      <c r="CT27" s="851"/>
      <c r="CU27" s="872"/>
      <c r="CV27" s="850"/>
      <c r="CW27" s="849"/>
      <c r="CX27" s="849"/>
      <c r="CY27" s="849"/>
      <c r="CZ27" s="849"/>
      <c r="DA27" s="849"/>
      <c r="DB27" s="849"/>
      <c r="DC27" s="849"/>
      <c r="DD27" s="849"/>
      <c r="DE27" s="849"/>
      <c r="DF27" s="849"/>
      <c r="DG27" s="849"/>
      <c r="DH27" s="849"/>
      <c r="DI27" s="849"/>
      <c r="DJ27" s="849"/>
      <c r="DK27" s="849"/>
      <c r="DL27" s="849"/>
      <c r="DM27" s="849"/>
      <c r="EB27" s="446"/>
    </row>
    <row r="28" spans="1:132" s="447" customFormat="1" ht="13.5" customHeight="1" thickTop="1" x14ac:dyDescent="0.15">
      <c r="A28" s="482"/>
      <c r="D28" s="475"/>
      <c r="K28" s="857" t="str">
        <f>IF(K36=Q36,"",IF(K36&gt;Q36,C38,Z38))</f>
        <v>星稜</v>
      </c>
      <c r="L28" s="857"/>
      <c r="M28" s="857"/>
      <c r="N28" s="857"/>
      <c r="O28" s="881"/>
      <c r="P28" s="493"/>
      <c r="Q28" s="493"/>
      <c r="R28" s="290"/>
      <c r="W28" s="508"/>
      <c r="X28" s="508"/>
      <c r="Y28" s="508"/>
      <c r="Z28" s="508"/>
      <c r="AA28" s="290"/>
      <c r="AB28" s="290"/>
      <c r="AC28" s="865">
        <v>1</v>
      </c>
      <c r="AD28" s="865"/>
      <c r="AE28" s="865"/>
      <c r="AF28" s="865"/>
      <c r="AG28" s="805" t="s">
        <v>92</v>
      </c>
      <c r="AH28" s="805"/>
      <c r="AI28" s="864">
        <v>0</v>
      </c>
      <c r="AJ28" s="864"/>
      <c r="AK28" s="864"/>
      <c r="AL28" s="864"/>
      <c r="AW28" s="876"/>
      <c r="AX28" s="856" t="str">
        <f>IF(AR36=AX36,"",IF(AR36&gt;AX36,AG38,BI38))</f>
        <v>兼六</v>
      </c>
      <c r="AY28" s="856"/>
      <c r="AZ28" s="856"/>
      <c r="BA28" s="856"/>
      <c r="CB28" s="857" t="str">
        <f>IF(CB36=CH36,"",IF(CB36&gt;CH36,BQ38,CS38))</f>
        <v>学院附属</v>
      </c>
      <c r="CC28" s="857"/>
      <c r="CD28" s="857"/>
      <c r="CE28" s="857"/>
      <c r="CF28" s="867"/>
      <c r="CQ28" s="865">
        <v>1</v>
      </c>
      <c r="CR28" s="865"/>
      <c r="CS28" s="865"/>
      <c r="CT28" s="865"/>
      <c r="CU28" s="805" t="s">
        <v>92</v>
      </c>
      <c r="CV28" s="805"/>
      <c r="CW28" s="864">
        <v>0</v>
      </c>
      <c r="CX28" s="864"/>
      <c r="CY28" s="864"/>
      <c r="CZ28" s="864"/>
      <c r="DA28" s="290"/>
      <c r="DB28" s="290"/>
      <c r="DC28" s="290"/>
      <c r="DK28" s="290"/>
      <c r="DL28" s="493"/>
      <c r="DM28" s="493"/>
      <c r="DN28" s="891"/>
      <c r="DO28" s="856" t="str">
        <f>IF(DI36=DO36,"",IF(DI36&gt;DO36,CZ38,DW38))</f>
        <v>津幡南</v>
      </c>
      <c r="DP28" s="856"/>
      <c r="DQ28" s="856"/>
      <c r="DR28" s="856"/>
      <c r="EB28" s="446"/>
    </row>
    <row r="29" spans="1:132" s="447" customFormat="1" ht="13.5" customHeight="1" x14ac:dyDescent="0.15">
      <c r="A29" s="482"/>
      <c r="D29" s="475"/>
      <c r="K29" s="857"/>
      <c r="L29" s="857"/>
      <c r="M29" s="857"/>
      <c r="N29" s="857"/>
      <c r="O29" s="881"/>
      <c r="P29" s="493"/>
      <c r="Q29" s="493"/>
      <c r="R29" s="290"/>
      <c r="W29" s="508"/>
      <c r="X29" s="508"/>
      <c r="Y29" s="508"/>
      <c r="Z29" s="508"/>
      <c r="AA29" s="290"/>
      <c r="AB29" s="290"/>
      <c r="AC29" s="865">
        <v>4</v>
      </c>
      <c r="AD29" s="865"/>
      <c r="AE29" s="865"/>
      <c r="AF29" s="865"/>
      <c r="AG29" s="805" t="s">
        <v>92</v>
      </c>
      <c r="AH29" s="805"/>
      <c r="AI29" s="864">
        <v>0</v>
      </c>
      <c r="AJ29" s="864"/>
      <c r="AK29" s="864"/>
      <c r="AL29" s="864"/>
      <c r="AW29" s="876"/>
      <c r="AX29" s="856"/>
      <c r="AY29" s="856"/>
      <c r="AZ29" s="856"/>
      <c r="BA29" s="856"/>
      <c r="CB29" s="857"/>
      <c r="CC29" s="857"/>
      <c r="CD29" s="857"/>
      <c r="CE29" s="857"/>
      <c r="CF29" s="867"/>
      <c r="CQ29" s="865">
        <v>1</v>
      </c>
      <c r="CR29" s="865"/>
      <c r="CS29" s="865"/>
      <c r="CT29" s="865"/>
      <c r="CU29" s="805" t="s">
        <v>92</v>
      </c>
      <c r="CV29" s="805"/>
      <c r="CW29" s="864">
        <v>1</v>
      </c>
      <c r="CX29" s="864"/>
      <c r="CY29" s="864"/>
      <c r="CZ29" s="864"/>
      <c r="DA29" s="290"/>
      <c r="DB29" s="290"/>
      <c r="DC29" s="290"/>
      <c r="DK29" s="290"/>
      <c r="DL29" s="493"/>
      <c r="DM29" s="493"/>
      <c r="DN29" s="891"/>
      <c r="DO29" s="856"/>
      <c r="DP29" s="856"/>
      <c r="DQ29" s="856"/>
      <c r="DR29" s="856"/>
      <c r="EB29" s="446"/>
    </row>
    <row r="30" spans="1:132" s="447" customFormat="1" ht="13.5" customHeight="1" x14ac:dyDescent="0.15">
      <c r="A30" s="482"/>
      <c r="D30" s="475"/>
      <c r="K30" s="857"/>
      <c r="L30" s="857"/>
      <c r="M30" s="857"/>
      <c r="N30" s="857"/>
      <c r="O30" s="881"/>
      <c r="P30" s="493"/>
      <c r="Q30" s="493"/>
      <c r="R30" s="290"/>
      <c r="W30" s="508"/>
      <c r="X30" s="508"/>
      <c r="Y30" s="508"/>
      <c r="Z30" s="508"/>
      <c r="AA30" s="509"/>
      <c r="AB30" s="509"/>
      <c r="AC30" s="865"/>
      <c r="AD30" s="865"/>
      <c r="AE30" s="865"/>
      <c r="AF30" s="865"/>
      <c r="AG30" s="847" t="str">
        <f>IF(AC30="","","－")</f>
        <v/>
      </c>
      <c r="AH30" s="847"/>
      <c r="AI30" s="864"/>
      <c r="AJ30" s="864"/>
      <c r="AK30" s="864"/>
      <c r="AL30" s="864"/>
      <c r="AW30" s="876"/>
      <c r="AX30" s="856"/>
      <c r="AY30" s="856"/>
      <c r="AZ30" s="856"/>
      <c r="BA30" s="856"/>
      <c r="CB30" s="857"/>
      <c r="CC30" s="857"/>
      <c r="CD30" s="857"/>
      <c r="CE30" s="857"/>
      <c r="CF30" s="867"/>
      <c r="CQ30" s="865"/>
      <c r="CR30" s="865"/>
      <c r="CS30" s="865"/>
      <c r="CT30" s="865"/>
      <c r="CU30" s="847" t="str">
        <f>IF(CQ30="","","－")</f>
        <v/>
      </c>
      <c r="CV30" s="847"/>
      <c r="CW30" s="864"/>
      <c r="CX30" s="864"/>
      <c r="CY30" s="864"/>
      <c r="CZ30" s="864"/>
      <c r="DA30" s="290"/>
      <c r="DB30" s="290"/>
      <c r="DC30" s="290"/>
      <c r="DK30" s="290"/>
      <c r="DL30" s="493"/>
      <c r="DM30" s="493"/>
      <c r="DN30" s="891"/>
      <c r="DO30" s="856"/>
      <c r="DP30" s="856"/>
      <c r="DQ30" s="856"/>
      <c r="DR30" s="856"/>
      <c r="EB30" s="446"/>
    </row>
    <row r="31" spans="1:132" s="447" customFormat="1" ht="13.5" customHeight="1" x14ac:dyDescent="0.15">
      <c r="A31" s="482"/>
      <c r="D31" s="475"/>
      <c r="K31" s="857"/>
      <c r="L31" s="857"/>
      <c r="M31" s="857"/>
      <c r="N31" s="857"/>
      <c r="O31" s="881"/>
      <c r="P31" s="493"/>
      <c r="Q31" s="493"/>
      <c r="R31" s="290"/>
      <c r="W31" s="508"/>
      <c r="X31" s="508"/>
      <c r="Y31" s="508"/>
      <c r="Z31" s="508"/>
      <c r="AA31" s="509" t="str">
        <f>IF(W31="","","－")</f>
        <v/>
      </c>
      <c r="AB31" s="509"/>
      <c r="AC31" s="865"/>
      <c r="AD31" s="865"/>
      <c r="AE31" s="865"/>
      <c r="AF31" s="865"/>
      <c r="AG31" s="847" t="str">
        <f>IF(AC31="","","－")</f>
        <v/>
      </c>
      <c r="AH31" s="847"/>
      <c r="AI31" s="864"/>
      <c r="AJ31" s="864"/>
      <c r="AK31" s="864"/>
      <c r="AL31" s="864"/>
      <c r="AW31" s="876"/>
      <c r="AX31" s="856"/>
      <c r="AY31" s="856"/>
      <c r="AZ31" s="856"/>
      <c r="BA31" s="856"/>
      <c r="CB31" s="857"/>
      <c r="CC31" s="857"/>
      <c r="CD31" s="857"/>
      <c r="CE31" s="857"/>
      <c r="CF31" s="867"/>
      <c r="CQ31" s="865"/>
      <c r="CR31" s="865"/>
      <c r="CS31" s="865"/>
      <c r="CT31" s="865"/>
      <c r="CU31" s="847" t="str">
        <f>IF(CQ31="","","－")</f>
        <v/>
      </c>
      <c r="CV31" s="847"/>
      <c r="CW31" s="864"/>
      <c r="CX31" s="864"/>
      <c r="CY31" s="864"/>
      <c r="CZ31" s="864"/>
      <c r="DA31" s="290"/>
      <c r="DB31" s="290"/>
      <c r="DC31" s="290"/>
      <c r="DK31" s="290"/>
      <c r="DL31" s="493"/>
      <c r="DM31" s="493"/>
      <c r="DN31" s="891"/>
      <c r="DO31" s="856"/>
      <c r="DP31" s="856"/>
      <c r="DQ31" s="856"/>
      <c r="DR31" s="856"/>
      <c r="EB31" s="446"/>
    </row>
    <row r="32" spans="1:132" s="498" customFormat="1" ht="13.5" customHeight="1" x14ac:dyDescent="0.2">
      <c r="A32" s="500"/>
      <c r="D32" s="501"/>
      <c r="K32" s="857"/>
      <c r="L32" s="857"/>
      <c r="M32" s="857"/>
      <c r="N32" s="857"/>
      <c r="O32" s="881"/>
      <c r="P32" s="493"/>
      <c r="Q32" s="493"/>
      <c r="R32" s="290"/>
      <c r="W32" s="497"/>
      <c r="X32" s="497"/>
      <c r="Y32" s="497"/>
      <c r="Z32" s="510" t="str">
        <f>IF(W33="","","PK")</f>
        <v/>
      </c>
      <c r="AA32" s="510"/>
      <c r="AB32" s="510"/>
      <c r="AC32" s="497"/>
      <c r="AD32" s="497"/>
      <c r="AE32" s="497"/>
      <c r="AF32" s="866" t="str">
        <f>IF(AC33="","","PK")</f>
        <v/>
      </c>
      <c r="AG32" s="866"/>
      <c r="AH32" s="866"/>
      <c r="AI32" s="866"/>
      <c r="AJ32" s="499"/>
      <c r="AK32" s="499"/>
      <c r="AL32" s="499"/>
      <c r="AW32" s="876"/>
      <c r="AX32" s="856"/>
      <c r="AY32" s="856"/>
      <c r="AZ32" s="856"/>
      <c r="BA32" s="856"/>
      <c r="CB32" s="857"/>
      <c r="CC32" s="857"/>
      <c r="CD32" s="857"/>
      <c r="CE32" s="857"/>
      <c r="CF32" s="867"/>
      <c r="CQ32" s="497"/>
      <c r="CR32" s="497"/>
      <c r="CS32" s="497"/>
      <c r="CT32" s="866" t="str">
        <f>IF(CQ33="","","PK")</f>
        <v/>
      </c>
      <c r="CU32" s="866"/>
      <c r="CV32" s="866"/>
      <c r="CW32" s="866"/>
      <c r="CX32" s="499"/>
      <c r="CY32" s="499"/>
      <c r="CZ32" s="499"/>
      <c r="DK32" s="290"/>
      <c r="DL32" s="493"/>
      <c r="DM32" s="493"/>
      <c r="DN32" s="891"/>
      <c r="DO32" s="856"/>
      <c r="DP32" s="856"/>
      <c r="DQ32" s="856"/>
      <c r="DR32" s="856"/>
      <c r="EB32" s="497"/>
    </row>
    <row r="33" spans="1:132" s="447" customFormat="1" ht="13.5" customHeight="1" x14ac:dyDescent="0.15">
      <c r="A33" s="482"/>
      <c r="D33" s="475"/>
      <c r="K33" s="857"/>
      <c r="L33" s="857"/>
      <c r="M33" s="857"/>
      <c r="N33" s="857"/>
      <c r="O33" s="881"/>
      <c r="P33" s="493"/>
      <c r="Q33" s="493"/>
      <c r="R33" s="290"/>
      <c r="W33" s="508"/>
      <c r="X33" s="508"/>
      <c r="Y33" s="508"/>
      <c r="Z33" s="508"/>
      <c r="AA33" s="509" t="str">
        <f>IF(W33="","","－")</f>
        <v/>
      </c>
      <c r="AB33" s="509"/>
      <c r="AC33" s="865"/>
      <c r="AD33" s="865"/>
      <c r="AE33" s="865"/>
      <c r="AF33" s="865"/>
      <c r="AG33" s="847" t="str">
        <f>IF(AC33="","","－")</f>
        <v/>
      </c>
      <c r="AH33" s="847"/>
      <c r="AI33" s="864"/>
      <c r="AJ33" s="864"/>
      <c r="AK33" s="864"/>
      <c r="AL33" s="864"/>
      <c r="AW33" s="876"/>
      <c r="AX33" s="856"/>
      <c r="AY33" s="856"/>
      <c r="AZ33" s="856"/>
      <c r="BA33" s="856"/>
      <c r="CB33" s="857"/>
      <c r="CC33" s="857"/>
      <c r="CD33" s="857"/>
      <c r="CE33" s="857"/>
      <c r="CF33" s="867"/>
      <c r="CQ33" s="865"/>
      <c r="CR33" s="865"/>
      <c r="CS33" s="865"/>
      <c r="CT33" s="865"/>
      <c r="CU33" s="847" t="str">
        <f>IF(CQ33="","","－")</f>
        <v/>
      </c>
      <c r="CV33" s="847"/>
      <c r="CW33" s="864"/>
      <c r="CX33" s="864"/>
      <c r="CY33" s="864"/>
      <c r="CZ33" s="864"/>
      <c r="DA33" s="290"/>
      <c r="DB33" s="290"/>
      <c r="DC33" s="290"/>
      <c r="DK33" s="290"/>
      <c r="DL33" s="493"/>
      <c r="DM33" s="493"/>
      <c r="DN33" s="891"/>
      <c r="DO33" s="856"/>
      <c r="DP33" s="856"/>
      <c r="DQ33" s="856"/>
      <c r="DR33" s="856"/>
      <c r="EB33" s="446"/>
    </row>
    <row r="34" spans="1:132" s="503" customFormat="1" ht="13.5" customHeight="1" x14ac:dyDescent="0.15">
      <c r="A34" s="502"/>
      <c r="D34" s="504"/>
      <c r="O34" s="881"/>
      <c r="R34" s="290"/>
      <c r="W34" s="508"/>
      <c r="X34" s="508"/>
      <c r="Y34" s="508"/>
      <c r="Z34" s="508"/>
      <c r="AA34" s="509"/>
      <c r="AB34" s="509"/>
      <c r="AF34" s="875" t="str">
        <f>IF(AC33="","","PK")</f>
        <v/>
      </c>
      <c r="AG34" s="875"/>
      <c r="AH34" s="875"/>
      <c r="AI34" s="875"/>
      <c r="AW34" s="876"/>
      <c r="CF34" s="867"/>
      <c r="CT34" s="875" t="str">
        <f>IF(CQ33="","","PK")</f>
        <v/>
      </c>
      <c r="CU34" s="875"/>
      <c r="CV34" s="875"/>
      <c r="CW34" s="875"/>
      <c r="DA34" s="511"/>
      <c r="DB34" s="511"/>
      <c r="DC34" s="511"/>
      <c r="DK34" s="290"/>
      <c r="DN34" s="891"/>
      <c r="EB34" s="505"/>
    </row>
    <row r="35" spans="1:132" s="447" customFormat="1" ht="13.5" customHeight="1" x14ac:dyDescent="0.15">
      <c r="A35" s="482"/>
      <c r="D35" s="475"/>
      <c r="K35" s="873">
        <f>IF(K38="","",SUM(K38:K41))</f>
        <v>5</v>
      </c>
      <c r="L35" s="873"/>
      <c r="M35" s="873"/>
      <c r="N35" s="873"/>
      <c r="O35" s="881"/>
      <c r="P35" s="290"/>
      <c r="Q35" s="848">
        <f>IF(Q38="","",SUM(Q38:Q41))</f>
        <v>0</v>
      </c>
      <c r="R35" s="848"/>
      <c r="S35" s="848"/>
      <c r="T35" s="848"/>
      <c r="U35" s="290"/>
      <c r="V35" s="290"/>
      <c r="W35" s="290"/>
      <c r="AR35" s="873">
        <f>IF(AR38="","",SUM(AR38:AR41))</f>
        <v>1</v>
      </c>
      <c r="AS35" s="873"/>
      <c r="AT35" s="873"/>
      <c r="AU35" s="873"/>
      <c r="AW35" s="876"/>
      <c r="AX35" s="848">
        <f>IF(AX38="","",SUM(AX38:AX41))</f>
        <v>0</v>
      </c>
      <c r="AY35" s="848"/>
      <c r="AZ35" s="848"/>
      <c r="BA35" s="848"/>
      <c r="CB35" s="873">
        <f>IF(CB38="","",SUM(CB38:CB41))</f>
        <v>7</v>
      </c>
      <c r="CC35" s="873"/>
      <c r="CD35" s="873"/>
      <c r="CE35" s="873"/>
      <c r="CF35" s="867"/>
      <c r="CH35" s="848">
        <f>IF(CH38="","",SUM(CH38:CH41))</f>
        <v>0</v>
      </c>
      <c r="CI35" s="848"/>
      <c r="CJ35" s="848"/>
      <c r="CK35" s="848"/>
      <c r="DF35" s="290" t="str">
        <f>IF(DF38="","",SUM(DF38:DI41))</f>
        <v/>
      </c>
      <c r="DG35" s="290"/>
      <c r="DH35" s="290"/>
      <c r="DI35" s="873">
        <f>IF(DI38="","",SUM(DI38:DI41))</f>
        <v>0</v>
      </c>
      <c r="DJ35" s="873"/>
      <c r="DK35" s="873"/>
      <c r="DL35" s="873"/>
      <c r="DM35" s="290"/>
      <c r="DN35" s="891"/>
      <c r="DO35" s="848">
        <f>IF(DO38="","",SUM(DO38:DO41))</f>
        <v>8</v>
      </c>
      <c r="DP35" s="848"/>
      <c r="DQ35" s="848"/>
      <c r="DR35" s="848"/>
      <c r="EB35" s="446"/>
    </row>
    <row r="36" spans="1:132" s="487" customFormat="1" ht="13.5" hidden="1" customHeight="1" x14ac:dyDescent="0.15">
      <c r="A36" s="506"/>
      <c r="D36" s="488"/>
      <c r="K36" s="871">
        <f>SUM(K38:K43)</f>
        <v>5</v>
      </c>
      <c r="L36" s="871"/>
      <c r="M36" s="871"/>
      <c r="N36" s="871"/>
      <c r="O36" s="881"/>
      <c r="P36" s="507"/>
      <c r="Q36" s="858">
        <f>SUM(Q38:Q43)</f>
        <v>0</v>
      </c>
      <c r="R36" s="858"/>
      <c r="S36" s="858"/>
      <c r="T36" s="858"/>
      <c r="U36" s="507"/>
      <c r="V36" s="507"/>
      <c r="W36" s="507"/>
      <c r="AR36" s="871">
        <f>SUM(AR38:AR43)</f>
        <v>1</v>
      </c>
      <c r="AS36" s="871"/>
      <c r="AT36" s="871"/>
      <c r="AU36" s="871"/>
      <c r="AW36" s="876"/>
      <c r="AX36" s="858">
        <f>SUM(AX38:AY43)</f>
        <v>0</v>
      </c>
      <c r="AY36" s="858"/>
      <c r="AZ36" s="858"/>
      <c r="BA36" s="858"/>
      <c r="CB36" s="871">
        <f>SUM(CB38:CB43)</f>
        <v>7</v>
      </c>
      <c r="CC36" s="871"/>
      <c r="CD36" s="871"/>
      <c r="CE36" s="871"/>
      <c r="CF36" s="867"/>
      <c r="CH36" s="858">
        <f>SUM(CH38:CI43)</f>
        <v>0</v>
      </c>
      <c r="CI36" s="858"/>
      <c r="CJ36" s="858"/>
      <c r="CK36" s="858"/>
      <c r="DF36" s="507"/>
      <c r="DG36" s="507"/>
      <c r="DH36" s="507"/>
      <c r="DI36" s="871">
        <f>SUM(DI38:DI43)</f>
        <v>0</v>
      </c>
      <c r="DJ36" s="871"/>
      <c r="DK36" s="871"/>
      <c r="DL36" s="871"/>
      <c r="DM36" s="507"/>
      <c r="DN36" s="891"/>
      <c r="DO36" s="858">
        <f>SUM(DO38:DO43)</f>
        <v>8</v>
      </c>
      <c r="DP36" s="858"/>
      <c r="DQ36" s="858"/>
      <c r="DR36" s="858"/>
      <c r="EB36" s="489"/>
    </row>
    <row r="37" spans="1:132" s="447" customFormat="1" ht="3.75" customHeight="1" thickBot="1" x14ac:dyDescent="0.2">
      <c r="A37" s="482"/>
      <c r="D37" s="475"/>
      <c r="H37" s="851"/>
      <c r="I37" s="851"/>
      <c r="J37" s="851"/>
      <c r="K37" s="851"/>
      <c r="L37" s="851"/>
      <c r="M37" s="851"/>
      <c r="N37" s="851"/>
      <c r="O37" s="882"/>
      <c r="P37" s="850"/>
      <c r="Q37" s="851"/>
      <c r="R37" s="851"/>
      <c r="S37" s="851"/>
      <c r="T37" s="851"/>
      <c r="U37" s="851"/>
      <c r="V37" s="851"/>
      <c r="W37" s="851"/>
      <c r="X37" s="851"/>
      <c r="AL37" s="851"/>
      <c r="AM37" s="851"/>
      <c r="AN37" s="851"/>
      <c r="AO37" s="851"/>
      <c r="AP37" s="851"/>
      <c r="AQ37" s="851"/>
      <c r="AR37" s="851"/>
      <c r="AS37" s="851"/>
      <c r="AT37" s="851"/>
      <c r="AU37" s="851"/>
      <c r="AV37" s="851"/>
      <c r="AW37" s="850"/>
      <c r="AX37" s="851"/>
      <c r="AY37" s="851"/>
      <c r="AZ37" s="851"/>
      <c r="BA37" s="851"/>
      <c r="BB37" s="851"/>
      <c r="BC37" s="851"/>
      <c r="BD37" s="851"/>
      <c r="BE37" s="851"/>
      <c r="BF37" s="851"/>
      <c r="BG37" s="851"/>
      <c r="BV37" s="851"/>
      <c r="BW37" s="851"/>
      <c r="BX37" s="851"/>
      <c r="BY37" s="851"/>
      <c r="BZ37" s="851"/>
      <c r="CA37" s="851"/>
      <c r="CB37" s="851"/>
      <c r="CC37" s="851"/>
      <c r="CD37" s="851"/>
      <c r="CE37" s="851"/>
      <c r="CF37" s="872"/>
      <c r="CG37" s="851"/>
      <c r="CH37" s="851"/>
      <c r="CI37" s="851"/>
      <c r="CJ37" s="851"/>
      <c r="CK37" s="851"/>
      <c r="CL37" s="851"/>
      <c r="CM37" s="851"/>
      <c r="CN37" s="851"/>
      <c r="CO37" s="851"/>
      <c r="CP37" s="851"/>
      <c r="CQ37" s="851"/>
      <c r="CZ37" s="290"/>
      <c r="DA37" s="290"/>
      <c r="DB37" s="290"/>
      <c r="DC37" s="290"/>
      <c r="DD37" s="290"/>
      <c r="DE37" s="851"/>
      <c r="DF37" s="851"/>
      <c r="DG37" s="851"/>
      <c r="DH37" s="851"/>
      <c r="DI37" s="851"/>
      <c r="DJ37" s="851"/>
      <c r="DK37" s="851"/>
      <c r="DL37" s="851"/>
      <c r="DM37" s="872"/>
      <c r="DN37" s="892"/>
      <c r="DO37" s="851"/>
      <c r="DP37" s="851"/>
      <c r="DQ37" s="851"/>
      <c r="DR37" s="851"/>
      <c r="DS37" s="851"/>
      <c r="DT37" s="851"/>
      <c r="DU37" s="851"/>
      <c r="EB37" s="446"/>
    </row>
    <row r="38" spans="1:132" s="447" customFormat="1" ht="13.5" customHeight="1" thickTop="1" x14ac:dyDescent="0.15">
      <c r="A38" s="482"/>
      <c r="C38" s="857" t="str">
        <f>IF(C46=I46,"",IF(C46&gt;I46,B66,N48))</f>
        <v>星稜</v>
      </c>
      <c r="D38" s="857"/>
      <c r="E38" s="857"/>
      <c r="F38" s="857"/>
      <c r="G38" s="867"/>
      <c r="K38" s="865">
        <v>4</v>
      </c>
      <c r="L38" s="865"/>
      <c r="M38" s="865"/>
      <c r="N38" s="865"/>
      <c r="O38" s="805" t="s">
        <v>92</v>
      </c>
      <c r="P38" s="805"/>
      <c r="Q38" s="864">
        <v>0</v>
      </c>
      <c r="R38" s="864"/>
      <c r="S38" s="864"/>
      <c r="T38" s="864"/>
      <c r="U38" s="493"/>
      <c r="V38" s="493"/>
      <c r="W38" s="493"/>
      <c r="Y38" s="879"/>
      <c r="Z38" s="856" t="str">
        <f>IF(T46=Z46,"",IF(T46&gt;Z46,T66,Z66))</f>
        <v>野田</v>
      </c>
      <c r="AA38" s="856"/>
      <c r="AB38" s="856"/>
      <c r="AC38" s="856"/>
      <c r="AG38" s="857" t="str">
        <f>IF(AG46=AM46,"",IF(AG46&gt;AM46,AF66,AR48))</f>
        <v>兼六</v>
      </c>
      <c r="AH38" s="857"/>
      <c r="AI38" s="857"/>
      <c r="AJ38" s="857"/>
      <c r="AK38" s="867"/>
      <c r="AR38" s="865">
        <v>1</v>
      </c>
      <c r="AS38" s="865"/>
      <c r="AT38" s="865"/>
      <c r="AU38" s="865"/>
      <c r="AV38" s="805" t="s">
        <v>92</v>
      </c>
      <c r="AW38" s="805"/>
      <c r="AX38" s="864">
        <v>0</v>
      </c>
      <c r="AY38" s="864"/>
      <c r="AZ38" s="864"/>
      <c r="BA38" s="864"/>
      <c r="BH38" s="876"/>
      <c r="BI38" s="856" t="str">
        <f>IF(BC46=BI46,"",IF(BC46&gt;BI46,AX48,BJ66))</f>
        <v>浅野川</v>
      </c>
      <c r="BJ38" s="856"/>
      <c r="BK38" s="856"/>
      <c r="BL38" s="856"/>
      <c r="BQ38" s="857" t="str">
        <f>IF(BQ46=BW46,"",IF(BQ46&gt;BW46,BP66,CB48))</f>
        <v>学院附属</v>
      </c>
      <c r="BR38" s="857"/>
      <c r="BS38" s="857"/>
      <c r="BT38" s="857"/>
      <c r="BU38" s="867"/>
      <c r="CB38" s="865">
        <v>2</v>
      </c>
      <c r="CC38" s="865"/>
      <c r="CD38" s="865"/>
      <c r="CE38" s="865"/>
      <c r="CF38" s="805" t="s">
        <v>92</v>
      </c>
      <c r="CG38" s="805"/>
      <c r="CH38" s="864">
        <v>0</v>
      </c>
      <c r="CI38" s="864"/>
      <c r="CJ38" s="864"/>
      <c r="CK38" s="864"/>
      <c r="CR38" s="876"/>
      <c r="CS38" s="856" t="str">
        <f>IF(CM46=CS46,"",IF(CM46&gt;CS46,CH48,CT66))</f>
        <v>清泉</v>
      </c>
      <c r="CT38" s="856"/>
      <c r="CU38" s="856"/>
      <c r="CV38" s="856"/>
      <c r="CZ38" s="857" t="str">
        <f>IF(CZ46=DF46,"",IF(CZ46&gt;DF46,CZ66,DF66))</f>
        <v>西南部</v>
      </c>
      <c r="DA38" s="857"/>
      <c r="DB38" s="857"/>
      <c r="DC38" s="857"/>
      <c r="DD38" s="867"/>
      <c r="DE38" s="512"/>
      <c r="DF38" s="513"/>
      <c r="DG38" s="513"/>
      <c r="DH38" s="513"/>
      <c r="DI38" s="865">
        <v>0</v>
      </c>
      <c r="DJ38" s="865"/>
      <c r="DK38" s="865"/>
      <c r="DL38" s="865"/>
      <c r="DM38" s="805" t="s">
        <v>92</v>
      </c>
      <c r="DN38" s="805"/>
      <c r="DO38" s="864">
        <v>8</v>
      </c>
      <c r="DP38" s="864"/>
      <c r="DQ38" s="864"/>
      <c r="DR38" s="864"/>
      <c r="DS38" s="512"/>
      <c r="DT38" s="512"/>
      <c r="DU38" s="514"/>
      <c r="DV38" s="876"/>
      <c r="DW38" s="856" t="str">
        <f>IF(DQ46=DW46,"",IF(DQ46&gt;DW46,DL48,DX66))</f>
        <v>津幡南</v>
      </c>
      <c r="DX38" s="856"/>
      <c r="DY38" s="856"/>
      <c r="DZ38" s="856"/>
      <c r="EB38" s="446"/>
    </row>
    <row r="39" spans="1:132" s="447" customFormat="1" ht="13.5" customHeight="1" x14ac:dyDescent="0.15">
      <c r="A39" s="482"/>
      <c r="C39" s="857"/>
      <c r="D39" s="857"/>
      <c r="E39" s="857"/>
      <c r="F39" s="857"/>
      <c r="G39" s="867"/>
      <c r="K39" s="865">
        <v>1</v>
      </c>
      <c r="L39" s="865"/>
      <c r="M39" s="865"/>
      <c r="N39" s="865"/>
      <c r="O39" s="805" t="s">
        <v>92</v>
      </c>
      <c r="P39" s="805"/>
      <c r="Q39" s="864">
        <v>0</v>
      </c>
      <c r="R39" s="864"/>
      <c r="S39" s="864"/>
      <c r="T39" s="864"/>
      <c r="U39" s="493"/>
      <c r="V39" s="493"/>
      <c r="W39" s="493"/>
      <c r="Y39" s="879"/>
      <c r="Z39" s="856"/>
      <c r="AA39" s="856"/>
      <c r="AB39" s="856"/>
      <c r="AC39" s="856"/>
      <c r="AG39" s="857"/>
      <c r="AH39" s="857"/>
      <c r="AI39" s="857"/>
      <c r="AJ39" s="857"/>
      <c r="AK39" s="867"/>
      <c r="AR39" s="865">
        <v>0</v>
      </c>
      <c r="AS39" s="865"/>
      <c r="AT39" s="865"/>
      <c r="AU39" s="865"/>
      <c r="AV39" s="805" t="s">
        <v>92</v>
      </c>
      <c r="AW39" s="805"/>
      <c r="AX39" s="864">
        <v>0</v>
      </c>
      <c r="AY39" s="864"/>
      <c r="AZ39" s="864"/>
      <c r="BA39" s="864"/>
      <c r="BH39" s="876"/>
      <c r="BI39" s="856"/>
      <c r="BJ39" s="856"/>
      <c r="BK39" s="856"/>
      <c r="BL39" s="856"/>
      <c r="BQ39" s="857"/>
      <c r="BR39" s="857"/>
      <c r="BS39" s="857"/>
      <c r="BT39" s="857"/>
      <c r="BU39" s="867"/>
      <c r="CB39" s="865">
        <v>5</v>
      </c>
      <c r="CC39" s="865"/>
      <c r="CD39" s="865"/>
      <c r="CE39" s="865"/>
      <c r="CF39" s="805" t="s">
        <v>92</v>
      </c>
      <c r="CG39" s="805"/>
      <c r="CH39" s="864">
        <v>0</v>
      </c>
      <c r="CI39" s="864"/>
      <c r="CJ39" s="864"/>
      <c r="CK39" s="864"/>
      <c r="CR39" s="876"/>
      <c r="CS39" s="856"/>
      <c r="CT39" s="856"/>
      <c r="CU39" s="856"/>
      <c r="CV39" s="856"/>
      <c r="CZ39" s="857"/>
      <c r="DA39" s="857"/>
      <c r="DB39" s="857"/>
      <c r="DC39" s="857"/>
      <c r="DD39" s="867"/>
      <c r="DF39" s="508"/>
      <c r="DG39" s="508"/>
      <c r="DH39" s="508"/>
      <c r="DI39" s="865">
        <v>0</v>
      </c>
      <c r="DJ39" s="865"/>
      <c r="DK39" s="865"/>
      <c r="DL39" s="865"/>
      <c r="DM39" s="805" t="s">
        <v>92</v>
      </c>
      <c r="DN39" s="805"/>
      <c r="DO39" s="864">
        <v>0</v>
      </c>
      <c r="DP39" s="864"/>
      <c r="DQ39" s="864"/>
      <c r="DR39" s="864"/>
      <c r="DU39" s="486"/>
      <c r="DV39" s="876"/>
      <c r="DW39" s="856"/>
      <c r="DX39" s="856"/>
      <c r="DY39" s="856"/>
      <c r="DZ39" s="856"/>
      <c r="EB39" s="446"/>
    </row>
    <row r="40" spans="1:132" s="447" customFormat="1" ht="13.5" customHeight="1" x14ac:dyDescent="0.15">
      <c r="A40" s="482"/>
      <c r="C40" s="857"/>
      <c r="D40" s="857"/>
      <c r="E40" s="857"/>
      <c r="F40" s="857"/>
      <c r="G40" s="867"/>
      <c r="K40" s="865"/>
      <c r="L40" s="865"/>
      <c r="M40" s="865"/>
      <c r="N40" s="865"/>
      <c r="O40" s="847" t="str">
        <f>IF(K40="","","－")</f>
        <v/>
      </c>
      <c r="P40" s="847"/>
      <c r="Q40" s="864"/>
      <c r="R40" s="864"/>
      <c r="S40" s="864"/>
      <c r="T40" s="864"/>
      <c r="U40" s="493"/>
      <c r="V40" s="493"/>
      <c r="W40" s="493"/>
      <c r="Y40" s="879"/>
      <c r="Z40" s="856"/>
      <c r="AA40" s="856"/>
      <c r="AB40" s="856"/>
      <c r="AC40" s="856"/>
      <c r="AG40" s="857"/>
      <c r="AH40" s="857"/>
      <c r="AI40" s="857"/>
      <c r="AJ40" s="857"/>
      <c r="AK40" s="867"/>
      <c r="AR40" s="865"/>
      <c r="AS40" s="865"/>
      <c r="AT40" s="865"/>
      <c r="AU40" s="865"/>
      <c r="AV40" s="847" t="str">
        <f>IF(AR40="","","－")</f>
        <v/>
      </c>
      <c r="AW40" s="847"/>
      <c r="AX40" s="864"/>
      <c r="AY40" s="864"/>
      <c r="AZ40" s="864"/>
      <c r="BA40" s="864"/>
      <c r="BH40" s="876"/>
      <c r="BI40" s="856"/>
      <c r="BJ40" s="856"/>
      <c r="BK40" s="856"/>
      <c r="BL40" s="856"/>
      <c r="BQ40" s="857"/>
      <c r="BR40" s="857"/>
      <c r="BS40" s="857"/>
      <c r="BT40" s="857"/>
      <c r="BU40" s="867"/>
      <c r="CB40" s="865"/>
      <c r="CC40" s="865"/>
      <c r="CD40" s="865"/>
      <c r="CE40" s="865"/>
      <c r="CF40" s="847" t="str">
        <f>IF(CB40="","","－")</f>
        <v/>
      </c>
      <c r="CG40" s="847"/>
      <c r="CH40" s="864"/>
      <c r="CI40" s="864"/>
      <c r="CJ40" s="864"/>
      <c r="CK40" s="864"/>
      <c r="CR40" s="876"/>
      <c r="CS40" s="856"/>
      <c r="CT40" s="856"/>
      <c r="CU40" s="856"/>
      <c r="CV40" s="856"/>
      <c r="CZ40" s="857"/>
      <c r="DA40" s="857"/>
      <c r="DB40" s="857"/>
      <c r="DC40" s="857"/>
      <c r="DD40" s="867"/>
      <c r="DF40" s="508"/>
      <c r="DG40" s="508"/>
      <c r="DH40" s="508"/>
      <c r="DI40" s="865"/>
      <c r="DJ40" s="865"/>
      <c r="DK40" s="865"/>
      <c r="DL40" s="865"/>
      <c r="DM40" s="847" t="str">
        <f>IF(DI40="","","－")</f>
        <v/>
      </c>
      <c r="DN40" s="847"/>
      <c r="DO40" s="864"/>
      <c r="DP40" s="864"/>
      <c r="DQ40" s="864"/>
      <c r="DR40" s="864"/>
      <c r="DV40" s="876"/>
      <c r="DW40" s="856"/>
      <c r="DX40" s="856"/>
      <c r="DY40" s="856"/>
      <c r="DZ40" s="856"/>
      <c r="EB40" s="446"/>
    </row>
    <row r="41" spans="1:132" s="447" customFormat="1" ht="13.5" customHeight="1" x14ac:dyDescent="0.15">
      <c r="A41" s="482"/>
      <c r="C41" s="857"/>
      <c r="D41" s="857"/>
      <c r="E41" s="857"/>
      <c r="F41" s="857"/>
      <c r="G41" s="867"/>
      <c r="K41" s="865"/>
      <c r="L41" s="865"/>
      <c r="M41" s="865"/>
      <c r="N41" s="865"/>
      <c r="O41" s="847" t="str">
        <f>IF(K41="","","－")</f>
        <v/>
      </c>
      <c r="P41" s="847"/>
      <c r="Q41" s="864"/>
      <c r="R41" s="864"/>
      <c r="S41" s="864"/>
      <c r="T41" s="864"/>
      <c r="U41" s="493"/>
      <c r="V41" s="493"/>
      <c r="W41" s="493"/>
      <c r="Y41" s="879"/>
      <c r="Z41" s="856"/>
      <c r="AA41" s="856"/>
      <c r="AB41" s="856"/>
      <c r="AC41" s="856"/>
      <c r="AG41" s="857"/>
      <c r="AH41" s="857"/>
      <c r="AI41" s="857"/>
      <c r="AJ41" s="857"/>
      <c r="AK41" s="867"/>
      <c r="AR41" s="865"/>
      <c r="AS41" s="865"/>
      <c r="AT41" s="865"/>
      <c r="AU41" s="865"/>
      <c r="AV41" s="847" t="str">
        <f>IF(AR41="","","－")</f>
        <v/>
      </c>
      <c r="AW41" s="847"/>
      <c r="AX41" s="864"/>
      <c r="AY41" s="864"/>
      <c r="AZ41" s="864"/>
      <c r="BA41" s="864"/>
      <c r="BH41" s="876"/>
      <c r="BI41" s="856"/>
      <c r="BJ41" s="856"/>
      <c r="BK41" s="856"/>
      <c r="BL41" s="856"/>
      <c r="BQ41" s="857"/>
      <c r="BR41" s="857"/>
      <c r="BS41" s="857"/>
      <c r="BT41" s="857"/>
      <c r="BU41" s="867"/>
      <c r="CB41" s="865"/>
      <c r="CC41" s="865"/>
      <c r="CD41" s="865"/>
      <c r="CE41" s="865"/>
      <c r="CF41" s="847" t="str">
        <f>IF(CB41="","","－")</f>
        <v/>
      </c>
      <c r="CG41" s="847"/>
      <c r="CH41" s="864"/>
      <c r="CI41" s="864"/>
      <c r="CJ41" s="864"/>
      <c r="CK41" s="864"/>
      <c r="CR41" s="876"/>
      <c r="CS41" s="856"/>
      <c r="CT41" s="856"/>
      <c r="CU41" s="856"/>
      <c r="CV41" s="856"/>
      <c r="CZ41" s="857"/>
      <c r="DA41" s="857"/>
      <c r="DB41" s="857"/>
      <c r="DC41" s="857"/>
      <c r="DD41" s="867"/>
      <c r="DF41" s="508"/>
      <c r="DG41" s="508"/>
      <c r="DH41" s="508"/>
      <c r="DI41" s="865"/>
      <c r="DJ41" s="865"/>
      <c r="DK41" s="865"/>
      <c r="DL41" s="865"/>
      <c r="DM41" s="847" t="str">
        <f>IF(DI41="","","－")</f>
        <v/>
      </c>
      <c r="DN41" s="847"/>
      <c r="DO41" s="864"/>
      <c r="DP41" s="864"/>
      <c r="DQ41" s="864"/>
      <c r="DR41" s="864"/>
      <c r="DV41" s="876"/>
      <c r="DW41" s="856"/>
      <c r="DX41" s="856"/>
      <c r="DY41" s="856"/>
      <c r="DZ41" s="856"/>
      <c r="EB41" s="446"/>
    </row>
    <row r="42" spans="1:132" s="498" customFormat="1" ht="13.5" customHeight="1" x14ac:dyDescent="0.2">
      <c r="A42" s="500"/>
      <c r="C42" s="857"/>
      <c r="D42" s="857"/>
      <c r="E42" s="857"/>
      <c r="F42" s="857"/>
      <c r="G42" s="867"/>
      <c r="K42" s="497"/>
      <c r="L42" s="497"/>
      <c r="M42" s="497"/>
      <c r="N42" s="866" t="str">
        <f>IF(K43="","","PK")</f>
        <v/>
      </c>
      <c r="O42" s="866"/>
      <c r="P42" s="866"/>
      <c r="Q42" s="866"/>
      <c r="R42" s="499"/>
      <c r="S42" s="499"/>
      <c r="T42" s="499"/>
      <c r="U42" s="493"/>
      <c r="V42" s="493"/>
      <c r="W42" s="493"/>
      <c r="Y42" s="879"/>
      <c r="Z42" s="856"/>
      <c r="AA42" s="856"/>
      <c r="AB42" s="856"/>
      <c r="AC42" s="856"/>
      <c r="AG42" s="857"/>
      <c r="AH42" s="857"/>
      <c r="AI42" s="857"/>
      <c r="AJ42" s="857"/>
      <c r="AK42" s="867"/>
      <c r="AR42" s="497"/>
      <c r="AS42" s="497"/>
      <c r="AT42" s="497"/>
      <c r="AU42" s="866" t="str">
        <f>IF(AR43="","","PK")</f>
        <v/>
      </c>
      <c r="AV42" s="866"/>
      <c r="AW42" s="866"/>
      <c r="AX42" s="866"/>
      <c r="AY42" s="499"/>
      <c r="AZ42" s="499"/>
      <c r="BA42" s="499"/>
      <c r="BH42" s="876"/>
      <c r="BI42" s="856"/>
      <c r="BJ42" s="856"/>
      <c r="BK42" s="856"/>
      <c r="BL42" s="856"/>
      <c r="BQ42" s="857"/>
      <c r="BR42" s="857"/>
      <c r="BS42" s="857"/>
      <c r="BT42" s="857"/>
      <c r="BU42" s="867"/>
      <c r="CB42" s="497"/>
      <c r="CC42" s="497"/>
      <c r="CD42" s="497"/>
      <c r="CE42" s="866" t="str">
        <f>IF(CB43="","","PK")</f>
        <v/>
      </c>
      <c r="CF42" s="866"/>
      <c r="CG42" s="866"/>
      <c r="CH42" s="866"/>
      <c r="CI42" s="499"/>
      <c r="CJ42" s="499"/>
      <c r="CK42" s="499"/>
      <c r="CR42" s="876"/>
      <c r="CS42" s="856"/>
      <c r="CT42" s="856"/>
      <c r="CU42" s="856"/>
      <c r="CV42" s="856"/>
      <c r="CZ42" s="857"/>
      <c r="DA42" s="857"/>
      <c r="DB42" s="857"/>
      <c r="DC42" s="857"/>
      <c r="DD42" s="867"/>
      <c r="DF42" s="497"/>
      <c r="DG42" s="497"/>
      <c r="DH42" s="497"/>
      <c r="DI42" s="497"/>
      <c r="DJ42" s="497"/>
      <c r="DK42" s="497"/>
      <c r="DL42" s="866" t="str">
        <f>IF(DI43="","","PK")</f>
        <v/>
      </c>
      <c r="DM42" s="866"/>
      <c r="DN42" s="866"/>
      <c r="DO42" s="866"/>
      <c r="DP42" s="499"/>
      <c r="DQ42" s="499"/>
      <c r="DR42" s="499"/>
      <c r="DV42" s="876"/>
      <c r="DW42" s="856"/>
      <c r="DX42" s="856"/>
      <c r="DY42" s="856"/>
      <c r="DZ42" s="856"/>
      <c r="EB42" s="497"/>
    </row>
    <row r="43" spans="1:132" s="447" customFormat="1" ht="13.5" customHeight="1" x14ac:dyDescent="0.15">
      <c r="A43" s="482"/>
      <c r="C43" s="857"/>
      <c r="D43" s="857"/>
      <c r="E43" s="857"/>
      <c r="F43" s="857"/>
      <c r="G43" s="867"/>
      <c r="K43" s="865"/>
      <c r="L43" s="865"/>
      <c r="M43" s="865"/>
      <c r="N43" s="865"/>
      <c r="O43" s="847" t="str">
        <f>IF(K43="","","－")</f>
        <v/>
      </c>
      <c r="P43" s="847"/>
      <c r="Q43" s="864"/>
      <c r="R43" s="864"/>
      <c r="S43" s="864"/>
      <c r="T43" s="864"/>
      <c r="U43" s="493"/>
      <c r="V43" s="493"/>
      <c r="W43" s="493"/>
      <c r="Y43" s="879"/>
      <c r="Z43" s="856"/>
      <c r="AA43" s="856"/>
      <c r="AB43" s="856"/>
      <c r="AC43" s="856"/>
      <c r="AG43" s="857"/>
      <c r="AH43" s="857"/>
      <c r="AI43" s="857"/>
      <c r="AJ43" s="857"/>
      <c r="AK43" s="867"/>
      <c r="AR43" s="865"/>
      <c r="AS43" s="865"/>
      <c r="AT43" s="865"/>
      <c r="AU43" s="865"/>
      <c r="AV43" s="847" t="str">
        <f>IF(AR43="","","－")</f>
        <v/>
      </c>
      <c r="AW43" s="847"/>
      <c r="AX43" s="864"/>
      <c r="AY43" s="864"/>
      <c r="AZ43" s="864"/>
      <c r="BA43" s="864"/>
      <c r="BH43" s="876"/>
      <c r="BI43" s="856"/>
      <c r="BJ43" s="856"/>
      <c r="BK43" s="856"/>
      <c r="BL43" s="856"/>
      <c r="BQ43" s="857"/>
      <c r="BR43" s="857"/>
      <c r="BS43" s="857"/>
      <c r="BT43" s="857"/>
      <c r="BU43" s="867"/>
      <c r="CB43" s="865"/>
      <c r="CC43" s="865"/>
      <c r="CD43" s="865"/>
      <c r="CE43" s="865"/>
      <c r="CF43" s="847" t="str">
        <f>IF(CB43="","","－")</f>
        <v/>
      </c>
      <c r="CG43" s="847"/>
      <c r="CH43" s="864"/>
      <c r="CI43" s="864"/>
      <c r="CJ43" s="864"/>
      <c r="CK43" s="864"/>
      <c r="CR43" s="876"/>
      <c r="CS43" s="856"/>
      <c r="CT43" s="856"/>
      <c r="CU43" s="856"/>
      <c r="CV43" s="856"/>
      <c r="CZ43" s="857"/>
      <c r="DA43" s="857"/>
      <c r="DB43" s="857"/>
      <c r="DC43" s="857"/>
      <c r="DD43" s="867"/>
      <c r="DF43" s="508"/>
      <c r="DG43" s="508"/>
      <c r="DH43" s="508"/>
      <c r="DI43" s="865"/>
      <c r="DJ43" s="865"/>
      <c r="DK43" s="865"/>
      <c r="DL43" s="865"/>
      <c r="DM43" s="847" t="str">
        <f>IF(DI43="","","－")</f>
        <v/>
      </c>
      <c r="DN43" s="847"/>
      <c r="DO43" s="864"/>
      <c r="DP43" s="864"/>
      <c r="DQ43" s="864"/>
      <c r="DR43" s="864"/>
      <c r="DV43" s="876"/>
      <c r="DW43" s="856"/>
      <c r="DX43" s="856"/>
      <c r="DY43" s="856"/>
      <c r="DZ43" s="856"/>
      <c r="EB43" s="446"/>
    </row>
    <row r="44" spans="1:132" s="503" customFormat="1" ht="13.5" customHeight="1" x14ac:dyDescent="0.15">
      <c r="A44" s="502"/>
      <c r="D44" s="504"/>
      <c r="G44" s="867"/>
      <c r="N44" s="875" t="str">
        <f>IF(K43="","","PK")</f>
        <v/>
      </c>
      <c r="O44" s="875"/>
      <c r="P44" s="875"/>
      <c r="Q44" s="875"/>
      <c r="Y44" s="879"/>
      <c r="AK44" s="867"/>
      <c r="AU44" s="875" t="str">
        <f>IF(AR43="","","PK")</f>
        <v/>
      </c>
      <c r="AV44" s="875"/>
      <c r="AW44" s="875"/>
      <c r="AX44" s="875"/>
      <c r="BH44" s="876"/>
      <c r="BU44" s="867"/>
      <c r="CE44" s="875" t="str">
        <f>IF(CB43="","","PK")</f>
        <v/>
      </c>
      <c r="CF44" s="875"/>
      <c r="CG44" s="875"/>
      <c r="CH44" s="875"/>
      <c r="CR44" s="876"/>
      <c r="DD44" s="867"/>
      <c r="DL44" s="875" t="str">
        <f>IF(DI43="","","PK")</f>
        <v/>
      </c>
      <c r="DM44" s="875"/>
      <c r="DN44" s="875"/>
      <c r="DO44" s="875"/>
      <c r="DV44" s="876"/>
      <c r="EB44" s="505"/>
    </row>
    <row r="45" spans="1:132" s="447" customFormat="1" ht="13.5" customHeight="1" x14ac:dyDescent="0.15">
      <c r="A45" s="482"/>
      <c r="C45" s="873">
        <f>IF(D48="","",SUM(D48:D51))</f>
        <v>5</v>
      </c>
      <c r="D45" s="873"/>
      <c r="E45" s="873"/>
      <c r="F45" s="873"/>
      <c r="G45" s="867"/>
      <c r="I45" s="848">
        <f>IF(I48="","",SUM(I48:I51))</f>
        <v>0</v>
      </c>
      <c r="J45" s="848"/>
      <c r="K45" s="848"/>
      <c r="L45" s="848"/>
      <c r="T45" s="873">
        <f>IF(V48="","",SUM(V48:V51))</f>
        <v>0</v>
      </c>
      <c r="U45" s="873"/>
      <c r="V45" s="873"/>
      <c r="W45" s="873"/>
      <c r="Y45" s="879"/>
      <c r="Z45" s="848">
        <f>IF(Z48="","",SUM(Z48:Z51))</f>
        <v>2</v>
      </c>
      <c r="AA45" s="848"/>
      <c r="AB45" s="848"/>
      <c r="AC45" s="848"/>
      <c r="AG45" s="873">
        <f>IF(AH48="","",SUM(AH48:AH51))</f>
        <v>5</v>
      </c>
      <c r="AH45" s="873"/>
      <c r="AI45" s="873"/>
      <c r="AJ45" s="873"/>
      <c r="AK45" s="867"/>
      <c r="AM45" s="848">
        <f>IF(AM48="","",SUM(AM48:AM51))</f>
        <v>0</v>
      </c>
      <c r="AN45" s="848"/>
      <c r="AO45" s="848"/>
      <c r="AP45" s="848"/>
      <c r="BC45" s="873">
        <f>IF(BC48="","",SUM(BC48:BC51))</f>
        <v>0</v>
      </c>
      <c r="BD45" s="873"/>
      <c r="BE45" s="873"/>
      <c r="BF45" s="873"/>
      <c r="BH45" s="876"/>
      <c r="BI45" s="848">
        <f>IF(BI48="","",SUM(BI48:BI51))</f>
        <v>4</v>
      </c>
      <c r="BJ45" s="848"/>
      <c r="BK45" s="848"/>
      <c r="BL45" s="848"/>
      <c r="BQ45" s="873">
        <f>IF(BR48="","",SUM(BR48:BR51))</f>
        <v>9</v>
      </c>
      <c r="BR45" s="873"/>
      <c r="BS45" s="873"/>
      <c r="BT45" s="873"/>
      <c r="BU45" s="867"/>
      <c r="BW45" s="848">
        <f>IF(BW48="","",SUM(BW48:BW51))</f>
        <v>0</v>
      </c>
      <c r="BX45" s="848"/>
      <c r="BY45" s="848"/>
      <c r="BZ45" s="848"/>
      <c r="CM45" s="873">
        <f>IF(CM48="","",SUM(CM48:CM51))</f>
        <v>0</v>
      </c>
      <c r="CN45" s="873"/>
      <c r="CO45" s="873"/>
      <c r="CP45" s="873"/>
      <c r="CR45" s="876"/>
      <c r="CS45" s="848">
        <f>IF(CS48="","",SUM(CS48:CS51))</f>
        <v>3</v>
      </c>
      <c r="CT45" s="848"/>
      <c r="CU45" s="848"/>
      <c r="CV45" s="848"/>
      <c r="CZ45" s="873">
        <f>IF(DB48="","",SUM(DB48:DB51))</f>
        <v>3</v>
      </c>
      <c r="DA45" s="873"/>
      <c r="DB45" s="873"/>
      <c r="DC45" s="873"/>
      <c r="DD45" s="867"/>
      <c r="DF45" s="848">
        <f>IF(DF48="","",SUM(DF48:DF51))</f>
        <v>0</v>
      </c>
      <c r="DG45" s="848"/>
      <c r="DH45" s="848"/>
      <c r="DI45" s="848"/>
      <c r="DQ45" s="873">
        <f>IF(DQ48="","",SUM(DQ48:DQ51))</f>
        <v>2</v>
      </c>
      <c r="DR45" s="873"/>
      <c r="DS45" s="873"/>
      <c r="DT45" s="873"/>
      <c r="DV45" s="876"/>
      <c r="DW45" s="848">
        <f>IF(DW48="","",SUM(DW48:DW51))</f>
        <v>3</v>
      </c>
      <c r="DX45" s="848"/>
      <c r="DY45" s="848"/>
      <c r="DZ45" s="848"/>
      <c r="EB45" s="446"/>
    </row>
    <row r="46" spans="1:132" s="487" customFormat="1" ht="13.5" hidden="1" customHeight="1" x14ac:dyDescent="0.15">
      <c r="A46" s="506"/>
      <c r="C46" s="871">
        <f>SUM(D48:D53)</f>
        <v>5</v>
      </c>
      <c r="D46" s="871"/>
      <c r="E46" s="871"/>
      <c r="F46" s="871"/>
      <c r="G46" s="867"/>
      <c r="I46" s="858">
        <f>SUM(I48:I53)</f>
        <v>0</v>
      </c>
      <c r="J46" s="858"/>
      <c r="K46" s="858"/>
      <c r="L46" s="858"/>
      <c r="T46" s="871">
        <f>SUM(V48:V53)</f>
        <v>0</v>
      </c>
      <c r="U46" s="871"/>
      <c r="V46" s="871"/>
      <c r="W46" s="871"/>
      <c r="Y46" s="879"/>
      <c r="Z46" s="858">
        <f>SUM(Z48:Z53)</f>
        <v>2</v>
      </c>
      <c r="AA46" s="858"/>
      <c r="AB46" s="858"/>
      <c r="AC46" s="858"/>
      <c r="AG46" s="871">
        <f>SUM(AH48:AH53)</f>
        <v>5</v>
      </c>
      <c r="AH46" s="871"/>
      <c r="AI46" s="871"/>
      <c r="AJ46" s="871"/>
      <c r="AK46" s="867"/>
      <c r="AM46" s="858">
        <f>SUM(AM48:AM53)</f>
        <v>0</v>
      </c>
      <c r="AN46" s="858"/>
      <c r="AO46" s="858"/>
      <c r="AP46" s="858"/>
      <c r="BC46" s="871">
        <f>SUM(BC48:BC53)</f>
        <v>0</v>
      </c>
      <c r="BD46" s="871"/>
      <c r="BE46" s="871"/>
      <c r="BF46" s="871"/>
      <c r="BH46" s="876"/>
      <c r="BI46" s="858">
        <f>SUM(BI48:BI53)</f>
        <v>4</v>
      </c>
      <c r="BJ46" s="858"/>
      <c r="BK46" s="858"/>
      <c r="BL46" s="858"/>
      <c r="BQ46" s="871">
        <f>SUM(BR48:BR53)</f>
        <v>9</v>
      </c>
      <c r="BR46" s="871"/>
      <c r="BS46" s="871"/>
      <c r="BT46" s="871"/>
      <c r="BU46" s="867"/>
      <c r="BW46" s="858">
        <f>SUM(BW48:BW53)</f>
        <v>0</v>
      </c>
      <c r="BX46" s="858"/>
      <c r="BY46" s="858"/>
      <c r="BZ46" s="858"/>
      <c r="CM46" s="871">
        <f>SUM(CM48:CM53)</f>
        <v>0</v>
      </c>
      <c r="CN46" s="871"/>
      <c r="CO46" s="871"/>
      <c r="CP46" s="871"/>
      <c r="CR46" s="876"/>
      <c r="CS46" s="858">
        <f>SUM(CS48:CS53)</f>
        <v>3</v>
      </c>
      <c r="CT46" s="858"/>
      <c r="CU46" s="858"/>
      <c r="CV46" s="858"/>
      <c r="CZ46" s="871">
        <f>SUM(DB48:DB53)</f>
        <v>3</v>
      </c>
      <c r="DA46" s="871"/>
      <c r="DB46" s="871"/>
      <c r="DC46" s="871"/>
      <c r="DD46" s="867"/>
      <c r="DF46" s="858">
        <f>SUM(DF48:DF53)</f>
        <v>0</v>
      </c>
      <c r="DG46" s="858"/>
      <c r="DH46" s="858"/>
      <c r="DI46" s="858"/>
      <c r="DQ46" s="871">
        <f>SUM(DQ48:DQ53)</f>
        <v>2</v>
      </c>
      <c r="DR46" s="871"/>
      <c r="DS46" s="871"/>
      <c r="DT46" s="871"/>
      <c r="DV46" s="876"/>
      <c r="DW46" s="858">
        <f>SUM(DW48:DW53)</f>
        <v>3</v>
      </c>
      <c r="DX46" s="858"/>
      <c r="DY46" s="858"/>
      <c r="DZ46" s="858"/>
      <c r="EB46" s="489"/>
    </row>
    <row r="47" spans="1:132" s="447" customFormat="1" ht="3.75" customHeight="1" thickBot="1" x14ac:dyDescent="0.2">
      <c r="A47" s="482"/>
      <c r="D47" s="851"/>
      <c r="E47" s="851"/>
      <c r="F47" s="851"/>
      <c r="G47" s="872"/>
      <c r="H47" s="851"/>
      <c r="I47" s="851"/>
      <c r="J47" s="851"/>
      <c r="K47" s="851"/>
      <c r="L47" s="851"/>
      <c r="T47" s="290"/>
      <c r="U47" s="290"/>
      <c r="V47" s="851"/>
      <c r="W47" s="851"/>
      <c r="X47" s="868"/>
      <c r="Y47" s="893"/>
      <c r="Z47" s="849"/>
      <c r="AA47" s="849"/>
      <c r="AH47" s="851"/>
      <c r="AI47" s="851"/>
      <c r="AJ47" s="851"/>
      <c r="AK47" s="872"/>
      <c r="AL47" s="851"/>
      <c r="AM47" s="851"/>
      <c r="AN47" s="851"/>
      <c r="AO47" s="851"/>
      <c r="AP47" s="851"/>
      <c r="BC47" s="851"/>
      <c r="BD47" s="851"/>
      <c r="BE47" s="851"/>
      <c r="BF47" s="851"/>
      <c r="BG47" s="851"/>
      <c r="BH47" s="850"/>
      <c r="BI47" s="851"/>
      <c r="BJ47" s="851"/>
      <c r="BK47" s="851"/>
      <c r="BR47" s="851"/>
      <c r="BS47" s="851"/>
      <c r="BT47" s="851"/>
      <c r="BU47" s="872"/>
      <c r="BV47" s="851"/>
      <c r="BW47" s="851"/>
      <c r="BX47" s="851"/>
      <c r="BY47" s="851"/>
      <c r="BZ47" s="851"/>
      <c r="CM47" s="851"/>
      <c r="CN47" s="851"/>
      <c r="CO47" s="851"/>
      <c r="CP47" s="851"/>
      <c r="CQ47" s="851"/>
      <c r="CR47" s="850"/>
      <c r="CS47" s="851"/>
      <c r="CT47" s="851"/>
      <c r="CU47" s="851"/>
      <c r="CZ47" s="290"/>
      <c r="DA47" s="290"/>
      <c r="DB47" s="849"/>
      <c r="DC47" s="849"/>
      <c r="DD47" s="894"/>
      <c r="DE47" s="880"/>
      <c r="DF47" s="849"/>
      <c r="DG47" s="849"/>
      <c r="DQ47" s="851"/>
      <c r="DR47" s="851"/>
      <c r="DS47" s="851"/>
      <c r="DT47" s="851"/>
      <c r="DU47" s="851"/>
      <c r="DV47" s="850"/>
      <c r="DW47" s="851"/>
      <c r="DX47" s="851"/>
      <c r="DY47" s="851"/>
      <c r="EB47" s="446"/>
    </row>
    <row r="48" spans="1:132" s="447" customFormat="1" ht="13.5" customHeight="1" thickTop="1" x14ac:dyDescent="0.15">
      <c r="A48" s="482"/>
      <c r="C48" s="867"/>
      <c r="D48" s="877">
        <v>3</v>
      </c>
      <c r="E48" s="877"/>
      <c r="F48" s="877"/>
      <c r="G48" s="805" t="s">
        <v>92</v>
      </c>
      <c r="H48" s="805"/>
      <c r="I48" s="864">
        <v>0</v>
      </c>
      <c r="J48" s="864"/>
      <c r="K48" s="864"/>
      <c r="L48" s="864"/>
      <c r="M48" s="876"/>
      <c r="N48" s="856" t="str">
        <f>IF(H56=N56,"",IF(H56&gt;N56,H66,N66))</f>
        <v>港</v>
      </c>
      <c r="O48" s="856"/>
      <c r="P48" s="856"/>
      <c r="Q48" s="856"/>
      <c r="T48" s="466"/>
      <c r="U48" s="878"/>
      <c r="V48" s="865">
        <v>0</v>
      </c>
      <c r="W48" s="865"/>
      <c r="X48" s="805" t="s">
        <v>92</v>
      </c>
      <c r="Y48" s="805"/>
      <c r="Z48" s="864">
        <v>1</v>
      </c>
      <c r="AA48" s="864"/>
      <c r="AB48" s="879"/>
      <c r="AC48" s="494"/>
      <c r="AG48" s="867"/>
      <c r="AH48" s="877">
        <v>3</v>
      </c>
      <c r="AI48" s="877"/>
      <c r="AJ48" s="877"/>
      <c r="AK48" s="805" t="s">
        <v>92</v>
      </c>
      <c r="AL48" s="805"/>
      <c r="AM48" s="864">
        <v>0</v>
      </c>
      <c r="AN48" s="864"/>
      <c r="AO48" s="864"/>
      <c r="AP48" s="864"/>
      <c r="AQ48" s="876"/>
      <c r="AR48" s="856" t="str">
        <f>IF(AL56=AR56,"",IF(AL56&gt;AR56,AL66,AR66))</f>
        <v>高岡</v>
      </c>
      <c r="AS48" s="856"/>
      <c r="AT48" s="856"/>
      <c r="AU48" s="856"/>
      <c r="AX48" s="857" t="str">
        <f>IF(AX56=BD56,"",IF(AX56&gt;BD56,AX66,BD66))</f>
        <v>泉･高尾台</v>
      </c>
      <c r="AY48" s="857"/>
      <c r="AZ48" s="857"/>
      <c r="BA48" s="857"/>
      <c r="BB48" s="867"/>
      <c r="BC48" s="865">
        <v>0</v>
      </c>
      <c r="BD48" s="865"/>
      <c r="BE48" s="865"/>
      <c r="BF48" s="865"/>
      <c r="BG48" s="805" t="s">
        <v>92</v>
      </c>
      <c r="BH48" s="805"/>
      <c r="BI48" s="864">
        <v>2</v>
      </c>
      <c r="BJ48" s="864"/>
      <c r="BK48" s="864"/>
      <c r="BL48" s="876"/>
      <c r="BQ48" s="867"/>
      <c r="BR48" s="877">
        <v>5</v>
      </c>
      <c r="BS48" s="877"/>
      <c r="BT48" s="877"/>
      <c r="BU48" s="805" t="s">
        <v>92</v>
      </c>
      <c r="BV48" s="805"/>
      <c r="BW48" s="864">
        <v>0</v>
      </c>
      <c r="BX48" s="864"/>
      <c r="BY48" s="864"/>
      <c r="BZ48" s="864"/>
      <c r="CA48" s="876"/>
      <c r="CB48" s="856" t="str">
        <f>IF(BV56=CB56,"",IF(BV56&gt;CB56,BV66,CB66))</f>
        <v>錦丘･緑</v>
      </c>
      <c r="CC48" s="856"/>
      <c r="CD48" s="856"/>
      <c r="CE48" s="856"/>
      <c r="CH48" s="857" t="str">
        <f>IF(CH56=CN56,"",IF(CH56&gt;CN56,CH66,CN66))</f>
        <v>内灘</v>
      </c>
      <c r="CI48" s="857"/>
      <c r="CJ48" s="857"/>
      <c r="CK48" s="857"/>
      <c r="CL48" s="867"/>
      <c r="CM48" s="865">
        <v>0</v>
      </c>
      <c r="CN48" s="865"/>
      <c r="CO48" s="865"/>
      <c r="CP48" s="865"/>
      <c r="CQ48" s="805" t="s">
        <v>92</v>
      </c>
      <c r="CR48" s="805"/>
      <c r="CS48" s="864">
        <v>1</v>
      </c>
      <c r="CT48" s="864"/>
      <c r="CU48" s="864"/>
      <c r="CV48" s="876"/>
      <c r="DA48" s="878"/>
      <c r="DB48" s="865">
        <v>1</v>
      </c>
      <c r="DC48" s="865"/>
      <c r="DD48" s="805" t="s">
        <v>92</v>
      </c>
      <c r="DE48" s="805"/>
      <c r="DF48" s="864">
        <v>0</v>
      </c>
      <c r="DG48" s="864"/>
      <c r="DH48" s="879"/>
      <c r="DI48" s="494"/>
      <c r="DL48" s="857" t="str">
        <f>IF(DL56=DR56,"",IF(DL56&gt;DR56,DL66,DR66))</f>
        <v>紫錦台</v>
      </c>
      <c r="DM48" s="857"/>
      <c r="DN48" s="857"/>
      <c r="DO48" s="857"/>
      <c r="DP48" s="867"/>
      <c r="DQ48" s="865">
        <v>0</v>
      </c>
      <c r="DR48" s="865"/>
      <c r="DS48" s="865"/>
      <c r="DT48" s="865"/>
      <c r="DU48" s="805" t="s">
        <v>92</v>
      </c>
      <c r="DV48" s="805"/>
      <c r="DW48" s="864">
        <v>2</v>
      </c>
      <c r="DX48" s="864"/>
      <c r="DY48" s="864"/>
      <c r="DZ48" s="876"/>
      <c r="EB48" s="446"/>
    </row>
    <row r="49" spans="1:132" s="447" customFormat="1" ht="13.5" customHeight="1" x14ac:dyDescent="0.15">
      <c r="A49" s="482"/>
      <c r="C49" s="867"/>
      <c r="D49" s="877">
        <v>2</v>
      </c>
      <c r="E49" s="877"/>
      <c r="F49" s="877"/>
      <c r="G49" s="805" t="s">
        <v>92</v>
      </c>
      <c r="H49" s="805"/>
      <c r="I49" s="864">
        <v>0</v>
      </c>
      <c r="J49" s="864"/>
      <c r="K49" s="864"/>
      <c r="L49" s="864"/>
      <c r="M49" s="876"/>
      <c r="N49" s="856"/>
      <c r="O49" s="856"/>
      <c r="P49" s="856"/>
      <c r="Q49" s="856"/>
      <c r="T49" s="466"/>
      <c r="U49" s="878"/>
      <c r="V49" s="865">
        <v>0</v>
      </c>
      <c r="W49" s="865"/>
      <c r="X49" s="805" t="s">
        <v>92</v>
      </c>
      <c r="Y49" s="805"/>
      <c r="Z49" s="864">
        <v>1</v>
      </c>
      <c r="AA49" s="864"/>
      <c r="AB49" s="879"/>
      <c r="AC49" s="494"/>
      <c r="AG49" s="867"/>
      <c r="AH49" s="877">
        <v>2</v>
      </c>
      <c r="AI49" s="877"/>
      <c r="AJ49" s="877"/>
      <c r="AK49" s="805" t="s">
        <v>92</v>
      </c>
      <c r="AL49" s="805"/>
      <c r="AM49" s="864">
        <v>0</v>
      </c>
      <c r="AN49" s="864"/>
      <c r="AO49" s="864"/>
      <c r="AP49" s="864"/>
      <c r="AQ49" s="876"/>
      <c r="AR49" s="856"/>
      <c r="AS49" s="856"/>
      <c r="AT49" s="856"/>
      <c r="AU49" s="856"/>
      <c r="AX49" s="857"/>
      <c r="AY49" s="857"/>
      <c r="AZ49" s="857"/>
      <c r="BA49" s="857"/>
      <c r="BB49" s="867"/>
      <c r="BC49" s="865">
        <v>0</v>
      </c>
      <c r="BD49" s="865"/>
      <c r="BE49" s="865"/>
      <c r="BF49" s="865"/>
      <c r="BG49" s="805" t="s">
        <v>92</v>
      </c>
      <c r="BH49" s="805"/>
      <c r="BI49" s="864">
        <v>2</v>
      </c>
      <c r="BJ49" s="864"/>
      <c r="BK49" s="864"/>
      <c r="BL49" s="876"/>
      <c r="BQ49" s="867"/>
      <c r="BR49" s="877">
        <v>4</v>
      </c>
      <c r="BS49" s="877"/>
      <c r="BT49" s="877"/>
      <c r="BU49" s="805" t="s">
        <v>92</v>
      </c>
      <c r="BV49" s="805"/>
      <c r="BW49" s="864">
        <v>0</v>
      </c>
      <c r="BX49" s="864"/>
      <c r="BY49" s="864"/>
      <c r="BZ49" s="864"/>
      <c r="CA49" s="876"/>
      <c r="CB49" s="856"/>
      <c r="CC49" s="856"/>
      <c r="CD49" s="856"/>
      <c r="CE49" s="856"/>
      <c r="CH49" s="857"/>
      <c r="CI49" s="857"/>
      <c r="CJ49" s="857"/>
      <c r="CK49" s="857"/>
      <c r="CL49" s="867"/>
      <c r="CM49" s="865">
        <v>0</v>
      </c>
      <c r="CN49" s="865"/>
      <c r="CO49" s="865"/>
      <c r="CP49" s="865"/>
      <c r="CQ49" s="805" t="s">
        <v>92</v>
      </c>
      <c r="CR49" s="805"/>
      <c r="CS49" s="864">
        <v>2</v>
      </c>
      <c r="CT49" s="864"/>
      <c r="CU49" s="864"/>
      <c r="CV49" s="876"/>
      <c r="DA49" s="878"/>
      <c r="DB49" s="865">
        <v>2</v>
      </c>
      <c r="DC49" s="865"/>
      <c r="DD49" s="805" t="s">
        <v>92</v>
      </c>
      <c r="DE49" s="805"/>
      <c r="DF49" s="864">
        <v>0</v>
      </c>
      <c r="DG49" s="864"/>
      <c r="DH49" s="879"/>
      <c r="DI49" s="494"/>
      <c r="DL49" s="857"/>
      <c r="DM49" s="857"/>
      <c r="DN49" s="857"/>
      <c r="DO49" s="857"/>
      <c r="DP49" s="867"/>
      <c r="DQ49" s="865">
        <v>2</v>
      </c>
      <c r="DR49" s="865"/>
      <c r="DS49" s="865"/>
      <c r="DT49" s="865"/>
      <c r="DU49" s="805" t="s">
        <v>92</v>
      </c>
      <c r="DV49" s="805"/>
      <c r="DW49" s="864">
        <v>1</v>
      </c>
      <c r="DX49" s="864"/>
      <c r="DY49" s="864"/>
      <c r="DZ49" s="876"/>
      <c r="EB49" s="446"/>
    </row>
    <row r="50" spans="1:132" s="447" customFormat="1" ht="13.5" customHeight="1" x14ac:dyDescent="0.15">
      <c r="A50" s="482"/>
      <c r="C50" s="867"/>
      <c r="D50" s="877"/>
      <c r="E50" s="877"/>
      <c r="F50" s="877"/>
      <c r="G50" s="847" t="str">
        <f>IF(D50="","","－")</f>
        <v/>
      </c>
      <c r="H50" s="847"/>
      <c r="I50" s="864"/>
      <c r="J50" s="864"/>
      <c r="K50" s="864"/>
      <c r="L50" s="864"/>
      <c r="M50" s="876"/>
      <c r="N50" s="856"/>
      <c r="O50" s="856"/>
      <c r="P50" s="856"/>
      <c r="Q50" s="856"/>
      <c r="T50" s="466"/>
      <c r="U50" s="878"/>
      <c r="V50" s="865"/>
      <c r="W50" s="865"/>
      <c r="X50" s="847" t="str">
        <f>IF(V50="","","－")</f>
        <v/>
      </c>
      <c r="Y50" s="847"/>
      <c r="Z50" s="864"/>
      <c r="AA50" s="864"/>
      <c r="AB50" s="879"/>
      <c r="AC50" s="494"/>
      <c r="AG50" s="867"/>
      <c r="AH50" s="877"/>
      <c r="AI50" s="877"/>
      <c r="AJ50" s="877"/>
      <c r="AK50" s="847" t="str">
        <f>IF(AH50="","","－")</f>
        <v/>
      </c>
      <c r="AL50" s="847"/>
      <c r="AM50" s="864"/>
      <c r="AN50" s="864"/>
      <c r="AO50" s="864"/>
      <c r="AP50" s="864"/>
      <c r="AQ50" s="876"/>
      <c r="AR50" s="856"/>
      <c r="AS50" s="856"/>
      <c r="AT50" s="856"/>
      <c r="AU50" s="856"/>
      <c r="AX50" s="857"/>
      <c r="AY50" s="857"/>
      <c r="AZ50" s="857"/>
      <c r="BA50" s="857"/>
      <c r="BB50" s="867"/>
      <c r="BC50" s="865"/>
      <c r="BD50" s="865"/>
      <c r="BE50" s="865"/>
      <c r="BF50" s="865"/>
      <c r="BG50" s="847" t="str">
        <f>IF(BC50="","","－")</f>
        <v/>
      </c>
      <c r="BH50" s="847"/>
      <c r="BI50" s="864"/>
      <c r="BJ50" s="864"/>
      <c r="BK50" s="864"/>
      <c r="BL50" s="876"/>
      <c r="BQ50" s="867"/>
      <c r="BR50" s="877"/>
      <c r="BS50" s="877"/>
      <c r="BT50" s="877"/>
      <c r="BU50" s="847" t="str">
        <f>IF(BR50="","","－")</f>
        <v/>
      </c>
      <c r="BV50" s="847"/>
      <c r="BW50" s="864"/>
      <c r="BX50" s="864"/>
      <c r="BY50" s="864"/>
      <c r="BZ50" s="864"/>
      <c r="CA50" s="876"/>
      <c r="CB50" s="856"/>
      <c r="CC50" s="856"/>
      <c r="CD50" s="856"/>
      <c r="CE50" s="856"/>
      <c r="CH50" s="857"/>
      <c r="CI50" s="857"/>
      <c r="CJ50" s="857"/>
      <c r="CK50" s="857"/>
      <c r="CL50" s="867"/>
      <c r="CM50" s="865"/>
      <c r="CN50" s="865"/>
      <c r="CO50" s="865"/>
      <c r="CP50" s="865"/>
      <c r="CQ50" s="847" t="str">
        <f>IF(CM50="","","－")</f>
        <v/>
      </c>
      <c r="CR50" s="847"/>
      <c r="CS50" s="864"/>
      <c r="CT50" s="864"/>
      <c r="CU50" s="864"/>
      <c r="CV50" s="876"/>
      <c r="CZ50" s="496"/>
      <c r="DA50" s="878"/>
      <c r="DB50" s="865"/>
      <c r="DC50" s="865"/>
      <c r="DD50" s="847"/>
      <c r="DE50" s="847"/>
      <c r="DF50" s="864"/>
      <c r="DG50" s="864"/>
      <c r="DH50" s="879"/>
      <c r="DI50" s="494"/>
      <c r="DL50" s="857"/>
      <c r="DM50" s="857"/>
      <c r="DN50" s="857"/>
      <c r="DO50" s="857"/>
      <c r="DP50" s="867"/>
      <c r="DQ50" s="865"/>
      <c r="DR50" s="865"/>
      <c r="DS50" s="865"/>
      <c r="DT50" s="865"/>
      <c r="DU50" s="847" t="str">
        <f>IF(DQ50="","","－")</f>
        <v/>
      </c>
      <c r="DV50" s="847"/>
      <c r="DW50" s="864"/>
      <c r="DX50" s="864"/>
      <c r="DY50" s="864"/>
      <c r="DZ50" s="876"/>
      <c r="EB50" s="446"/>
    </row>
    <row r="51" spans="1:132" s="447" customFormat="1" ht="13.5" customHeight="1" x14ac:dyDescent="0.15">
      <c r="A51" s="482"/>
      <c r="C51" s="867"/>
      <c r="D51" s="877"/>
      <c r="E51" s="877"/>
      <c r="F51" s="877"/>
      <c r="G51" s="847" t="str">
        <f>IF(D51="","","－")</f>
        <v/>
      </c>
      <c r="H51" s="847"/>
      <c r="I51" s="864"/>
      <c r="J51" s="864"/>
      <c r="K51" s="864"/>
      <c r="L51" s="864"/>
      <c r="M51" s="876"/>
      <c r="N51" s="856"/>
      <c r="O51" s="856"/>
      <c r="P51" s="856"/>
      <c r="Q51" s="856"/>
      <c r="T51" s="466"/>
      <c r="U51" s="878"/>
      <c r="V51" s="865"/>
      <c r="W51" s="865"/>
      <c r="X51" s="847" t="str">
        <f>IF(V51="","","－")</f>
        <v/>
      </c>
      <c r="Y51" s="847"/>
      <c r="Z51" s="864"/>
      <c r="AA51" s="864"/>
      <c r="AB51" s="879"/>
      <c r="AC51" s="494"/>
      <c r="AG51" s="867"/>
      <c r="AH51" s="877"/>
      <c r="AI51" s="877"/>
      <c r="AJ51" s="877"/>
      <c r="AK51" s="847" t="str">
        <f>IF(AH51="","","－")</f>
        <v/>
      </c>
      <c r="AL51" s="847"/>
      <c r="AM51" s="864"/>
      <c r="AN51" s="864"/>
      <c r="AO51" s="864"/>
      <c r="AP51" s="864"/>
      <c r="AQ51" s="876"/>
      <c r="AR51" s="856"/>
      <c r="AS51" s="856"/>
      <c r="AT51" s="856"/>
      <c r="AU51" s="856"/>
      <c r="AX51" s="857"/>
      <c r="AY51" s="857"/>
      <c r="AZ51" s="857"/>
      <c r="BA51" s="857"/>
      <c r="BB51" s="867"/>
      <c r="BC51" s="865"/>
      <c r="BD51" s="865"/>
      <c r="BE51" s="865"/>
      <c r="BF51" s="865"/>
      <c r="BG51" s="847" t="str">
        <f>IF(BC51="","","－")</f>
        <v/>
      </c>
      <c r="BH51" s="847"/>
      <c r="BI51" s="864"/>
      <c r="BJ51" s="864"/>
      <c r="BK51" s="864"/>
      <c r="BL51" s="876"/>
      <c r="BQ51" s="867"/>
      <c r="BR51" s="877"/>
      <c r="BS51" s="877"/>
      <c r="BT51" s="877"/>
      <c r="BU51" s="847" t="str">
        <f>IF(BR51="","","－")</f>
        <v/>
      </c>
      <c r="BV51" s="847"/>
      <c r="BW51" s="864"/>
      <c r="BX51" s="864"/>
      <c r="BY51" s="864"/>
      <c r="BZ51" s="864"/>
      <c r="CA51" s="876"/>
      <c r="CB51" s="856"/>
      <c r="CC51" s="856"/>
      <c r="CD51" s="856"/>
      <c r="CE51" s="856"/>
      <c r="CH51" s="857"/>
      <c r="CI51" s="857"/>
      <c r="CJ51" s="857"/>
      <c r="CK51" s="857"/>
      <c r="CL51" s="867"/>
      <c r="CM51" s="865"/>
      <c r="CN51" s="865"/>
      <c r="CO51" s="865"/>
      <c r="CP51" s="865"/>
      <c r="CQ51" s="847" t="str">
        <f>IF(CM51="","","－")</f>
        <v/>
      </c>
      <c r="CR51" s="847"/>
      <c r="CS51" s="864"/>
      <c r="CT51" s="864"/>
      <c r="CU51" s="864"/>
      <c r="CV51" s="876"/>
      <c r="CZ51" s="496"/>
      <c r="DA51" s="878"/>
      <c r="DB51" s="865"/>
      <c r="DC51" s="865"/>
      <c r="DD51" s="847" t="str">
        <f>IF(DB51="","","－")</f>
        <v/>
      </c>
      <c r="DE51" s="847"/>
      <c r="DF51" s="864"/>
      <c r="DG51" s="864"/>
      <c r="DH51" s="879"/>
      <c r="DI51" s="494"/>
      <c r="DL51" s="857"/>
      <c r="DM51" s="857"/>
      <c r="DN51" s="857"/>
      <c r="DO51" s="857"/>
      <c r="DP51" s="867"/>
      <c r="DQ51" s="865"/>
      <c r="DR51" s="865"/>
      <c r="DS51" s="865"/>
      <c r="DT51" s="865"/>
      <c r="DU51" s="847" t="str">
        <f>IF(DQ51="","","－")</f>
        <v/>
      </c>
      <c r="DV51" s="847"/>
      <c r="DW51" s="864"/>
      <c r="DX51" s="864"/>
      <c r="DY51" s="864"/>
      <c r="DZ51" s="876"/>
      <c r="EB51" s="446"/>
    </row>
    <row r="52" spans="1:132" s="498" customFormat="1" ht="13.5" customHeight="1" x14ac:dyDescent="0.2">
      <c r="A52" s="500"/>
      <c r="C52" s="867"/>
      <c r="D52" s="515"/>
      <c r="E52" s="515"/>
      <c r="F52" s="866" t="str">
        <f>IF(D53="","","PK")</f>
        <v/>
      </c>
      <c r="G52" s="866"/>
      <c r="H52" s="866"/>
      <c r="I52" s="866"/>
      <c r="J52" s="499"/>
      <c r="K52" s="499"/>
      <c r="L52" s="499"/>
      <c r="M52" s="876"/>
      <c r="N52" s="856"/>
      <c r="O52" s="856"/>
      <c r="P52" s="856"/>
      <c r="Q52" s="856"/>
      <c r="U52" s="878"/>
      <c r="V52" s="497"/>
      <c r="W52" s="866" t="str">
        <f>IF(V53="","","PK")</f>
        <v/>
      </c>
      <c r="X52" s="866"/>
      <c r="Y52" s="866"/>
      <c r="Z52" s="866"/>
      <c r="AA52" s="499"/>
      <c r="AB52" s="879"/>
      <c r="AC52" s="494"/>
      <c r="AG52" s="867"/>
      <c r="AH52" s="515"/>
      <c r="AI52" s="515"/>
      <c r="AJ52" s="866" t="str">
        <f>IF(AH53="","","PK")</f>
        <v/>
      </c>
      <c r="AK52" s="866"/>
      <c r="AL52" s="866"/>
      <c r="AM52" s="866"/>
      <c r="AN52" s="499"/>
      <c r="AO52" s="499"/>
      <c r="AP52" s="499"/>
      <c r="AQ52" s="876"/>
      <c r="AR52" s="856"/>
      <c r="AS52" s="856"/>
      <c r="AT52" s="856"/>
      <c r="AU52" s="856"/>
      <c r="AX52" s="857"/>
      <c r="AY52" s="857"/>
      <c r="AZ52" s="857"/>
      <c r="BA52" s="857"/>
      <c r="BB52" s="867"/>
      <c r="BC52" s="497"/>
      <c r="BD52" s="497"/>
      <c r="BE52" s="497"/>
      <c r="BF52" s="866" t="str">
        <f>IF(BC53="","","PK")</f>
        <v/>
      </c>
      <c r="BG52" s="866"/>
      <c r="BH52" s="866"/>
      <c r="BI52" s="866"/>
      <c r="BJ52" s="499"/>
      <c r="BK52" s="499"/>
      <c r="BL52" s="876"/>
      <c r="BQ52" s="867"/>
      <c r="BR52" s="515"/>
      <c r="BS52" s="515"/>
      <c r="BT52" s="866" t="str">
        <f>IF(BR53="","","PK")</f>
        <v/>
      </c>
      <c r="BU52" s="866"/>
      <c r="BV52" s="866"/>
      <c r="BW52" s="866"/>
      <c r="BX52" s="499"/>
      <c r="BY52" s="499"/>
      <c r="BZ52" s="499"/>
      <c r="CA52" s="876"/>
      <c r="CB52" s="856"/>
      <c r="CC52" s="856"/>
      <c r="CD52" s="856"/>
      <c r="CE52" s="856"/>
      <c r="CH52" s="857"/>
      <c r="CI52" s="857"/>
      <c r="CJ52" s="857"/>
      <c r="CK52" s="857"/>
      <c r="CL52" s="867"/>
      <c r="CM52" s="497"/>
      <c r="CN52" s="497"/>
      <c r="CO52" s="497"/>
      <c r="CP52" s="866" t="str">
        <f>IF(CM53="","","PK")</f>
        <v/>
      </c>
      <c r="CQ52" s="866"/>
      <c r="CR52" s="866"/>
      <c r="CS52" s="866"/>
      <c r="CT52" s="499"/>
      <c r="CU52" s="499"/>
      <c r="CV52" s="876"/>
      <c r="DA52" s="878"/>
      <c r="DB52" s="497"/>
      <c r="DC52" s="866" t="str">
        <f>IF(DB53="","","PK")</f>
        <v/>
      </c>
      <c r="DD52" s="866"/>
      <c r="DE52" s="866"/>
      <c r="DF52" s="866"/>
      <c r="DG52" s="499"/>
      <c r="DH52" s="879"/>
      <c r="DI52" s="494"/>
      <c r="DL52" s="857"/>
      <c r="DM52" s="857"/>
      <c r="DN52" s="857"/>
      <c r="DO52" s="857"/>
      <c r="DP52" s="867"/>
      <c r="DQ52" s="497"/>
      <c r="DR52" s="497"/>
      <c r="DS52" s="497"/>
      <c r="DT52" s="866" t="str">
        <f>IF(DQ53="","","PK")</f>
        <v/>
      </c>
      <c r="DU52" s="866"/>
      <c r="DV52" s="866"/>
      <c r="DW52" s="866"/>
      <c r="DX52" s="499"/>
      <c r="DY52" s="499"/>
      <c r="DZ52" s="876"/>
      <c r="EB52" s="497"/>
    </row>
    <row r="53" spans="1:132" s="447" customFormat="1" ht="13.5" customHeight="1" x14ac:dyDescent="0.15">
      <c r="A53" s="482"/>
      <c r="C53" s="867"/>
      <c r="D53" s="877"/>
      <c r="E53" s="877"/>
      <c r="F53" s="877"/>
      <c r="G53" s="847" t="str">
        <f>IF(D53="","","－")</f>
        <v/>
      </c>
      <c r="H53" s="847"/>
      <c r="I53" s="864"/>
      <c r="J53" s="864"/>
      <c r="K53" s="864"/>
      <c r="L53" s="864"/>
      <c r="M53" s="876"/>
      <c r="N53" s="856"/>
      <c r="O53" s="856"/>
      <c r="P53" s="856"/>
      <c r="Q53" s="856"/>
      <c r="T53" s="466"/>
      <c r="U53" s="878"/>
      <c r="V53" s="865"/>
      <c r="W53" s="865"/>
      <c r="X53" s="847" t="str">
        <f>IF(V53="","","－")</f>
        <v/>
      </c>
      <c r="Y53" s="847"/>
      <c r="Z53" s="864"/>
      <c r="AA53" s="864"/>
      <c r="AB53" s="879"/>
      <c r="AC53" s="494"/>
      <c r="AG53" s="867"/>
      <c r="AH53" s="877"/>
      <c r="AI53" s="877"/>
      <c r="AJ53" s="877"/>
      <c r="AK53" s="847" t="str">
        <f>IF(AH53="","","－")</f>
        <v/>
      </c>
      <c r="AL53" s="847"/>
      <c r="AM53" s="864"/>
      <c r="AN53" s="864"/>
      <c r="AO53" s="864"/>
      <c r="AP53" s="864"/>
      <c r="AQ53" s="876"/>
      <c r="AR53" s="856"/>
      <c r="AS53" s="856"/>
      <c r="AT53" s="856"/>
      <c r="AU53" s="856"/>
      <c r="AX53" s="857"/>
      <c r="AY53" s="857"/>
      <c r="AZ53" s="857"/>
      <c r="BA53" s="857"/>
      <c r="BB53" s="867"/>
      <c r="BC53" s="865"/>
      <c r="BD53" s="865"/>
      <c r="BE53" s="865"/>
      <c r="BF53" s="865"/>
      <c r="BG53" s="847" t="str">
        <f>IF(BC53="","","－")</f>
        <v/>
      </c>
      <c r="BH53" s="847"/>
      <c r="BI53" s="864"/>
      <c r="BJ53" s="864"/>
      <c r="BK53" s="864"/>
      <c r="BL53" s="876"/>
      <c r="BQ53" s="867"/>
      <c r="BR53" s="877"/>
      <c r="BS53" s="877"/>
      <c r="BT53" s="877"/>
      <c r="BU53" s="847" t="str">
        <f>IF(BR53="","","－")</f>
        <v/>
      </c>
      <c r="BV53" s="847"/>
      <c r="BW53" s="864"/>
      <c r="BX53" s="864"/>
      <c r="BY53" s="864"/>
      <c r="BZ53" s="864"/>
      <c r="CA53" s="876"/>
      <c r="CB53" s="856"/>
      <c r="CC53" s="856"/>
      <c r="CD53" s="856"/>
      <c r="CE53" s="856"/>
      <c r="CH53" s="857"/>
      <c r="CI53" s="857"/>
      <c r="CJ53" s="857"/>
      <c r="CK53" s="857"/>
      <c r="CL53" s="867"/>
      <c r="CM53" s="865"/>
      <c r="CN53" s="865"/>
      <c r="CO53" s="865"/>
      <c r="CP53" s="865"/>
      <c r="CQ53" s="847" t="str">
        <f>IF(CM53="","","－")</f>
        <v/>
      </c>
      <c r="CR53" s="847"/>
      <c r="CS53" s="864"/>
      <c r="CT53" s="864"/>
      <c r="CU53" s="864"/>
      <c r="CV53" s="876"/>
      <c r="CZ53" s="496"/>
      <c r="DA53" s="878"/>
      <c r="DB53" s="865"/>
      <c r="DC53" s="865"/>
      <c r="DD53" s="847" t="str">
        <f>IF(DB53="","","－")</f>
        <v/>
      </c>
      <c r="DE53" s="847"/>
      <c r="DF53" s="864"/>
      <c r="DG53" s="864"/>
      <c r="DH53" s="879"/>
      <c r="DI53" s="494"/>
      <c r="DL53" s="857"/>
      <c r="DM53" s="857"/>
      <c r="DN53" s="857"/>
      <c r="DO53" s="857"/>
      <c r="DP53" s="867"/>
      <c r="DQ53" s="865"/>
      <c r="DR53" s="865"/>
      <c r="DS53" s="865"/>
      <c r="DT53" s="865"/>
      <c r="DU53" s="847" t="str">
        <f>IF(DQ53="","","－")</f>
        <v/>
      </c>
      <c r="DV53" s="847"/>
      <c r="DW53" s="864"/>
      <c r="DX53" s="864"/>
      <c r="DY53" s="864"/>
      <c r="DZ53" s="876"/>
      <c r="EB53" s="446"/>
    </row>
    <row r="54" spans="1:132" s="503" customFormat="1" ht="13.5" customHeight="1" x14ac:dyDescent="0.15">
      <c r="A54" s="502"/>
      <c r="C54" s="867"/>
      <c r="D54" s="504"/>
      <c r="F54" s="875" t="str">
        <f>IF(D53="","","PK")</f>
        <v/>
      </c>
      <c r="G54" s="875"/>
      <c r="H54" s="875"/>
      <c r="I54" s="875"/>
      <c r="M54" s="876"/>
      <c r="U54" s="878"/>
      <c r="W54" s="875" t="str">
        <f>IF(V53="","","PK")</f>
        <v/>
      </c>
      <c r="X54" s="875"/>
      <c r="Y54" s="875"/>
      <c r="Z54" s="875"/>
      <c r="AB54" s="879"/>
      <c r="AG54" s="867"/>
      <c r="AH54" s="504"/>
      <c r="AJ54" s="875" t="str">
        <f>IF(AH53="","","PK")</f>
        <v/>
      </c>
      <c r="AK54" s="875"/>
      <c r="AL54" s="875"/>
      <c r="AM54" s="875"/>
      <c r="AQ54" s="876"/>
      <c r="BB54" s="867"/>
      <c r="BF54" s="875" t="str">
        <f>IF(BC53="","","PK")</f>
        <v/>
      </c>
      <c r="BG54" s="875"/>
      <c r="BH54" s="875"/>
      <c r="BI54" s="875"/>
      <c r="BL54" s="876"/>
      <c r="BQ54" s="867"/>
      <c r="BR54" s="504"/>
      <c r="BT54" s="875" t="str">
        <f>IF(BR53="","","PK")</f>
        <v/>
      </c>
      <c r="BU54" s="875"/>
      <c r="BV54" s="875"/>
      <c r="BW54" s="875"/>
      <c r="CA54" s="876"/>
      <c r="CL54" s="867"/>
      <c r="CP54" s="875" t="str">
        <f>IF(CM53="","","PK")</f>
        <v/>
      </c>
      <c r="CQ54" s="875"/>
      <c r="CR54" s="875"/>
      <c r="CS54" s="875"/>
      <c r="CV54" s="876"/>
      <c r="DA54" s="878"/>
      <c r="DC54" s="875" t="str">
        <f>IF(DB53="","","PK")</f>
        <v/>
      </c>
      <c r="DD54" s="875"/>
      <c r="DE54" s="875"/>
      <c r="DF54" s="875"/>
      <c r="DH54" s="879"/>
      <c r="DP54" s="867"/>
      <c r="DT54" s="875" t="str">
        <f>IF(DQ53="","","PK")</f>
        <v/>
      </c>
      <c r="DU54" s="875"/>
      <c r="DV54" s="875"/>
      <c r="DW54" s="875"/>
      <c r="DZ54" s="876"/>
      <c r="EB54" s="505"/>
    </row>
    <row r="55" spans="1:132" s="447" customFormat="1" ht="13.5" customHeight="1" x14ac:dyDescent="0.15">
      <c r="A55" s="482"/>
      <c r="C55" s="867"/>
      <c r="D55" s="475"/>
      <c r="H55" s="873">
        <f>IF(J58="","",SUM(J58:J61))</f>
        <v>3</v>
      </c>
      <c r="I55" s="873"/>
      <c r="J55" s="873"/>
      <c r="K55" s="873"/>
      <c r="M55" s="876"/>
      <c r="N55" s="848">
        <f>IF(N58="","",SUM(N58:N61))</f>
        <v>0</v>
      </c>
      <c r="O55" s="848"/>
      <c r="P55" s="848"/>
      <c r="Q55" s="848"/>
      <c r="T55" s="446" t="str">
        <f>IF(V58="","",SUM(V58:W61))</f>
        <v/>
      </c>
      <c r="U55" s="878"/>
      <c r="V55" s="446"/>
      <c r="W55" s="446"/>
      <c r="Z55" s="448"/>
      <c r="AA55" s="448"/>
      <c r="AB55" s="879"/>
      <c r="AC55" s="448"/>
      <c r="AG55" s="867"/>
      <c r="AH55" s="475"/>
      <c r="AL55" s="873">
        <f>IF(AN58="","",SUM(AN58:AN61))</f>
        <v>3</v>
      </c>
      <c r="AM55" s="873"/>
      <c r="AN55" s="873"/>
      <c r="AO55" s="873"/>
      <c r="AQ55" s="876"/>
      <c r="AR55" s="848">
        <f>IF(AR58="","",SUM(AR58:AR61))</f>
        <v>0</v>
      </c>
      <c r="AS55" s="848"/>
      <c r="AT55" s="848"/>
      <c r="AU55" s="848"/>
      <c r="AX55" s="873">
        <f>IF(AZ58="","",SUM(AZ58:AZ61))</f>
        <v>6</v>
      </c>
      <c r="AY55" s="873"/>
      <c r="AZ55" s="873"/>
      <c r="BA55" s="873"/>
      <c r="BB55" s="867"/>
      <c r="BD55" s="848">
        <f>IF(BD58="","",SUM(BD58:BD61))</f>
        <v>0</v>
      </c>
      <c r="BE55" s="848"/>
      <c r="BF55" s="848"/>
      <c r="BG55" s="848"/>
      <c r="BL55" s="876"/>
      <c r="BQ55" s="867"/>
      <c r="BR55" s="475"/>
      <c r="BV55" s="873">
        <f>IF(BX58="","",SUM(BX58:BX61))</f>
        <v>0</v>
      </c>
      <c r="BW55" s="873"/>
      <c r="BX55" s="873"/>
      <c r="BY55" s="873"/>
      <c r="CA55" s="876"/>
      <c r="CB55" s="848">
        <f>IF(CB58="","",SUM(CB58:CB61))</f>
        <v>4</v>
      </c>
      <c r="CC55" s="848"/>
      <c r="CD55" s="848"/>
      <c r="CE55" s="848"/>
      <c r="CH55" s="873">
        <f>IF(CJ58="","",SUM(CJ58:CJ61))</f>
        <v>1</v>
      </c>
      <c r="CI55" s="873"/>
      <c r="CJ55" s="873"/>
      <c r="CK55" s="873"/>
      <c r="CL55" s="867"/>
      <c r="CN55" s="848">
        <f>IF(CN58="","",SUM(CN58:CN61))</f>
        <v>1</v>
      </c>
      <c r="CO55" s="848"/>
      <c r="CP55" s="848"/>
      <c r="CQ55" s="848"/>
      <c r="CV55" s="876"/>
      <c r="CZ55" s="446" t="str">
        <f>IF(DB58="","",SUM(DB58:DC61))</f>
        <v/>
      </c>
      <c r="DA55" s="878"/>
      <c r="DB55" s="446"/>
      <c r="DC55" s="446"/>
      <c r="DF55" s="448"/>
      <c r="DG55" s="448"/>
      <c r="DH55" s="879"/>
      <c r="DI55" s="448"/>
      <c r="DL55" s="873">
        <f>IF(DN58="","",SUM(DN58:DN61))</f>
        <v>4</v>
      </c>
      <c r="DM55" s="873"/>
      <c r="DN55" s="873"/>
      <c r="DO55" s="873"/>
      <c r="DP55" s="867"/>
      <c r="DR55" s="848">
        <f>IF(DR58="","",SUM(DR58:DR61))</f>
        <v>1</v>
      </c>
      <c r="DS55" s="848"/>
      <c r="DT55" s="848"/>
      <c r="DU55" s="848"/>
      <c r="DZ55" s="876"/>
      <c r="EB55" s="446"/>
    </row>
    <row r="56" spans="1:132" s="487" customFormat="1" ht="13.5" hidden="1" customHeight="1" x14ac:dyDescent="0.15">
      <c r="A56" s="506"/>
      <c r="C56" s="867"/>
      <c r="D56" s="488"/>
      <c r="H56" s="871">
        <f>SUM(J58:J63)</f>
        <v>3</v>
      </c>
      <c r="I56" s="871"/>
      <c r="J56" s="871"/>
      <c r="K56" s="871"/>
      <c r="M56" s="876"/>
      <c r="N56" s="858">
        <f>SUM(N58:N63)</f>
        <v>0</v>
      </c>
      <c r="O56" s="858"/>
      <c r="P56" s="858"/>
      <c r="Q56" s="858"/>
      <c r="T56" s="489">
        <f>SUM(V58:W63)</f>
        <v>0</v>
      </c>
      <c r="U56" s="878"/>
      <c r="V56" s="489"/>
      <c r="W56" s="489"/>
      <c r="Y56" s="447"/>
      <c r="Z56" s="490"/>
      <c r="AA56" s="490"/>
      <c r="AB56" s="879"/>
      <c r="AC56" s="490"/>
      <c r="AG56" s="867"/>
      <c r="AH56" s="488"/>
      <c r="AL56" s="871">
        <f>SUM(AN58:AN63)</f>
        <v>3</v>
      </c>
      <c r="AM56" s="871"/>
      <c r="AN56" s="871"/>
      <c r="AO56" s="871"/>
      <c r="AQ56" s="876"/>
      <c r="AR56" s="858">
        <f>SUM(AR58:AR63)</f>
        <v>0</v>
      </c>
      <c r="AS56" s="858"/>
      <c r="AT56" s="858"/>
      <c r="AU56" s="858"/>
      <c r="AX56" s="871">
        <f>SUM(AZ58:AZ63)</f>
        <v>6</v>
      </c>
      <c r="AY56" s="871"/>
      <c r="AZ56" s="871"/>
      <c r="BA56" s="871"/>
      <c r="BB56" s="867"/>
      <c r="BD56" s="858">
        <f>SUM(BD58:BD63)</f>
        <v>0</v>
      </c>
      <c r="BE56" s="858"/>
      <c r="BF56" s="858"/>
      <c r="BG56" s="858"/>
      <c r="BL56" s="876"/>
      <c r="BQ56" s="867"/>
      <c r="BR56" s="488"/>
      <c r="BV56" s="871">
        <f>SUM(BX58:BX63)</f>
        <v>0</v>
      </c>
      <c r="BW56" s="871"/>
      <c r="BX56" s="871"/>
      <c r="BY56" s="871"/>
      <c r="CA56" s="876"/>
      <c r="CB56" s="858">
        <f>SUM(CB58:CB63)</f>
        <v>4</v>
      </c>
      <c r="CC56" s="858"/>
      <c r="CD56" s="858"/>
      <c r="CE56" s="858"/>
      <c r="CH56" s="871">
        <f>SUM(CJ58:CJ63)</f>
        <v>4</v>
      </c>
      <c r="CI56" s="871"/>
      <c r="CJ56" s="871"/>
      <c r="CK56" s="871"/>
      <c r="CL56" s="867"/>
      <c r="CN56" s="858">
        <f>SUM(CN58:CN63)</f>
        <v>5</v>
      </c>
      <c r="CO56" s="858"/>
      <c r="CP56" s="858"/>
      <c r="CQ56" s="858"/>
      <c r="CV56" s="876"/>
      <c r="CZ56" s="489">
        <f>SUM(DB58:DC63)</f>
        <v>0</v>
      </c>
      <c r="DA56" s="878"/>
      <c r="DB56" s="489"/>
      <c r="DC56" s="489"/>
      <c r="DE56" s="447"/>
      <c r="DF56" s="490"/>
      <c r="DG56" s="490"/>
      <c r="DH56" s="879"/>
      <c r="DI56" s="490"/>
      <c r="DL56" s="871">
        <f>SUM(DN58:DN63)</f>
        <v>4</v>
      </c>
      <c r="DM56" s="871"/>
      <c r="DN56" s="871"/>
      <c r="DO56" s="871"/>
      <c r="DP56" s="867"/>
      <c r="DR56" s="858">
        <f>SUM(DR58:DR63)</f>
        <v>1</v>
      </c>
      <c r="DS56" s="858"/>
      <c r="DT56" s="858"/>
      <c r="DU56" s="858"/>
      <c r="DZ56" s="876"/>
      <c r="EB56" s="489"/>
    </row>
    <row r="57" spans="1:132" s="447" customFormat="1" ht="3.75" customHeight="1" thickBot="1" x14ac:dyDescent="0.2">
      <c r="A57" s="482"/>
      <c r="C57" s="867"/>
      <c r="D57" s="475"/>
      <c r="J57" s="851"/>
      <c r="K57" s="851"/>
      <c r="L57" s="851"/>
      <c r="M57" s="850"/>
      <c r="N57" s="851"/>
      <c r="O57" s="851"/>
      <c r="U57" s="878"/>
      <c r="AB57" s="879"/>
      <c r="AG57" s="867"/>
      <c r="AH57" s="475"/>
      <c r="AN57" s="851"/>
      <c r="AO57" s="851"/>
      <c r="AP57" s="851"/>
      <c r="AQ57" s="850"/>
      <c r="AR57" s="851"/>
      <c r="AS57" s="851"/>
      <c r="AZ57" s="851"/>
      <c r="BA57" s="851"/>
      <c r="BB57" s="872"/>
      <c r="BC57" s="851"/>
      <c r="BD57" s="851"/>
      <c r="BE57" s="851"/>
      <c r="BL57" s="876"/>
      <c r="BQ57" s="867"/>
      <c r="BR57" s="475"/>
      <c r="BX57" s="851"/>
      <c r="BY57" s="851"/>
      <c r="BZ57" s="851"/>
      <c r="CA57" s="850"/>
      <c r="CB57" s="851"/>
      <c r="CC57" s="851"/>
      <c r="CJ57" s="851"/>
      <c r="CK57" s="851"/>
      <c r="CL57" s="872"/>
      <c r="CM57" s="851"/>
      <c r="CN57" s="851"/>
      <c r="CO57" s="851"/>
      <c r="CV57" s="876"/>
      <c r="DA57" s="878"/>
      <c r="DH57" s="879"/>
      <c r="DN57" s="851"/>
      <c r="DO57" s="851"/>
      <c r="DP57" s="872"/>
      <c r="DQ57" s="851"/>
      <c r="DR57" s="851"/>
      <c r="DS57" s="851"/>
      <c r="DZ57" s="876"/>
      <c r="EB57" s="446"/>
    </row>
    <row r="58" spans="1:132" s="447" customFormat="1" ht="13.5" customHeight="1" thickTop="1" x14ac:dyDescent="0.15">
      <c r="A58" s="482"/>
      <c r="C58" s="867"/>
      <c r="D58" s="475"/>
      <c r="I58" s="867"/>
      <c r="J58" s="865">
        <v>1</v>
      </c>
      <c r="K58" s="865"/>
      <c r="L58" s="805" t="s">
        <v>92</v>
      </c>
      <c r="M58" s="805"/>
      <c r="N58" s="864">
        <v>0</v>
      </c>
      <c r="O58" s="864"/>
      <c r="P58" s="876"/>
      <c r="U58" s="878"/>
      <c r="V58" s="865"/>
      <c r="W58" s="865"/>
      <c r="X58" s="805"/>
      <c r="Y58" s="805"/>
      <c r="Z58" s="864"/>
      <c r="AA58" s="864"/>
      <c r="AB58" s="879"/>
      <c r="AG58" s="867"/>
      <c r="AM58" s="867"/>
      <c r="AN58" s="865">
        <v>2</v>
      </c>
      <c r="AO58" s="865"/>
      <c r="AP58" s="805" t="s">
        <v>92</v>
      </c>
      <c r="AQ58" s="805"/>
      <c r="AR58" s="864">
        <v>0</v>
      </c>
      <c r="AS58" s="864"/>
      <c r="AT58" s="876"/>
      <c r="AY58" s="867"/>
      <c r="AZ58" s="865">
        <v>3</v>
      </c>
      <c r="BA58" s="865"/>
      <c r="BB58" s="805" t="s">
        <v>92</v>
      </c>
      <c r="BC58" s="805"/>
      <c r="BD58" s="864">
        <v>0</v>
      </c>
      <c r="BE58" s="864"/>
      <c r="BF58" s="876"/>
      <c r="BL58" s="876"/>
      <c r="BQ58" s="867"/>
      <c r="BW58" s="867"/>
      <c r="BX58" s="865">
        <v>0</v>
      </c>
      <c r="BY58" s="865"/>
      <c r="BZ58" s="805" t="s">
        <v>92</v>
      </c>
      <c r="CA58" s="805"/>
      <c r="CB58" s="864">
        <v>1</v>
      </c>
      <c r="CC58" s="864"/>
      <c r="CD58" s="876"/>
      <c r="CI58" s="867"/>
      <c r="CJ58" s="865">
        <v>0</v>
      </c>
      <c r="CK58" s="865"/>
      <c r="CL58" s="805" t="s">
        <v>92</v>
      </c>
      <c r="CM58" s="805"/>
      <c r="CN58" s="864">
        <v>0</v>
      </c>
      <c r="CO58" s="864"/>
      <c r="CP58" s="876"/>
      <c r="CV58" s="876"/>
      <c r="DA58" s="878"/>
      <c r="DB58" s="865"/>
      <c r="DC58" s="865"/>
      <c r="DD58" s="805"/>
      <c r="DE58" s="805"/>
      <c r="DF58" s="864"/>
      <c r="DG58" s="864"/>
      <c r="DH58" s="879"/>
      <c r="DM58" s="867"/>
      <c r="DN58" s="865">
        <v>2</v>
      </c>
      <c r="DO58" s="865"/>
      <c r="DP58" s="805" t="s">
        <v>92</v>
      </c>
      <c r="DQ58" s="805"/>
      <c r="DR58" s="864">
        <v>0</v>
      </c>
      <c r="DS58" s="864"/>
      <c r="DT58" s="876"/>
      <c r="DZ58" s="876"/>
      <c r="EB58" s="446"/>
    </row>
    <row r="59" spans="1:132" s="447" customFormat="1" ht="13.5" customHeight="1" x14ac:dyDescent="0.15">
      <c r="A59" s="482"/>
      <c r="C59" s="867"/>
      <c r="D59" s="475"/>
      <c r="I59" s="867"/>
      <c r="J59" s="865">
        <v>2</v>
      </c>
      <c r="K59" s="865"/>
      <c r="L59" s="805" t="s">
        <v>92</v>
      </c>
      <c r="M59" s="805"/>
      <c r="N59" s="864">
        <v>0</v>
      </c>
      <c r="O59" s="864"/>
      <c r="P59" s="876"/>
      <c r="U59" s="878"/>
      <c r="V59" s="865"/>
      <c r="W59" s="865"/>
      <c r="X59" s="805"/>
      <c r="Y59" s="805"/>
      <c r="Z59" s="864"/>
      <c r="AA59" s="864"/>
      <c r="AB59" s="879"/>
      <c r="AG59" s="867"/>
      <c r="AM59" s="867"/>
      <c r="AN59" s="865">
        <v>1</v>
      </c>
      <c r="AO59" s="865"/>
      <c r="AP59" s="805" t="s">
        <v>92</v>
      </c>
      <c r="AQ59" s="805"/>
      <c r="AR59" s="864">
        <v>0</v>
      </c>
      <c r="AS59" s="864"/>
      <c r="AT59" s="876"/>
      <c r="AY59" s="867"/>
      <c r="AZ59" s="865">
        <v>3</v>
      </c>
      <c r="BA59" s="865"/>
      <c r="BB59" s="805" t="s">
        <v>92</v>
      </c>
      <c r="BC59" s="805"/>
      <c r="BD59" s="864">
        <v>0</v>
      </c>
      <c r="BE59" s="864"/>
      <c r="BF59" s="876"/>
      <c r="BL59" s="876"/>
      <c r="BQ59" s="867"/>
      <c r="BW59" s="867"/>
      <c r="BX59" s="865">
        <v>0</v>
      </c>
      <c r="BY59" s="865"/>
      <c r="BZ59" s="805" t="s">
        <v>92</v>
      </c>
      <c r="CA59" s="805"/>
      <c r="CB59" s="864">
        <v>3</v>
      </c>
      <c r="CC59" s="864"/>
      <c r="CD59" s="876"/>
      <c r="CI59" s="867"/>
      <c r="CJ59" s="865">
        <v>1</v>
      </c>
      <c r="CK59" s="865"/>
      <c r="CL59" s="805" t="s">
        <v>92</v>
      </c>
      <c r="CM59" s="805"/>
      <c r="CN59" s="864">
        <v>1</v>
      </c>
      <c r="CO59" s="864"/>
      <c r="CP59" s="876"/>
      <c r="CV59" s="876"/>
      <c r="DA59" s="878"/>
      <c r="DB59" s="865"/>
      <c r="DC59" s="865"/>
      <c r="DD59" s="805"/>
      <c r="DE59" s="805"/>
      <c r="DF59" s="864"/>
      <c r="DG59" s="864"/>
      <c r="DH59" s="879"/>
      <c r="DM59" s="867"/>
      <c r="DN59" s="865">
        <v>2</v>
      </c>
      <c r="DO59" s="865"/>
      <c r="DP59" s="805" t="s">
        <v>92</v>
      </c>
      <c r="DQ59" s="805"/>
      <c r="DR59" s="864">
        <v>1</v>
      </c>
      <c r="DS59" s="864"/>
      <c r="DT59" s="876"/>
      <c r="DZ59" s="876"/>
      <c r="EB59" s="446"/>
    </row>
    <row r="60" spans="1:132" s="447" customFormat="1" ht="13.5" customHeight="1" x14ac:dyDescent="0.15">
      <c r="A60" s="482"/>
      <c r="C60" s="867"/>
      <c r="D60" s="475"/>
      <c r="I60" s="867"/>
      <c r="J60" s="865"/>
      <c r="K60" s="865"/>
      <c r="L60" s="847" t="str">
        <f>IF(J60="","","－")</f>
        <v/>
      </c>
      <c r="M60" s="847"/>
      <c r="N60" s="864"/>
      <c r="O60" s="864"/>
      <c r="P60" s="876"/>
      <c r="U60" s="878"/>
      <c r="V60" s="865"/>
      <c r="W60" s="865"/>
      <c r="X60" s="847"/>
      <c r="Y60" s="847"/>
      <c r="Z60" s="864"/>
      <c r="AA60" s="864"/>
      <c r="AB60" s="879"/>
      <c r="AG60" s="867"/>
      <c r="AM60" s="867"/>
      <c r="AN60" s="865"/>
      <c r="AO60" s="865"/>
      <c r="AP60" s="847"/>
      <c r="AQ60" s="847"/>
      <c r="AR60" s="864"/>
      <c r="AS60" s="864"/>
      <c r="AT60" s="876"/>
      <c r="AY60" s="867"/>
      <c r="AZ60" s="865"/>
      <c r="BA60" s="865"/>
      <c r="BB60" s="847" t="str">
        <f>IF(AZ60="","","－")</f>
        <v/>
      </c>
      <c r="BC60" s="847"/>
      <c r="BD60" s="864"/>
      <c r="BE60" s="864"/>
      <c r="BF60" s="876"/>
      <c r="BL60" s="876"/>
      <c r="BQ60" s="867"/>
      <c r="BW60" s="867"/>
      <c r="BX60" s="865"/>
      <c r="BY60" s="865"/>
      <c r="BZ60" s="847" t="str">
        <f>IF(BX60="","","－")</f>
        <v/>
      </c>
      <c r="CA60" s="847"/>
      <c r="CB60" s="864"/>
      <c r="CC60" s="864"/>
      <c r="CD60" s="876"/>
      <c r="CI60" s="867"/>
      <c r="CJ60" s="865">
        <v>0</v>
      </c>
      <c r="CK60" s="865"/>
      <c r="CL60" s="847" t="str">
        <f>IF(CJ60="","","－")</f>
        <v>－</v>
      </c>
      <c r="CM60" s="847"/>
      <c r="CN60" s="864">
        <v>0</v>
      </c>
      <c r="CO60" s="864"/>
      <c r="CP60" s="876"/>
      <c r="CV60" s="876"/>
      <c r="DA60" s="878"/>
      <c r="DB60" s="865"/>
      <c r="DC60" s="865"/>
      <c r="DD60" s="847"/>
      <c r="DE60" s="847"/>
      <c r="DF60" s="864"/>
      <c r="DG60" s="864"/>
      <c r="DH60" s="879"/>
      <c r="DM60" s="867"/>
      <c r="DN60" s="865"/>
      <c r="DO60" s="865"/>
      <c r="DP60" s="847" t="str">
        <f>IF(DN60="","","－")</f>
        <v/>
      </c>
      <c r="DQ60" s="847"/>
      <c r="DR60" s="864"/>
      <c r="DS60" s="864"/>
      <c r="DT60" s="876"/>
      <c r="DZ60" s="876"/>
      <c r="EB60" s="446"/>
    </row>
    <row r="61" spans="1:132" s="447" customFormat="1" ht="13.5" customHeight="1" x14ac:dyDescent="0.15">
      <c r="A61" s="482"/>
      <c r="C61" s="867"/>
      <c r="D61" s="475"/>
      <c r="I61" s="867"/>
      <c r="J61" s="865"/>
      <c r="K61" s="865"/>
      <c r="L61" s="847" t="str">
        <f>IF(J61="","","－")</f>
        <v/>
      </c>
      <c r="M61" s="847"/>
      <c r="N61" s="864"/>
      <c r="O61" s="864"/>
      <c r="P61" s="876"/>
      <c r="U61" s="878"/>
      <c r="V61" s="865"/>
      <c r="W61" s="865"/>
      <c r="X61" s="847"/>
      <c r="Y61" s="847"/>
      <c r="Z61" s="864"/>
      <c r="AA61" s="864"/>
      <c r="AB61" s="879"/>
      <c r="AG61" s="867"/>
      <c r="AM61" s="867"/>
      <c r="AN61" s="865"/>
      <c r="AO61" s="865"/>
      <c r="AP61" s="847" t="str">
        <f>IF(AN61="","","－")</f>
        <v/>
      </c>
      <c r="AQ61" s="847"/>
      <c r="AR61" s="864"/>
      <c r="AS61" s="864"/>
      <c r="AT61" s="876"/>
      <c r="AY61" s="867"/>
      <c r="AZ61" s="865"/>
      <c r="BA61" s="865"/>
      <c r="BB61" s="847" t="str">
        <f>IF(AZ61="","","－")</f>
        <v/>
      </c>
      <c r="BC61" s="847"/>
      <c r="BD61" s="864"/>
      <c r="BE61" s="864"/>
      <c r="BF61" s="876"/>
      <c r="BL61" s="876"/>
      <c r="BQ61" s="867"/>
      <c r="BW61" s="867"/>
      <c r="BX61" s="865"/>
      <c r="BY61" s="865"/>
      <c r="BZ61" s="847" t="str">
        <f>IF(BX61="","","－")</f>
        <v/>
      </c>
      <c r="CA61" s="847"/>
      <c r="CB61" s="864"/>
      <c r="CC61" s="864"/>
      <c r="CD61" s="876"/>
      <c r="CI61" s="867"/>
      <c r="CJ61" s="865">
        <v>0</v>
      </c>
      <c r="CK61" s="865"/>
      <c r="CL61" s="847" t="str">
        <f>IF(CJ61="","","－")</f>
        <v>－</v>
      </c>
      <c r="CM61" s="847"/>
      <c r="CN61" s="864">
        <v>0</v>
      </c>
      <c r="CO61" s="864"/>
      <c r="CP61" s="876"/>
      <c r="CV61" s="876"/>
      <c r="DA61" s="878"/>
      <c r="DB61" s="865"/>
      <c r="DC61" s="865"/>
      <c r="DD61" s="847"/>
      <c r="DE61" s="847"/>
      <c r="DF61" s="864"/>
      <c r="DG61" s="864"/>
      <c r="DH61" s="879"/>
      <c r="DM61" s="867"/>
      <c r="DN61" s="865"/>
      <c r="DO61" s="865"/>
      <c r="DP61" s="847" t="str">
        <f>IF(DN61="","","－")</f>
        <v/>
      </c>
      <c r="DQ61" s="847"/>
      <c r="DR61" s="864"/>
      <c r="DS61" s="864"/>
      <c r="DT61" s="876"/>
      <c r="DZ61" s="876"/>
      <c r="EB61" s="446"/>
    </row>
    <row r="62" spans="1:132" s="498" customFormat="1" ht="13.5" customHeight="1" x14ac:dyDescent="0.2">
      <c r="A62" s="500"/>
      <c r="C62" s="867"/>
      <c r="D62" s="501"/>
      <c r="I62" s="867"/>
      <c r="J62" s="497"/>
      <c r="K62" s="866" t="str">
        <f>IF(J63="","","PK")</f>
        <v/>
      </c>
      <c r="L62" s="866"/>
      <c r="M62" s="866"/>
      <c r="N62" s="866"/>
      <c r="O62" s="499"/>
      <c r="P62" s="876"/>
      <c r="U62" s="878"/>
      <c r="V62" s="497"/>
      <c r="W62" s="866"/>
      <c r="X62" s="866"/>
      <c r="Y62" s="866"/>
      <c r="Z62" s="866"/>
      <c r="AA62" s="499"/>
      <c r="AB62" s="879"/>
      <c r="AG62" s="867"/>
      <c r="AM62" s="867"/>
      <c r="AN62" s="497"/>
      <c r="AO62" s="866" t="str">
        <f>IF(AN63="","","PK")</f>
        <v/>
      </c>
      <c r="AP62" s="866"/>
      <c r="AQ62" s="866"/>
      <c r="AR62" s="866"/>
      <c r="AS62" s="499"/>
      <c r="AT62" s="876"/>
      <c r="AY62" s="867"/>
      <c r="AZ62" s="497"/>
      <c r="BA62" s="866" t="str">
        <f>IF(AZ63="","","PK")</f>
        <v/>
      </c>
      <c r="BB62" s="866"/>
      <c r="BC62" s="866"/>
      <c r="BD62" s="866"/>
      <c r="BE62" s="499"/>
      <c r="BF62" s="876"/>
      <c r="BL62" s="876"/>
      <c r="BQ62" s="867"/>
      <c r="BW62" s="867"/>
      <c r="BX62" s="497"/>
      <c r="BY62" s="866" t="str">
        <f>IF(BX63="","","PK")</f>
        <v/>
      </c>
      <c r="BZ62" s="866"/>
      <c r="CA62" s="866"/>
      <c r="CB62" s="866"/>
      <c r="CC62" s="499"/>
      <c r="CD62" s="876"/>
      <c r="CI62" s="867"/>
      <c r="CJ62" s="497"/>
      <c r="CK62" s="866" t="str">
        <f>IF(CJ63="","","PK")</f>
        <v>PK</v>
      </c>
      <c r="CL62" s="866"/>
      <c r="CM62" s="866"/>
      <c r="CN62" s="866"/>
      <c r="CO62" s="499"/>
      <c r="CP62" s="876"/>
      <c r="CV62" s="876"/>
      <c r="DA62" s="878"/>
      <c r="DB62" s="497"/>
      <c r="DC62" s="866"/>
      <c r="DD62" s="866"/>
      <c r="DE62" s="866"/>
      <c r="DF62" s="866"/>
      <c r="DG62" s="499"/>
      <c r="DH62" s="879"/>
      <c r="DM62" s="867"/>
      <c r="DN62" s="497"/>
      <c r="DO62" s="866" t="str">
        <f>IF(DN63="","","PK")</f>
        <v/>
      </c>
      <c r="DP62" s="866"/>
      <c r="DQ62" s="866"/>
      <c r="DR62" s="866"/>
      <c r="DS62" s="499"/>
      <c r="DT62" s="876"/>
      <c r="DZ62" s="876"/>
      <c r="EB62" s="497"/>
    </row>
    <row r="63" spans="1:132" s="447" customFormat="1" ht="13.5" customHeight="1" x14ac:dyDescent="0.15">
      <c r="A63" s="482"/>
      <c r="C63" s="867"/>
      <c r="D63" s="475"/>
      <c r="I63" s="867"/>
      <c r="J63" s="865"/>
      <c r="K63" s="865"/>
      <c r="L63" s="847" t="str">
        <f>IF(J63="","","－")</f>
        <v/>
      </c>
      <c r="M63" s="847"/>
      <c r="N63" s="864"/>
      <c r="O63" s="864"/>
      <c r="P63" s="876"/>
      <c r="U63" s="878"/>
      <c r="V63" s="865"/>
      <c r="W63" s="865"/>
      <c r="X63" s="847"/>
      <c r="Y63" s="847"/>
      <c r="Z63" s="864"/>
      <c r="AA63" s="864"/>
      <c r="AB63" s="879"/>
      <c r="AG63" s="867"/>
      <c r="AM63" s="867"/>
      <c r="AN63" s="865"/>
      <c r="AO63" s="865"/>
      <c r="AP63" s="847" t="str">
        <f>IF(AN63="","","－")</f>
        <v/>
      </c>
      <c r="AQ63" s="847"/>
      <c r="AR63" s="864"/>
      <c r="AS63" s="864"/>
      <c r="AT63" s="876"/>
      <c r="AY63" s="867"/>
      <c r="AZ63" s="865"/>
      <c r="BA63" s="865"/>
      <c r="BB63" s="847" t="str">
        <f>IF(AZ63="","","－")</f>
        <v/>
      </c>
      <c r="BC63" s="847"/>
      <c r="BD63" s="864"/>
      <c r="BE63" s="864"/>
      <c r="BF63" s="876"/>
      <c r="BL63" s="876"/>
      <c r="BQ63" s="867"/>
      <c r="BW63" s="867"/>
      <c r="BX63" s="865"/>
      <c r="BY63" s="865"/>
      <c r="BZ63" s="847" t="str">
        <f>IF(BX63="","","－")</f>
        <v/>
      </c>
      <c r="CA63" s="847"/>
      <c r="CB63" s="864"/>
      <c r="CC63" s="864"/>
      <c r="CD63" s="876"/>
      <c r="CI63" s="867"/>
      <c r="CJ63" s="865">
        <v>3</v>
      </c>
      <c r="CK63" s="865"/>
      <c r="CL63" s="847" t="str">
        <f>IF(CJ63="","","－")</f>
        <v>－</v>
      </c>
      <c r="CM63" s="847"/>
      <c r="CN63" s="864">
        <v>4</v>
      </c>
      <c r="CO63" s="864"/>
      <c r="CP63" s="876"/>
      <c r="CV63" s="876"/>
      <c r="DA63" s="878"/>
      <c r="DB63" s="865"/>
      <c r="DC63" s="865"/>
      <c r="DD63" s="847"/>
      <c r="DE63" s="847"/>
      <c r="DF63" s="864"/>
      <c r="DG63" s="864"/>
      <c r="DH63" s="879"/>
      <c r="DM63" s="867"/>
      <c r="DN63" s="865"/>
      <c r="DO63" s="865"/>
      <c r="DP63" s="847" t="str">
        <f>IF(DN63="","","－")</f>
        <v/>
      </c>
      <c r="DQ63" s="847"/>
      <c r="DR63" s="864"/>
      <c r="DS63" s="864"/>
      <c r="DT63" s="876"/>
      <c r="DZ63" s="876"/>
      <c r="EB63" s="446"/>
    </row>
    <row r="64" spans="1:132" s="503" customFormat="1" ht="13.5" customHeight="1" x14ac:dyDescent="0.15">
      <c r="A64" s="502"/>
      <c r="C64" s="867"/>
      <c r="D64" s="504"/>
      <c r="I64" s="867"/>
      <c r="K64" s="875" t="str">
        <f>IF(J63="","","PK")</f>
        <v/>
      </c>
      <c r="L64" s="875"/>
      <c r="M64" s="875"/>
      <c r="N64" s="875"/>
      <c r="P64" s="876"/>
      <c r="U64" s="878"/>
      <c r="W64" s="875"/>
      <c r="X64" s="875"/>
      <c r="Y64" s="875"/>
      <c r="Z64" s="875"/>
      <c r="AB64" s="879"/>
      <c r="AG64" s="867"/>
      <c r="AM64" s="867"/>
      <c r="AO64" s="875" t="str">
        <f>IF(AN63="","","PK")</f>
        <v/>
      </c>
      <c r="AP64" s="875"/>
      <c r="AQ64" s="875"/>
      <c r="AR64" s="875"/>
      <c r="AT64" s="876"/>
      <c r="AY64" s="867"/>
      <c r="BA64" s="875" t="str">
        <f>IF(AZ63="","","PK")</f>
        <v/>
      </c>
      <c r="BB64" s="875"/>
      <c r="BC64" s="875"/>
      <c r="BD64" s="875"/>
      <c r="BF64" s="876"/>
      <c r="BL64" s="876"/>
      <c r="BQ64" s="867"/>
      <c r="BW64" s="867"/>
      <c r="BY64" s="875" t="str">
        <f>IF(BX63="","","PK")</f>
        <v/>
      </c>
      <c r="BZ64" s="875"/>
      <c r="CA64" s="875"/>
      <c r="CB64" s="875"/>
      <c r="CD64" s="876"/>
      <c r="CI64" s="867"/>
      <c r="CK64" s="875" t="str">
        <f>IF(CJ63="","","PK")</f>
        <v>PK</v>
      </c>
      <c r="CL64" s="875"/>
      <c r="CM64" s="875"/>
      <c r="CN64" s="875"/>
      <c r="CP64" s="876"/>
      <c r="CV64" s="876"/>
      <c r="DA64" s="878"/>
      <c r="DC64" s="875"/>
      <c r="DD64" s="875"/>
      <c r="DE64" s="875"/>
      <c r="DF64" s="875"/>
      <c r="DH64" s="879"/>
      <c r="DM64" s="867"/>
      <c r="DO64" s="875" t="str">
        <f>IF(DN63="","","PK")</f>
        <v/>
      </c>
      <c r="DP64" s="875"/>
      <c r="DQ64" s="875"/>
      <c r="DR64" s="875"/>
      <c r="DT64" s="876"/>
      <c r="DZ64" s="876"/>
      <c r="EB64" s="505"/>
    </row>
    <row r="65" spans="2:142" s="496" customFormat="1" ht="13.5" customHeight="1" x14ac:dyDescent="0.15">
      <c r="B65" s="847">
        <f>1</f>
        <v>1</v>
      </c>
      <c r="C65" s="847"/>
      <c r="D65" s="847"/>
      <c r="E65" s="847"/>
      <c r="H65" s="847">
        <f>B65+1</f>
        <v>2</v>
      </c>
      <c r="I65" s="847"/>
      <c r="J65" s="847"/>
      <c r="K65" s="847"/>
      <c r="N65" s="847">
        <f>H65+1</f>
        <v>3</v>
      </c>
      <c r="O65" s="847"/>
      <c r="P65" s="847"/>
      <c r="Q65" s="847"/>
      <c r="T65" s="847">
        <f>N65+1</f>
        <v>4</v>
      </c>
      <c r="U65" s="847"/>
      <c r="V65" s="847"/>
      <c r="W65" s="847"/>
      <c r="Z65" s="847">
        <f>T65+1</f>
        <v>5</v>
      </c>
      <c r="AA65" s="847"/>
      <c r="AB65" s="847"/>
      <c r="AC65" s="847"/>
      <c r="AF65" s="847">
        <f>Z65+1</f>
        <v>6</v>
      </c>
      <c r="AG65" s="847"/>
      <c r="AH65" s="847"/>
      <c r="AI65" s="847"/>
      <c r="AL65" s="847">
        <f>AF65+1</f>
        <v>7</v>
      </c>
      <c r="AM65" s="847"/>
      <c r="AN65" s="847"/>
      <c r="AO65" s="847"/>
      <c r="AR65" s="847">
        <f>AL65+1</f>
        <v>8</v>
      </c>
      <c r="AS65" s="847"/>
      <c r="AT65" s="847"/>
      <c r="AU65" s="847"/>
      <c r="AX65" s="847">
        <f>AR65+1</f>
        <v>9</v>
      </c>
      <c r="AY65" s="847"/>
      <c r="AZ65" s="847"/>
      <c r="BA65" s="847"/>
      <c r="BD65" s="847">
        <f>AX65+1</f>
        <v>10</v>
      </c>
      <c r="BE65" s="847"/>
      <c r="BF65" s="847"/>
      <c r="BG65" s="847"/>
      <c r="BJ65" s="847">
        <f>BD65+1</f>
        <v>11</v>
      </c>
      <c r="BK65" s="847"/>
      <c r="BL65" s="847"/>
      <c r="BM65" s="847"/>
      <c r="BP65" s="847">
        <f>BJ65+1</f>
        <v>12</v>
      </c>
      <c r="BQ65" s="847"/>
      <c r="BR65" s="847"/>
      <c r="BS65" s="847"/>
      <c r="BV65" s="847">
        <f>BP65+1</f>
        <v>13</v>
      </c>
      <c r="BW65" s="847"/>
      <c r="BX65" s="847"/>
      <c r="BY65" s="847"/>
      <c r="CB65" s="847">
        <f>BV65+1</f>
        <v>14</v>
      </c>
      <c r="CC65" s="847"/>
      <c r="CD65" s="847"/>
      <c r="CE65" s="847"/>
      <c r="CH65" s="847">
        <f>CB65+1</f>
        <v>15</v>
      </c>
      <c r="CI65" s="847"/>
      <c r="CJ65" s="847"/>
      <c r="CK65" s="847"/>
      <c r="CN65" s="847">
        <f>CH65+1</f>
        <v>16</v>
      </c>
      <c r="CO65" s="847"/>
      <c r="CP65" s="847"/>
      <c r="CQ65" s="847"/>
      <c r="CT65" s="847">
        <f>CN65+1</f>
        <v>17</v>
      </c>
      <c r="CU65" s="847"/>
      <c r="CV65" s="847"/>
      <c r="CW65" s="847"/>
      <c r="CZ65" s="847">
        <f>CT65+1</f>
        <v>18</v>
      </c>
      <c r="DA65" s="847"/>
      <c r="DB65" s="847"/>
      <c r="DC65" s="847"/>
      <c r="DF65" s="847">
        <f>CZ65+1</f>
        <v>19</v>
      </c>
      <c r="DG65" s="847"/>
      <c r="DH65" s="847"/>
      <c r="DI65" s="847"/>
      <c r="DL65" s="847">
        <f>DF65+1</f>
        <v>20</v>
      </c>
      <c r="DM65" s="847"/>
      <c r="DN65" s="847"/>
      <c r="DO65" s="847"/>
      <c r="DR65" s="847">
        <f>DL65+1</f>
        <v>21</v>
      </c>
      <c r="DS65" s="847"/>
      <c r="DT65" s="847"/>
      <c r="DU65" s="847"/>
      <c r="DX65" s="847">
        <f>DR65+1</f>
        <v>22</v>
      </c>
      <c r="DY65" s="847"/>
      <c r="DZ65" s="847"/>
      <c r="EA65" s="847"/>
      <c r="EB65" s="516"/>
    </row>
    <row r="66" spans="2:142" s="530" customFormat="1" ht="105" customHeight="1" x14ac:dyDescent="0.15">
      <c r="B66" s="861" t="str">
        <f>IF(ISERROR(MATCH(B65,予選学校名!$B$3:$B$32,0))=TRUE,B65,INDEX(予選学校名!$B$3:$F$32,MATCH(B65,予選学校名!$B$3:$B$32,0),2))</f>
        <v>星稜</v>
      </c>
      <c r="C66" s="862"/>
      <c r="D66" s="862"/>
      <c r="E66" s="863"/>
      <c r="F66" s="528"/>
      <c r="G66" s="528"/>
      <c r="H66" s="861" t="str">
        <f>IF(ISERROR(MATCH(H65,予選学校名!$B$3:$B$32,0))=TRUE,H65,INDEX(予選学校名!$B$3:$F$32,MATCH(H65,予選学校名!$B$3:$B$32,0),2))</f>
        <v>港</v>
      </c>
      <c r="I66" s="862"/>
      <c r="J66" s="862"/>
      <c r="K66" s="863"/>
      <c r="L66" s="528"/>
      <c r="M66" s="528"/>
      <c r="N66" s="861" t="str">
        <f>IF(ISERROR(MATCH(N65,予選学校名!$B$3:$B$32,0))=TRUE,N65,INDEX(予選学校名!$B$3:$F$32,MATCH(N65,予選学校名!$B$3:$B$32,0),2))</f>
        <v>津幡</v>
      </c>
      <c r="O66" s="862"/>
      <c r="P66" s="862"/>
      <c r="Q66" s="863"/>
      <c r="R66" s="528"/>
      <c r="S66" s="528"/>
      <c r="T66" s="861" t="str">
        <f>IF(ISERROR(MATCH(T65,予選学校名!$B$3:$B$32,0))=TRUE,T65,INDEX(予選学校名!$B$3:$F$32,MATCH(T65,予選学校名!$B$3:$B$32,0),2))</f>
        <v>長田</v>
      </c>
      <c r="U66" s="862"/>
      <c r="V66" s="862"/>
      <c r="W66" s="863"/>
      <c r="X66" s="528"/>
      <c r="Y66" s="528"/>
      <c r="Z66" s="861" t="str">
        <f>IF(ISERROR(MATCH(Z65,予選学校名!$B$3:$B$32,0))=TRUE,Z65,INDEX(予選学校名!$B$3:$F$32,MATCH(Z65,予選学校名!$B$3:$B$32,0),2))</f>
        <v>野田</v>
      </c>
      <c r="AA66" s="862"/>
      <c r="AB66" s="862"/>
      <c r="AC66" s="863"/>
      <c r="AD66" s="528"/>
      <c r="AE66" s="528"/>
      <c r="AF66" s="861" t="str">
        <f>IF(ISERROR(MATCH(AF65,予選学校名!$B$3:$B$32,0))=TRUE,AF65,INDEX(予選学校名!$B$3:$F$32,MATCH(AF65,予選学校名!$B$3:$B$32,0),2))</f>
        <v>兼六</v>
      </c>
      <c r="AG66" s="862"/>
      <c r="AH66" s="862"/>
      <c r="AI66" s="863"/>
      <c r="AJ66" s="528"/>
      <c r="AK66" s="528"/>
      <c r="AL66" s="861" t="str">
        <f>IF(ISERROR(MATCH(AL65,予選学校名!$B$3:$B$32,0))=TRUE,AL65,INDEX(予選学校名!$B$3:$F$32,MATCH(AL65,予選学校名!$B$3:$B$32,0),2))</f>
        <v>高岡</v>
      </c>
      <c r="AM66" s="862"/>
      <c r="AN66" s="862"/>
      <c r="AO66" s="863"/>
      <c r="AP66" s="528"/>
      <c r="AQ66" s="528"/>
      <c r="AR66" s="861" t="str">
        <f>IF(ISERROR(MATCH(AR65,予選学校名!$B$3:$B$32,0))=TRUE,AR65,INDEX(予選学校名!$B$3:$F$32,MATCH(AR65,予選学校名!$B$3:$B$32,0),2))</f>
        <v>森本</v>
      </c>
      <c r="AS66" s="862"/>
      <c r="AT66" s="862"/>
      <c r="AU66" s="863"/>
      <c r="AV66" s="528"/>
      <c r="AW66" s="528"/>
      <c r="AX66" s="861" t="str">
        <f>IF(ISERROR(MATCH(AX65,予選学校名!$B$3:$B$32,0))=TRUE,AX65,INDEX(予選学校名!$B$3:$F$32,MATCH(AX65,予選学校名!$B$3:$B$32,0),2))</f>
        <v>泉･高尾台</v>
      </c>
      <c r="AY66" s="862"/>
      <c r="AZ66" s="862"/>
      <c r="BA66" s="863"/>
      <c r="BB66" s="528"/>
      <c r="BC66" s="528"/>
      <c r="BD66" s="861" t="str">
        <f>IF(ISERROR(MATCH(BD65,予選学校名!$B$3:$B$32,0))=TRUE,BD65,INDEX(予選学校名!$B$3:$F$32,MATCH(BD65,予選学校名!$B$3:$B$32,0),2))</f>
        <v>城南</v>
      </c>
      <c r="BE66" s="862"/>
      <c r="BF66" s="862"/>
      <c r="BG66" s="863"/>
      <c r="BH66" s="528"/>
      <c r="BI66" s="528"/>
      <c r="BJ66" s="861" t="str">
        <f>IF(ISERROR(MATCH(BJ65,予選学校名!$B$3:$B$32,0))=TRUE,BJ65,INDEX(予選学校名!$B$3:$F$32,MATCH(BJ65,予選学校名!$B$3:$B$32,0),2))</f>
        <v>浅野川</v>
      </c>
      <c r="BK66" s="862"/>
      <c r="BL66" s="862"/>
      <c r="BM66" s="863"/>
      <c r="BN66" s="528"/>
      <c r="BO66" s="528"/>
      <c r="BP66" s="861" t="str">
        <f>IF(ISERROR(MATCH(BP65,予選学校名!$B$3:$B$32,0))=TRUE,BP65,INDEX(予選学校名!$B$3:$F$32,MATCH(BP65,予選学校名!$B$3:$B$32,0),2))</f>
        <v>学院附属</v>
      </c>
      <c r="BQ66" s="862"/>
      <c r="BR66" s="862"/>
      <c r="BS66" s="863"/>
      <c r="BT66" s="528"/>
      <c r="BU66" s="528"/>
      <c r="BV66" s="861" t="str">
        <f>IF(ISERROR(MATCH(BV65,予選学校名!$B$3:$B$32,0))=TRUE,BV65,INDEX(予選学校名!$B$3:$F$32,MATCH(BV65,予選学校名!$B$3:$B$32,0),2))</f>
        <v>大徳</v>
      </c>
      <c r="BW66" s="862"/>
      <c r="BX66" s="862"/>
      <c r="BY66" s="863"/>
      <c r="BZ66" s="528"/>
      <c r="CA66" s="528"/>
      <c r="CB66" s="861" t="str">
        <f>IF(ISERROR(MATCH(CB65,予選学校名!$B$3:$B$32,0))=TRUE,CB65,INDEX(予選学校名!$B$3:$F$32,MATCH(CB65,予選学校名!$B$3:$B$32,0),2))</f>
        <v>錦丘･緑</v>
      </c>
      <c r="CC66" s="862"/>
      <c r="CD66" s="862"/>
      <c r="CE66" s="863"/>
      <c r="CF66" s="528"/>
      <c r="CG66" s="528"/>
      <c r="CH66" s="861" t="str">
        <f>IF(ISERROR(MATCH(CH65,予選学校名!$B$3:$B$32,0))=TRUE,CH65,INDEX(予選学校名!$B$3:$F$32,MATCH(CH65,予選学校名!$B$3:$B$32,0),2))</f>
        <v>金大附属</v>
      </c>
      <c r="CI66" s="862"/>
      <c r="CJ66" s="862"/>
      <c r="CK66" s="863"/>
      <c r="CL66" s="528"/>
      <c r="CM66" s="528"/>
      <c r="CN66" s="861" t="str">
        <f>IF(ISERROR(MATCH(CN65,予選学校名!$B$3:$B$32,0))=TRUE,CN65,INDEX(予選学校名!$B$3:$F$32,MATCH(CN65,予選学校名!$B$3:$B$32,0),2))</f>
        <v>内灘</v>
      </c>
      <c r="CO66" s="862"/>
      <c r="CP66" s="862"/>
      <c r="CQ66" s="863"/>
      <c r="CR66" s="528"/>
      <c r="CS66" s="528"/>
      <c r="CT66" s="861" t="str">
        <f>IF(ISERROR(MATCH(CT65,予選学校名!$B$3:$B$32,0))=TRUE,CT65,INDEX(予選学校名!$B$3:$F$32,MATCH(CT65,予選学校名!$B$3:$B$32,0),2))</f>
        <v>清泉</v>
      </c>
      <c r="CU66" s="862"/>
      <c r="CV66" s="862"/>
      <c r="CW66" s="863"/>
      <c r="CX66" s="528"/>
      <c r="CY66" s="528"/>
      <c r="CZ66" s="861" t="str">
        <f>IF(ISERROR(MATCH(CZ65,予選学校名!$B$3:$B$32,0))=TRUE,CZ65,INDEX(予選学校名!$B$3:$F$32,MATCH(CZ65,予選学校名!$B$3:$B$32,0),2))</f>
        <v>西南部</v>
      </c>
      <c r="DA66" s="874"/>
      <c r="DB66" s="874"/>
      <c r="DC66" s="874"/>
      <c r="DD66" s="529"/>
      <c r="DE66" s="528"/>
      <c r="DF66" s="861" t="str">
        <f>IF(ISERROR(MATCH(DF65,予選学校名!$B$3:$B$32,0))=TRUE,DF65,INDEX(予選学校名!$B$3:$F$32,MATCH(DF65,予選学校名!$B$3:$B$32,0),2))</f>
        <v>金石</v>
      </c>
      <c r="DG66" s="862"/>
      <c r="DH66" s="862"/>
      <c r="DI66" s="863"/>
      <c r="DJ66" s="528"/>
      <c r="DK66" s="528"/>
      <c r="DL66" s="861" t="str">
        <f>IF(ISERROR(MATCH(DL65,予選学校名!$B$3:$B$32,0))=TRUE,DL65,INDEX(予選学校名!$B$3:$F$32,MATCH(DL65,予選学校名!$B$3:$B$32,0),2))</f>
        <v>紫錦台</v>
      </c>
      <c r="DM66" s="862"/>
      <c r="DN66" s="862"/>
      <c r="DO66" s="863"/>
      <c r="DR66" s="861" t="str">
        <f>IF(ISERROR(MATCH(DR65,予選学校名!$B$3:$B$32,0))=TRUE,DR65,INDEX(予選学校名!$B$3:$F$32,MATCH(DR65,予選学校名!$B$3:$B$32,0),2))</f>
        <v>北鳴</v>
      </c>
      <c r="DS66" s="862"/>
      <c r="DT66" s="862"/>
      <c r="DU66" s="863"/>
      <c r="DV66" s="528"/>
      <c r="DW66" s="528"/>
      <c r="DX66" s="861" t="str">
        <f>IF(ISERROR(MATCH(DX65,予選学校名!$B$3:$B$32,0))=TRUE,DX65,INDEX(予選学校名!$B$3:$F$32,MATCH(DX65,予選学校名!$B$3:$B$32,0),2))</f>
        <v>津幡南</v>
      </c>
      <c r="DY66" s="862"/>
      <c r="DZ66" s="862"/>
      <c r="EA66" s="863"/>
    </row>
    <row r="67" spans="2:142" ht="13.5" customHeight="1" x14ac:dyDescent="0.15"/>
    <row r="68" spans="2:142" ht="13.5" customHeight="1" x14ac:dyDescent="0.15">
      <c r="EB68" s="475"/>
      <c r="EL68" s="270"/>
    </row>
    <row r="69" spans="2:142" s="447" customFormat="1" ht="13.5" customHeight="1" x14ac:dyDescent="0.15">
      <c r="N69" s="475"/>
      <c r="W69" s="897" t="s">
        <v>691</v>
      </c>
      <c r="X69" s="898"/>
      <c r="Y69" s="898"/>
      <c r="Z69" s="898"/>
      <c r="AA69" s="898"/>
      <c r="AB69" s="898"/>
      <c r="AC69" s="898"/>
      <c r="AD69" s="898"/>
      <c r="AE69" s="898"/>
      <c r="AF69" s="898"/>
      <c r="AG69" s="898"/>
      <c r="AH69" s="898"/>
      <c r="AI69" s="898"/>
      <c r="AJ69" s="898"/>
      <c r="AK69" s="898"/>
      <c r="AL69" s="899"/>
      <c r="AT69" s="883"/>
      <c r="AU69" s="883"/>
      <c r="AV69" s="883"/>
      <c r="AW69" s="883"/>
      <c r="AY69" s="517"/>
      <c r="AZ69" s="517"/>
      <c r="BA69" s="517"/>
      <c r="BB69" s="517"/>
      <c r="BC69" s="517"/>
      <c r="BD69" s="517"/>
      <c r="BE69" s="517"/>
      <c r="BF69" s="517"/>
      <c r="BG69" s="517"/>
      <c r="BH69" s="869" t="str">
        <f>IF(A11="","",A11)</f>
        <v>紫錦台</v>
      </c>
      <c r="BI69" s="869"/>
      <c r="BJ69" s="869"/>
      <c r="BK69" s="869"/>
      <c r="BL69" s="869"/>
      <c r="BM69" s="869"/>
      <c r="BN69" s="869"/>
      <c r="BO69" s="869"/>
      <c r="BP69" s="869"/>
      <c r="BQ69" s="869"/>
      <c r="BR69" s="869"/>
      <c r="BS69" s="869"/>
      <c r="BT69" s="869"/>
      <c r="BU69" s="869"/>
      <c r="BV69" s="517"/>
      <c r="BW69" s="517"/>
      <c r="BX69" s="517"/>
      <c r="BY69" s="517"/>
      <c r="BZ69" s="517"/>
      <c r="CA69" s="517"/>
      <c r="CB69" s="517"/>
      <c r="CC69" s="517"/>
      <c r="CD69" s="517"/>
      <c r="CE69" s="517"/>
      <c r="CS69" s="290"/>
      <c r="CT69" s="290"/>
      <c r="CU69" s="290"/>
      <c r="CV69" s="290"/>
      <c r="CW69" s="290"/>
      <c r="CX69" s="290"/>
      <c r="CY69" s="290"/>
      <c r="CZ69" s="290"/>
      <c r="DA69" s="290"/>
      <c r="DB69" s="290"/>
      <c r="DC69" s="290"/>
      <c r="DD69" s="290"/>
      <c r="DE69" s="290"/>
      <c r="DQ69" s="475"/>
      <c r="DR69" s="290"/>
      <c r="DS69" s="290"/>
      <c r="DT69" s="290"/>
      <c r="DU69" s="290"/>
      <c r="DV69" s="290"/>
      <c r="DW69" s="290"/>
      <c r="DX69" s="290"/>
      <c r="EL69" s="446"/>
    </row>
    <row r="70" spans="2:142" s="447" customFormat="1" ht="13.5" customHeight="1" x14ac:dyDescent="0.15">
      <c r="N70" s="475"/>
      <c r="AT70" s="883"/>
      <c r="AU70" s="883"/>
      <c r="AV70" s="883"/>
      <c r="AW70" s="883"/>
      <c r="AX70" s="517"/>
      <c r="AY70" s="517"/>
      <c r="AZ70" s="517"/>
      <c r="BA70" s="517"/>
      <c r="BB70" s="517"/>
      <c r="BC70" s="517"/>
      <c r="BD70" s="517"/>
      <c r="BE70" s="517"/>
      <c r="BF70" s="517"/>
      <c r="BG70" s="517"/>
      <c r="BH70" s="869"/>
      <c r="BI70" s="869"/>
      <c r="BJ70" s="869"/>
      <c r="BK70" s="869"/>
      <c r="BL70" s="869"/>
      <c r="BM70" s="869"/>
      <c r="BN70" s="869"/>
      <c r="BO70" s="869"/>
      <c r="BP70" s="869"/>
      <c r="BQ70" s="869"/>
      <c r="BR70" s="869"/>
      <c r="BS70" s="869"/>
      <c r="BT70" s="869"/>
      <c r="BU70" s="869"/>
      <c r="BV70" s="517"/>
      <c r="BW70" s="517"/>
      <c r="BX70" s="517"/>
      <c r="BY70" s="517"/>
      <c r="BZ70" s="517"/>
      <c r="CA70" s="517"/>
      <c r="CB70" s="517"/>
      <c r="CC70" s="517"/>
      <c r="CD70" s="517"/>
      <c r="CE70" s="517"/>
      <c r="DQ70" s="475"/>
      <c r="EL70" s="446"/>
    </row>
    <row r="71" spans="2:142" s="447" customFormat="1" ht="13.5" hidden="1" customHeight="1" x14ac:dyDescent="0.15">
      <c r="N71" s="475"/>
      <c r="BN71" s="867"/>
      <c r="CY71" s="290"/>
      <c r="CZ71" s="290"/>
      <c r="DA71" s="290"/>
      <c r="DB71" s="290"/>
      <c r="DC71" s="290"/>
      <c r="DD71" s="290"/>
      <c r="DE71" s="290"/>
      <c r="DF71" s="290"/>
      <c r="DG71" s="290"/>
      <c r="DH71" s="290"/>
      <c r="DI71" s="290"/>
      <c r="DJ71" s="290"/>
      <c r="DQ71" s="475"/>
      <c r="DR71" s="290"/>
      <c r="DS71" s="290"/>
      <c r="DT71" s="290"/>
      <c r="DU71" s="290"/>
      <c r="DV71" s="290"/>
      <c r="DW71" s="290"/>
      <c r="DX71" s="290"/>
      <c r="DY71" s="290"/>
      <c r="DZ71" s="290"/>
      <c r="EA71" s="290"/>
      <c r="EB71" s="290"/>
      <c r="EC71" s="290"/>
      <c r="EL71" s="446"/>
    </row>
    <row r="72" spans="2:142" s="447" customFormat="1" ht="3.75" customHeight="1" x14ac:dyDescent="0.15">
      <c r="N72" s="475"/>
      <c r="BN72" s="867"/>
      <c r="EL72" s="446"/>
    </row>
    <row r="73" spans="2:142" s="447" customFormat="1" ht="13.5" customHeight="1" x14ac:dyDescent="0.15">
      <c r="N73" s="475"/>
      <c r="BJ73" s="873">
        <f>IF(BJ76="","",SUM(BJ76:BJ79))</f>
        <v>0</v>
      </c>
      <c r="BK73" s="873"/>
      <c r="BL73" s="873"/>
      <c r="BM73" s="873"/>
      <c r="BN73" s="867"/>
      <c r="BP73" s="848">
        <f>IF(BP76="","",SUM(BP76:BP79))</f>
        <v>3</v>
      </c>
      <c r="BQ73" s="848"/>
      <c r="BR73" s="848"/>
      <c r="BS73" s="848"/>
      <c r="CR73" s="487"/>
      <c r="CS73" s="487"/>
      <c r="CT73" s="487"/>
      <c r="CU73" s="487"/>
      <c r="CV73" s="487"/>
      <c r="CW73" s="487"/>
      <c r="CX73" s="487"/>
      <c r="CY73" s="290"/>
      <c r="CZ73" s="290"/>
      <c r="DA73" s="290"/>
      <c r="DB73" s="290"/>
      <c r="DC73" s="507"/>
      <c r="DD73" s="487"/>
      <c r="DE73" s="290"/>
      <c r="DF73" s="290"/>
      <c r="DG73" s="290"/>
      <c r="DH73" s="290"/>
      <c r="DI73" s="487"/>
      <c r="DJ73" s="487"/>
      <c r="DK73" s="487"/>
      <c r="DL73" s="487"/>
      <c r="DM73" s="487"/>
      <c r="DN73" s="487"/>
      <c r="DO73" s="487"/>
      <c r="DR73" s="290"/>
      <c r="DS73" s="290"/>
      <c r="DT73" s="290"/>
      <c r="DU73" s="290"/>
      <c r="DV73" s="507"/>
      <c r="DW73" s="487"/>
      <c r="DX73" s="290"/>
      <c r="DY73" s="290"/>
      <c r="DZ73" s="290"/>
      <c r="EA73" s="290"/>
      <c r="EB73" s="487"/>
      <c r="EC73" s="487"/>
      <c r="ED73" s="487"/>
      <c r="EE73" s="487"/>
      <c r="EF73" s="487"/>
      <c r="EG73" s="487"/>
      <c r="EH73" s="487"/>
      <c r="EI73" s="487"/>
      <c r="EL73" s="446"/>
    </row>
    <row r="74" spans="2:142" s="487" customFormat="1" ht="13.5" hidden="1" customHeight="1" x14ac:dyDescent="0.15">
      <c r="N74" s="488"/>
      <c r="BJ74" s="871">
        <f>SUM(BJ76:BJ83)</f>
        <v>0</v>
      </c>
      <c r="BK74" s="871"/>
      <c r="BL74" s="871"/>
      <c r="BM74" s="871"/>
      <c r="BN74" s="867"/>
      <c r="BP74" s="858">
        <f>SUM(BP76:BP83)</f>
        <v>3</v>
      </c>
      <c r="BQ74" s="858"/>
      <c r="BR74" s="858"/>
      <c r="BS74" s="858"/>
      <c r="CR74" s="447"/>
      <c r="CS74" s="447"/>
      <c r="CT74" s="447"/>
      <c r="CU74" s="447"/>
      <c r="CV74" s="447"/>
      <c r="CW74" s="447"/>
      <c r="CX74" s="447"/>
      <c r="CY74" s="507"/>
      <c r="CZ74" s="507"/>
      <c r="DA74" s="507"/>
      <c r="DB74" s="507"/>
      <c r="DC74" s="507"/>
      <c r="DD74" s="447"/>
      <c r="DE74" s="507"/>
      <c r="DF74" s="507"/>
      <c r="DG74" s="507"/>
      <c r="DH74" s="507"/>
      <c r="DI74" s="447"/>
      <c r="DJ74" s="447"/>
      <c r="DK74" s="447"/>
      <c r="DL74" s="447"/>
      <c r="DM74" s="447"/>
      <c r="DN74" s="447"/>
      <c r="DO74" s="447"/>
      <c r="DQ74" s="447"/>
      <c r="DR74" s="507"/>
      <c r="DS74" s="507"/>
      <c r="DT74" s="507"/>
      <c r="DU74" s="507"/>
      <c r="DV74" s="507"/>
      <c r="DW74" s="447"/>
      <c r="DX74" s="507"/>
      <c r="DY74" s="507"/>
      <c r="DZ74" s="507"/>
      <c r="EA74" s="507"/>
      <c r="EB74" s="447"/>
      <c r="EC74" s="447"/>
      <c r="ED74" s="447"/>
      <c r="EE74" s="447"/>
      <c r="EF74" s="447"/>
      <c r="EG74" s="447"/>
      <c r="EH74" s="447"/>
      <c r="EI74" s="447"/>
      <c r="EL74" s="489"/>
    </row>
    <row r="75" spans="2:142" s="447" customFormat="1" ht="3.75" customHeight="1" thickBot="1" x14ac:dyDescent="0.2">
      <c r="K75" s="482"/>
      <c r="N75" s="475"/>
      <c r="AK75" s="290"/>
      <c r="AL75" s="290"/>
      <c r="AM75" s="849"/>
      <c r="AN75" s="849"/>
      <c r="AO75" s="849"/>
      <c r="AP75" s="849"/>
      <c r="AQ75" s="849"/>
      <c r="AR75" s="849"/>
      <c r="AS75" s="849"/>
      <c r="AT75" s="849"/>
      <c r="AU75" s="849"/>
      <c r="AV75" s="849"/>
      <c r="AW75" s="849"/>
      <c r="AX75" s="849"/>
      <c r="AY75" s="849"/>
      <c r="AZ75" s="849"/>
      <c r="BA75" s="849"/>
      <c r="BB75" s="849"/>
      <c r="BC75" s="849"/>
      <c r="BD75" s="849"/>
      <c r="BE75" s="849"/>
      <c r="BF75" s="849"/>
      <c r="BG75" s="849"/>
      <c r="BH75" s="849"/>
      <c r="BI75" s="849"/>
      <c r="BJ75" s="849"/>
      <c r="BK75" s="849"/>
      <c r="BL75" s="849"/>
      <c r="BM75" s="849"/>
      <c r="BN75" s="872"/>
      <c r="BO75" s="850"/>
      <c r="BP75" s="851"/>
      <c r="BQ75" s="851"/>
      <c r="BR75" s="851"/>
      <c r="BS75" s="851"/>
      <c r="BT75" s="851"/>
      <c r="BU75" s="851"/>
      <c r="BV75" s="851"/>
      <c r="BW75" s="851"/>
      <c r="BX75" s="851"/>
      <c r="BY75" s="851"/>
      <c r="BZ75" s="851"/>
      <c r="CA75" s="851"/>
      <c r="CB75" s="851"/>
      <c r="CC75" s="851"/>
      <c r="CD75" s="851"/>
      <c r="CE75" s="851"/>
      <c r="CF75" s="851"/>
      <c r="CG75" s="851"/>
      <c r="CH75" s="851"/>
      <c r="CI75" s="851"/>
      <c r="CJ75" s="851"/>
      <c r="CK75" s="851"/>
      <c r="CL75" s="851"/>
      <c r="CM75" s="851"/>
      <c r="CN75" s="851"/>
      <c r="CO75" s="851"/>
      <c r="CP75" s="851"/>
      <c r="CQ75" s="290"/>
      <c r="CY75" s="290"/>
      <c r="CZ75" s="290"/>
      <c r="DA75" s="290"/>
      <c r="DB75" s="290"/>
      <c r="DC75" s="507"/>
      <c r="DD75" s="290"/>
      <c r="DE75" s="290"/>
      <c r="DF75" s="290"/>
      <c r="DG75" s="290"/>
      <c r="DH75" s="290"/>
      <c r="DI75" s="290"/>
      <c r="DJ75" s="290"/>
      <c r="DR75" s="290"/>
      <c r="DS75" s="290"/>
      <c r="DT75" s="290"/>
      <c r="DU75" s="290"/>
      <c r="DV75" s="507"/>
      <c r="DW75" s="290"/>
      <c r="DX75" s="290"/>
      <c r="DY75" s="290"/>
      <c r="DZ75" s="290"/>
      <c r="EA75" s="290"/>
      <c r="EB75" s="290"/>
      <c r="EC75" s="290"/>
      <c r="EL75" s="446"/>
    </row>
    <row r="76" spans="2:142" s="447" customFormat="1" ht="13.5" customHeight="1" thickTop="1" x14ac:dyDescent="0.15">
      <c r="K76" s="482"/>
      <c r="N76" s="475"/>
      <c r="AE76" s="493"/>
      <c r="AF76" s="493"/>
      <c r="AG76" s="493"/>
      <c r="AH76" s="857" t="str">
        <f>IF(AH86=AN86,"",IF(AH86&gt;AN86,T88,BB88))</f>
        <v>港</v>
      </c>
      <c r="AI76" s="857"/>
      <c r="AJ76" s="857"/>
      <c r="AK76" s="857"/>
      <c r="AL76" s="852"/>
      <c r="AM76" s="493"/>
      <c r="AN76" s="493"/>
      <c r="AO76" s="290"/>
      <c r="BJ76" s="865">
        <v>0</v>
      </c>
      <c r="BK76" s="865"/>
      <c r="BL76" s="865"/>
      <c r="BM76" s="865"/>
      <c r="BN76" s="805" t="s">
        <v>92</v>
      </c>
      <c r="BO76" s="805"/>
      <c r="BP76" s="864">
        <v>2</v>
      </c>
      <c r="BQ76" s="864"/>
      <c r="BR76" s="864"/>
      <c r="BS76" s="864"/>
      <c r="CN76" s="518"/>
      <c r="CO76" s="519"/>
      <c r="CP76" s="520"/>
      <c r="CQ76" s="854"/>
      <c r="CR76" s="856" t="str">
        <f>IF(CL86=CR86,"",IF(CL86&gt;CR86,BX88,DF88))</f>
        <v>紫錦台</v>
      </c>
      <c r="CS76" s="856"/>
      <c r="CT76" s="856"/>
      <c r="CU76" s="856"/>
      <c r="CX76" s="290"/>
      <c r="CY76" s="508"/>
      <c r="CZ76" s="508"/>
      <c r="DA76" s="508"/>
      <c r="DB76" s="508"/>
      <c r="DC76" s="509"/>
      <c r="DD76" s="509"/>
      <c r="DE76" s="508"/>
      <c r="DF76" s="508"/>
      <c r="DG76" s="508"/>
      <c r="DH76" s="508"/>
      <c r="DR76" s="508"/>
      <c r="DS76" s="508"/>
      <c r="DT76" s="508"/>
      <c r="DU76" s="508"/>
      <c r="DV76" s="509"/>
      <c r="DW76" s="509"/>
      <c r="DX76" s="508"/>
      <c r="DY76" s="508"/>
      <c r="DZ76" s="508"/>
      <c r="EA76" s="508"/>
      <c r="ED76" s="290"/>
      <c r="EL76" s="446"/>
    </row>
    <row r="77" spans="2:142" s="447" customFormat="1" ht="13.5" customHeight="1" x14ac:dyDescent="0.15">
      <c r="K77" s="482"/>
      <c r="N77" s="475"/>
      <c r="AE77" s="493"/>
      <c r="AF77" s="493"/>
      <c r="AG77" s="493"/>
      <c r="AH77" s="857"/>
      <c r="AI77" s="857"/>
      <c r="AJ77" s="857"/>
      <c r="AK77" s="857"/>
      <c r="AL77" s="852"/>
      <c r="AM77" s="493"/>
      <c r="AN77" s="493"/>
      <c r="AO77" s="290"/>
      <c r="BJ77" s="865">
        <v>0</v>
      </c>
      <c r="BK77" s="865"/>
      <c r="BL77" s="865"/>
      <c r="BM77" s="865"/>
      <c r="BN77" s="805" t="s">
        <v>92</v>
      </c>
      <c r="BO77" s="805"/>
      <c r="BP77" s="864">
        <v>1</v>
      </c>
      <c r="BQ77" s="864"/>
      <c r="BR77" s="864"/>
      <c r="BS77" s="864"/>
      <c r="CN77" s="290"/>
      <c r="CO77" s="493"/>
      <c r="CP77" s="521"/>
      <c r="CQ77" s="854"/>
      <c r="CR77" s="856"/>
      <c r="CS77" s="856"/>
      <c r="CT77" s="856"/>
      <c r="CU77" s="856"/>
      <c r="CX77" s="290"/>
      <c r="CY77" s="508"/>
      <c r="CZ77" s="508"/>
      <c r="DA77" s="508"/>
      <c r="DB77" s="508"/>
      <c r="DC77" s="509"/>
      <c r="DD77" s="509"/>
      <c r="DE77" s="508"/>
      <c r="DF77" s="508"/>
      <c r="DG77" s="508"/>
      <c r="DH77" s="508"/>
      <c r="DR77" s="508"/>
      <c r="DS77" s="508"/>
      <c r="DT77" s="508"/>
      <c r="DU77" s="508"/>
      <c r="DV77" s="509"/>
      <c r="DW77" s="509"/>
      <c r="DX77" s="508"/>
      <c r="DY77" s="508"/>
      <c r="DZ77" s="508"/>
      <c r="EA77" s="508"/>
      <c r="ED77" s="290"/>
      <c r="EL77" s="446"/>
    </row>
    <row r="78" spans="2:142" s="447" customFormat="1" ht="13.5" customHeight="1" x14ac:dyDescent="0.15">
      <c r="K78" s="482"/>
      <c r="N78" s="475"/>
      <c r="AE78" s="493"/>
      <c r="AF78" s="493"/>
      <c r="AG78" s="493"/>
      <c r="AH78" s="857"/>
      <c r="AI78" s="857"/>
      <c r="AJ78" s="857"/>
      <c r="AK78" s="857"/>
      <c r="AL78" s="852"/>
      <c r="AM78" s="493"/>
      <c r="AN78" s="493"/>
      <c r="AO78" s="290"/>
      <c r="BJ78" s="865"/>
      <c r="BK78" s="865"/>
      <c r="BL78" s="865"/>
      <c r="BM78" s="865"/>
      <c r="BN78" s="847" t="str">
        <f>IF(BJ78="","","－")</f>
        <v/>
      </c>
      <c r="BO78" s="847"/>
      <c r="BP78" s="864"/>
      <c r="BQ78" s="864"/>
      <c r="BR78" s="864"/>
      <c r="BS78" s="864"/>
      <c r="CN78" s="290"/>
      <c r="CO78" s="493"/>
      <c r="CP78" s="521"/>
      <c r="CQ78" s="854"/>
      <c r="CR78" s="856"/>
      <c r="CS78" s="856"/>
      <c r="CT78" s="856"/>
      <c r="CU78" s="856"/>
      <c r="CX78" s="290"/>
      <c r="CY78" s="508"/>
      <c r="CZ78" s="508"/>
      <c r="DA78" s="508"/>
      <c r="DB78" s="508"/>
      <c r="DC78" s="509"/>
      <c r="DD78" s="509"/>
      <c r="DE78" s="508"/>
      <c r="DF78" s="508"/>
      <c r="DG78" s="508"/>
      <c r="DH78" s="508"/>
      <c r="DR78" s="508"/>
      <c r="DS78" s="508"/>
      <c r="DT78" s="508"/>
      <c r="DU78" s="508"/>
      <c r="DV78" s="509"/>
      <c r="DW78" s="509"/>
      <c r="DX78" s="508"/>
      <c r="DY78" s="508"/>
      <c r="DZ78" s="508"/>
      <c r="EA78" s="508"/>
      <c r="ED78" s="290"/>
      <c r="EL78" s="446"/>
    </row>
    <row r="79" spans="2:142" s="447" customFormat="1" ht="13.5" customHeight="1" x14ac:dyDescent="0.15">
      <c r="K79" s="482"/>
      <c r="N79" s="475"/>
      <c r="AE79" s="493"/>
      <c r="AF79" s="493"/>
      <c r="AG79" s="493"/>
      <c r="AH79" s="857"/>
      <c r="AI79" s="857"/>
      <c r="AJ79" s="857"/>
      <c r="AK79" s="857"/>
      <c r="AL79" s="852"/>
      <c r="AM79" s="493"/>
      <c r="AN79" s="493"/>
      <c r="AO79" s="290"/>
      <c r="BJ79" s="865"/>
      <c r="BK79" s="865"/>
      <c r="BL79" s="865"/>
      <c r="BM79" s="865"/>
      <c r="BN79" s="847" t="str">
        <f>IF(BJ79="","","－")</f>
        <v/>
      </c>
      <c r="BO79" s="847"/>
      <c r="BP79" s="864"/>
      <c r="BQ79" s="864"/>
      <c r="BR79" s="864"/>
      <c r="BS79" s="864"/>
      <c r="CN79" s="290"/>
      <c r="CO79" s="493"/>
      <c r="CP79" s="521"/>
      <c r="CQ79" s="854"/>
      <c r="CR79" s="856"/>
      <c r="CS79" s="856"/>
      <c r="CT79" s="856"/>
      <c r="CU79" s="856"/>
      <c r="CX79" s="290"/>
      <c r="CY79" s="508"/>
      <c r="CZ79" s="508"/>
      <c r="DA79" s="508"/>
      <c r="DB79" s="508"/>
      <c r="DC79" s="509"/>
      <c r="DD79" s="509"/>
      <c r="DE79" s="508"/>
      <c r="DF79" s="508"/>
      <c r="DG79" s="508"/>
      <c r="DH79" s="508"/>
      <c r="DR79" s="508"/>
      <c r="DS79" s="508"/>
      <c r="DT79" s="508"/>
      <c r="DU79" s="508"/>
      <c r="DV79" s="509"/>
      <c r="DW79" s="509"/>
      <c r="DX79" s="508"/>
      <c r="DY79" s="508"/>
      <c r="DZ79" s="508"/>
      <c r="EA79" s="508"/>
      <c r="ED79" s="290"/>
      <c r="EL79" s="446"/>
    </row>
    <row r="80" spans="2:142" s="447" customFormat="1" ht="13.5" customHeight="1" x14ac:dyDescent="0.2">
      <c r="K80" s="482"/>
      <c r="N80" s="475"/>
      <c r="AE80" s="493"/>
      <c r="AF80" s="493"/>
      <c r="AG80" s="493"/>
      <c r="AH80" s="857"/>
      <c r="AI80" s="857"/>
      <c r="AJ80" s="857"/>
      <c r="AK80" s="857"/>
      <c r="AL80" s="852"/>
      <c r="AM80" s="493"/>
      <c r="AN80" s="493"/>
      <c r="AO80" s="290"/>
      <c r="BJ80" s="497"/>
      <c r="BK80" s="497"/>
      <c r="BL80" s="497"/>
      <c r="BM80" s="866" t="str">
        <f>IF(BJ81="","","PK")</f>
        <v/>
      </c>
      <c r="BN80" s="866"/>
      <c r="BO80" s="866"/>
      <c r="BP80" s="866"/>
      <c r="BQ80" s="499"/>
      <c r="BR80" s="499"/>
      <c r="BS80" s="499"/>
      <c r="CN80" s="290"/>
      <c r="CO80" s="493"/>
      <c r="CP80" s="521"/>
      <c r="CQ80" s="854"/>
      <c r="CR80" s="856"/>
      <c r="CS80" s="856"/>
      <c r="CT80" s="856"/>
      <c r="CU80" s="856"/>
      <c r="CX80" s="290"/>
      <c r="CY80" s="290"/>
      <c r="CZ80" s="290"/>
      <c r="DA80" s="290"/>
      <c r="DB80" s="510"/>
      <c r="DC80" s="510"/>
      <c r="DD80" s="510"/>
      <c r="DE80" s="510"/>
      <c r="DF80" s="290"/>
      <c r="DG80" s="290"/>
      <c r="DH80" s="290"/>
      <c r="DR80" s="290"/>
      <c r="DS80" s="290"/>
      <c r="DT80" s="290"/>
      <c r="DU80" s="510"/>
      <c r="DV80" s="510"/>
      <c r="DW80" s="510"/>
      <c r="DX80" s="510"/>
      <c r="DY80" s="290"/>
      <c r="DZ80" s="290"/>
      <c r="EA80" s="290"/>
      <c r="ED80" s="290"/>
      <c r="EL80" s="446"/>
    </row>
    <row r="81" spans="11:142" s="447" customFormat="1" ht="13.5" customHeight="1" x14ac:dyDescent="0.15">
      <c r="K81" s="482"/>
      <c r="N81" s="475"/>
      <c r="AH81" s="857"/>
      <c r="AI81" s="857"/>
      <c r="AJ81" s="857"/>
      <c r="AK81" s="857"/>
      <c r="AL81" s="852"/>
      <c r="AM81" s="493"/>
      <c r="AN81" s="493"/>
      <c r="AO81" s="290"/>
      <c r="BJ81" s="865"/>
      <c r="BK81" s="865"/>
      <c r="BL81" s="865"/>
      <c r="BM81" s="865"/>
      <c r="BN81" s="847" t="str">
        <f>IF(BJ81="","","－")</f>
        <v/>
      </c>
      <c r="BO81" s="847"/>
      <c r="BP81" s="864"/>
      <c r="BQ81" s="864"/>
      <c r="BR81" s="864"/>
      <c r="BS81" s="864"/>
      <c r="CN81" s="290"/>
      <c r="CO81" s="493"/>
      <c r="CP81" s="521"/>
      <c r="CQ81" s="854"/>
      <c r="CR81" s="856"/>
      <c r="CS81" s="856"/>
      <c r="CT81" s="856"/>
      <c r="CU81" s="856"/>
      <c r="CX81" s="290"/>
      <c r="CY81" s="508"/>
      <c r="CZ81" s="508"/>
      <c r="DA81" s="508"/>
      <c r="DB81" s="508"/>
      <c r="DC81" s="509"/>
      <c r="DD81" s="509"/>
      <c r="DE81" s="508"/>
      <c r="DF81" s="508"/>
      <c r="DG81" s="508"/>
      <c r="DH81" s="508"/>
      <c r="DR81" s="508"/>
      <c r="DS81" s="508"/>
      <c r="DT81" s="508"/>
      <c r="DU81" s="508"/>
      <c r="DV81" s="509"/>
      <c r="DW81" s="509"/>
      <c r="DX81" s="508"/>
      <c r="DY81" s="508"/>
      <c r="DZ81" s="508"/>
      <c r="EA81" s="508"/>
      <c r="ED81" s="290"/>
      <c r="EL81" s="446"/>
    </row>
    <row r="82" spans="11:142" s="498" customFormat="1" ht="13.5" hidden="1" customHeight="1" x14ac:dyDescent="0.2">
      <c r="K82" s="500"/>
      <c r="N82" s="501"/>
      <c r="AJ82" s="290"/>
      <c r="AL82" s="852"/>
      <c r="AO82" s="290"/>
      <c r="BJ82" s="497"/>
      <c r="BK82" s="497"/>
      <c r="BL82" s="497"/>
      <c r="BM82" s="866"/>
      <c r="BN82" s="866"/>
      <c r="BO82" s="866"/>
      <c r="BP82" s="866"/>
      <c r="BQ82" s="499"/>
      <c r="BR82" s="499"/>
      <c r="BS82" s="499"/>
      <c r="CN82" s="290"/>
      <c r="CP82" s="522"/>
      <c r="CQ82" s="854"/>
      <c r="CX82" s="290"/>
      <c r="DQ82" s="487"/>
      <c r="ED82" s="290"/>
      <c r="EL82" s="497"/>
    </row>
    <row r="83" spans="11:142" s="447" customFormat="1" ht="13.5" hidden="1" customHeight="1" x14ac:dyDescent="0.15">
      <c r="K83" s="482"/>
      <c r="N83" s="475"/>
      <c r="AJ83" s="290"/>
      <c r="AL83" s="852"/>
      <c r="AO83" s="290"/>
      <c r="BJ83" s="873"/>
      <c r="BK83" s="873"/>
      <c r="BL83" s="873"/>
      <c r="BM83" s="873"/>
      <c r="BN83" s="847"/>
      <c r="BO83" s="847"/>
      <c r="BP83" s="848"/>
      <c r="BQ83" s="848"/>
      <c r="BR83" s="848"/>
      <c r="BS83" s="848"/>
      <c r="CN83" s="290"/>
      <c r="CP83" s="495"/>
      <c r="CQ83" s="854"/>
      <c r="CS83" s="290"/>
      <c r="CT83" s="290"/>
      <c r="CU83" s="290"/>
      <c r="CV83" s="290"/>
      <c r="CW83" s="290"/>
      <c r="CX83" s="290"/>
      <c r="CY83" s="290"/>
      <c r="CZ83" s="290"/>
      <c r="DA83" s="290"/>
      <c r="DF83" s="290"/>
      <c r="DG83" s="290"/>
      <c r="DH83" s="290"/>
      <c r="DI83" s="290"/>
      <c r="DJ83" s="290"/>
      <c r="DK83" s="290"/>
      <c r="DL83" s="290"/>
      <c r="DM83" s="290"/>
      <c r="DN83" s="290"/>
      <c r="DR83" s="290"/>
      <c r="DS83" s="290"/>
      <c r="DT83" s="290"/>
      <c r="DY83" s="290"/>
      <c r="DZ83" s="290"/>
      <c r="EA83" s="290"/>
      <c r="EB83" s="290"/>
      <c r="EC83" s="290"/>
      <c r="ED83" s="290"/>
      <c r="EE83" s="290"/>
      <c r="EF83" s="290"/>
      <c r="EG83" s="290"/>
      <c r="EH83" s="290"/>
      <c r="EL83" s="446"/>
    </row>
    <row r="84" spans="11:142" s="503" customFormat="1" ht="13.5" customHeight="1" x14ac:dyDescent="0.15">
      <c r="K84" s="502"/>
      <c r="N84" s="504"/>
      <c r="AJ84" s="290"/>
      <c r="AL84" s="852"/>
      <c r="AO84" s="290"/>
      <c r="BM84" s="875"/>
      <c r="BN84" s="875"/>
      <c r="BO84" s="875"/>
      <c r="BP84" s="875"/>
      <c r="CN84" s="290"/>
      <c r="CP84" s="523"/>
      <c r="CQ84" s="854"/>
      <c r="DQ84" s="447"/>
      <c r="EL84" s="505"/>
    </row>
    <row r="85" spans="11:142" s="447" customFormat="1" ht="13.5" customHeight="1" x14ac:dyDescent="0.15">
      <c r="K85" s="482"/>
      <c r="N85" s="475"/>
      <c r="AE85" s="290"/>
      <c r="AF85" s="290"/>
      <c r="AG85" s="290"/>
      <c r="AH85" s="873">
        <f>IF(AH88="","",SUM(AH88:AH91))</f>
        <v>2</v>
      </c>
      <c r="AI85" s="873"/>
      <c r="AJ85" s="873"/>
      <c r="AK85" s="873"/>
      <c r="AL85" s="852"/>
      <c r="AM85" s="290"/>
      <c r="AN85" s="848">
        <f>IF(AN88="","",SUM(AN88:AN91))</f>
        <v>1</v>
      </c>
      <c r="AO85" s="848"/>
      <c r="AP85" s="848"/>
      <c r="AQ85" s="848"/>
      <c r="CL85" s="870">
        <f>IF(CL88="","",SUM(CL88:CL91))</f>
        <v>1</v>
      </c>
      <c r="CM85" s="870"/>
      <c r="CN85" s="870"/>
      <c r="CO85" s="870"/>
      <c r="CP85" s="524"/>
      <c r="CQ85" s="854"/>
      <c r="CR85" s="848">
        <f>IF(CR88="","",SUM(CR88:CR91))</f>
        <v>5</v>
      </c>
      <c r="CS85" s="848"/>
      <c r="CT85" s="848"/>
      <c r="CU85" s="848"/>
      <c r="EL85" s="446"/>
    </row>
    <row r="86" spans="11:142" s="487" customFormat="1" ht="13.5" hidden="1" customHeight="1" x14ac:dyDescent="0.15">
      <c r="K86" s="506"/>
      <c r="N86" s="488"/>
      <c r="AE86" s="507"/>
      <c r="AF86" s="507"/>
      <c r="AG86" s="507"/>
      <c r="AH86" s="871">
        <f>SUM(AH88:AH93)</f>
        <v>2</v>
      </c>
      <c r="AI86" s="871"/>
      <c r="AJ86" s="871"/>
      <c r="AK86" s="871"/>
      <c r="AL86" s="852"/>
      <c r="AM86" s="507"/>
      <c r="AN86" s="858">
        <f>SUM(AN88:AN93)</f>
        <v>1</v>
      </c>
      <c r="AO86" s="858"/>
      <c r="AP86" s="858"/>
      <c r="AQ86" s="858"/>
      <c r="CL86" s="871">
        <f>SUM(CL88:CL93)</f>
        <v>1</v>
      </c>
      <c r="CM86" s="871"/>
      <c r="CN86" s="871"/>
      <c r="CO86" s="871"/>
      <c r="CP86" s="525"/>
      <c r="CQ86" s="854"/>
      <c r="CR86" s="858">
        <f>SUM(CR88:CR93)</f>
        <v>5</v>
      </c>
      <c r="CS86" s="858"/>
      <c r="CT86" s="858"/>
      <c r="CU86" s="858"/>
      <c r="DQ86" s="447"/>
      <c r="EL86" s="489"/>
    </row>
    <row r="87" spans="11:142" s="447" customFormat="1" ht="3.75" customHeight="1" thickBot="1" x14ac:dyDescent="0.2">
      <c r="K87" s="482"/>
      <c r="N87" s="475"/>
      <c r="Y87" s="849"/>
      <c r="Z87" s="849"/>
      <c r="AA87" s="849"/>
      <c r="AB87" s="849"/>
      <c r="AC87" s="849"/>
      <c r="AD87" s="849"/>
      <c r="AE87" s="849"/>
      <c r="AF87" s="849"/>
      <c r="AG87" s="849"/>
      <c r="AH87" s="849"/>
      <c r="AI87" s="849"/>
      <c r="AJ87" s="849"/>
      <c r="AK87" s="849"/>
      <c r="AL87" s="853"/>
      <c r="AM87" s="849"/>
      <c r="AN87" s="849"/>
      <c r="AO87" s="849"/>
      <c r="AP87" s="849"/>
      <c r="AQ87" s="849"/>
      <c r="AR87" s="849"/>
      <c r="AS87" s="849"/>
      <c r="AT87" s="849"/>
      <c r="AU87" s="849"/>
      <c r="AV87" s="849"/>
      <c r="AW87" s="849"/>
      <c r="AX87" s="849"/>
      <c r="AY87" s="849"/>
      <c r="AZ87" s="849"/>
      <c r="CC87" s="851"/>
      <c r="CD87" s="851"/>
      <c r="CE87" s="851"/>
      <c r="CF87" s="851"/>
      <c r="CG87" s="851"/>
      <c r="CH87" s="851"/>
      <c r="CI87" s="851"/>
      <c r="CJ87" s="851"/>
      <c r="CK87" s="851"/>
      <c r="CL87" s="851"/>
      <c r="CM87" s="851"/>
      <c r="CN87" s="851"/>
      <c r="CO87" s="851"/>
      <c r="CP87" s="868"/>
      <c r="CQ87" s="855"/>
      <c r="CR87" s="849"/>
      <c r="CS87" s="849"/>
      <c r="CT87" s="849"/>
      <c r="CU87" s="849"/>
      <c r="CV87" s="849"/>
      <c r="CW87" s="849"/>
      <c r="CX87" s="849"/>
      <c r="CY87" s="849"/>
      <c r="CZ87" s="849"/>
      <c r="DA87" s="849"/>
      <c r="DB87" s="849"/>
      <c r="DC87" s="849"/>
      <c r="DD87" s="849"/>
      <c r="EL87" s="446"/>
    </row>
    <row r="88" spans="11:142" s="447" customFormat="1" ht="13.5" customHeight="1" thickTop="1" x14ac:dyDescent="0.15">
      <c r="K88" s="482"/>
      <c r="N88" s="475"/>
      <c r="T88" s="857" t="str">
        <f>IF(T96=Z96,"",IF(T96&gt;Z96,M106,AA106))</f>
        <v>港</v>
      </c>
      <c r="U88" s="857"/>
      <c r="V88" s="857"/>
      <c r="W88" s="857"/>
      <c r="X88" s="881"/>
      <c r="Y88" s="493"/>
      <c r="Z88" s="493"/>
      <c r="AA88" s="290"/>
      <c r="AE88" s="508"/>
      <c r="AF88" s="508"/>
      <c r="AG88" s="508"/>
      <c r="AH88" s="865">
        <v>1</v>
      </c>
      <c r="AI88" s="865"/>
      <c r="AJ88" s="865"/>
      <c r="AK88" s="865"/>
      <c r="AL88" s="805" t="s">
        <v>92</v>
      </c>
      <c r="AM88" s="805"/>
      <c r="AN88" s="864">
        <v>1</v>
      </c>
      <c r="AO88" s="864"/>
      <c r="AP88" s="864"/>
      <c r="AQ88" s="864"/>
      <c r="BA88" s="876"/>
      <c r="BB88" s="856" t="str">
        <f>IF(AV96=BB96,"",IF(AV96&gt;BB96,AO106,BC106))</f>
        <v>高岡</v>
      </c>
      <c r="BC88" s="856"/>
      <c r="BD88" s="856"/>
      <c r="BE88" s="856"/>
      <c r="BX88" s="857" t="str">
        <f>IF(BX96=CD96,"",IF(BX96&gt;CD96,BQ106,CE106))</f>
        <v>錦丘･緑</v>
      </c>
      <c r="BY88" s="857"/>
      <c r="BZ88" s="857"/>
      <c r="CA88" s="857"/>
      <c r="CB88" s="867"/>
      <c r="CL88" s="865">
        <v>1</v>
      </c>
      <c r="CM88" s="865"/>
      <c r="CN88" s="865"/>
      <c r="CO88" s="865"/>
      <c r="CP88" s="805" t="s">
        <v>92</v>
      </c>
      <c r="CQ88" s="805"/>
      <c r="CR88" s="864">
        <v>2</v>
      </c>
      <c r="CS88" s="864"/>
      <c r="CT88" s="864"/>
      <c r="CU88" s="864"/>
      <c r="CV88" s="290"/>
      <c r="DB88" s="290"/>
      <c r="DC88" s="493"/>
      <c r="DD88" s="493"/>
      <c r="DE88" s="891"/>
      <c r="DF88" s="856" t="str">
        <f>IF(CZ96=DF96,"",IF(CZ96&gt;DF96,CS106,DG106))</f>
        <v>紫錦台</v>
      </c>
      <c r="DG88" s="856"/>
      <c r="DH88" s="856"/>
      <c r="DI88" s="856"/>
      <c r="DU88" s="290"/>
      <c r="DV88" s="493"/>
      <c r="DW88" s="493"/>
      <c r="DX88" s="526"/>
      <c r="DY88" s="494"/>
      <c r="DZ88" s="494"/>
      <c r="EA88" s="494"/>
      <c r="EB88" s="494"/>
    </row>
    <row r="89" spans="11:142" s="447" customFormat="1" ht="13.5" customHeight="1" x14ac:dyDescent="0.15">
      <c r="K89" s="482"/>
      <c r="N89" s="475"/>
      <c r="T89" s="857"/>
      <c r="U89" s="857"/>
      <c r="V89" s="857"/>
      <c r="W89" s="857"/>
      <c r="X89" s="881"/>
      <c r="Y89" s="493"/>
      <c r="Z89" s="493"/>
      <c r="AA89" s="290"/>
      <c r="AE89" s="508"/>
      <c r="AF89" s="508"/>
      <c r="AG89" s="508"/>
      <c r="AH89" s="865">
        <v>1</v>
      </c>
      <c r="AI89" s="865"/>
      <c r="AJ89" s="865"/>
      <c r="AK89" s="865"/>
      <c r="AL89" s="805" t="s">
        <v>92</v>
      </c>
      <c r="AM89" s="805"/>
      <c r="AN89" s="864">
        <v>0</v>
      </c>
      <c r="AO89" s="864"/>
      <c r="AP89" s="864"/>
      <c r="AQ89" s="864"/>
      <c r="BA89" s="876"/>
      <c r="BB89" s="856"/>
      <c r="BC89" s="856"/>
      <c r="BD89" s="856"/>
      <c r="BE89" s="856"/>
      <c r="BX89" s="857"/>
      <c r="BY89" s="857"/>
      <c r="BZ89" s="857"/>
      <c r="CA89" s="857"/>
      <c r="CB89" s="867"/>
      <c r="CL89" s="865">
        <v>0</v>
      </c>
      <c r="CM89" s="865"/>
      <c r="CN89" s="865"/>
      <c r="CO89" s="865"/>
      <c r="CP89" s="805" t="s">
        <v>92</v>
      </c>
      <c r="CQ89" s="805"/>
      <c r="CR89" s="864">
        <v>3</v>
      </c>
      <c r="CS89" s="864"/>
      <c r="CT89" s="864"/>
      <c r="CU89" s="864"/>
      <c r="CV89" s="290"/>
      <c r="DB89" s="290"/>
      <c r="DC89" s="493"/>
      <c r="DD89" s="493"/>
      <c r="DE89" s="891"/>
      <c r="DF89" s="856"/>
      <c r="DG89" s="856"/>
      <c r="DH89" s="856"/>
      <c r="DI89" s="856"/>
      <c r="DU89" s="290"/>
      <c r="DV89" s="493"/>
      <c r="DW89" s="493"/>
      <c r="DX89" s="526"/>
      <c r="DY89" s="494"/>
      <c r="DZ89" s="494"/>
      <c r="EA89" s="494"/>
      <c r="EB89" s="494"/>
    </row>
    <row r="90" spans="11:142" s="447" customFormat="1" ht="13.5" customHeight="1" x14ac:dyDescent="0.2">
      <c r="K90" s="482"/>
      <c r="N90" s="475"/>
      <c r="T90" s="857"/>
      <c r="U90" s="857"/>
      <c r="V90" s="857"/>
      <c r="W90" s="857"/>
      <c r="X90" s="881"/>
      <c r="Y90" s="493"/>
      <c r="Z90" s="493"/>
      <c r="AA90" s="290"/>
      <c r="AE90" s="508"/>
      <c r="AF90" s="508"/>
      <c r="AG90" s="508"/>
      <c r="AH90" s="865"/>
      <c r="AI90" s="865"/>
      <c r="AJ90" s="865"/>
      <c r="AK90" s="865"/>
      <c r="AL90" s="847" t="str">
        <f>IF(AH90="","","－")</f>
        <v/>
      </c>
      <c r="AM90" s="847"/>
      <c r="AN90" s="864"/>
      <c r="AO90" s="864"/>
      <c r="AP90" s="864"/>
      <c r="AQ90" s="864"/>
      <c r="BA90" s="876"/>
      <c r="BB90" s="856"/>
      <c r="BC90" s="856"/>
      <c r="BD90" s="856"/>
      <c r="BE90" s="856"/>
      <c r="BX90" s="857"/>
      <c r="BY90" s="857"/>
      <c r="BZ90" s="857"/>
      <c r="CA90" s="857"/>
      <c r="CB90" s="867"/>
      <c r="CL90" s="865"/>
      <c r="CM90" s="865"/>
      <c r="CN90" s="865"/>
      <c r="CO90" s="865"/>
      <c r="CP90" s="847" t="str">
        <f>IF(CL90="","","－")</f>
        <v/>
      </c>
      <c r="CQ90" s="847"/>
      <c r="CR90" s="864"/>
      <c r="CS90" s="864"/>
      <c r="CT90" s="864"/>
      <c r="CU90" s="864"/>
      <c r="CV90" s="290"/>
      <c r="DB90" s="290"/>
      <c r="DC90" s="493"/>
      <c r="DD90" s="493"/>
      <c r="DE90" s="891"/>
      <c r="DF90" s="856"/>
      <c r="DG90" s="856"/>
      <c r="DH90" s="856"/>
      <c r="DI90" s="856"/>
      <c r="DQ90" s="498"/>
      <c r="DU90" s="290"/>
      <c r="DV90" s="493"/>
      <c r="DW90" s="493"/>
      <c r="DX90" s="526"/>
      <c r="DY90" s="494"/>
      <c r="DZ90" s="494"/>
      <c r="EA90" s="494"/>
      <c r="EB90" s="494"/>
    </row>
    <row r="91" spans="11:142" s="447" customFormat="1" ht="13.5" customHeight="1" x14ac:dyDescent="0.15">
      <c r="K91" s="482"/>
      <c r="N91" s="475"/>
      <c r="T91" s="857"/>
      <c r="U91" s="857"/>
      <c r="V91" s="857"/>
      <c r="W91" s="857"/>
      <c r="X91" s="881"/>
      <c r="Y91" s="493"/>
      <c r="Z91" s="493"/>
      <c r="AA91" s="290"/>
      <c r="AE91" s="508"/>
      <c r="AF91" s="508"/>
      <c r="AG91" s="508"/>
      <c r="AH91" s="865"/>
      <c r="AI91" s="865"/>
      <c r="AJ91" s="865"/>
      <c r="AK91" s="865"/>
      <c r="AL91" s="847" t="str">
        <f>IF(AH91="","","－")</f>
        <v/>
      </c>
      <c r="AM91" s="847"/>
      <c r="AN91" s="864"/>
      <c r="AO91" s="864"/>
      <c r="AP91" s="864"/>
      <c r="AQ91" s="864"/>
      <c r="BA91" s="876"/>
      <c r="BB91" s="856"/>
      <c r="BC91" s="856"/>
      <c r="BD91" s="856"/>
      <c r="BE91" s="856"/>
      <c r="BX91" s="857"/>
      <c r="BY91" s="857"/>
      <c r="BZ91" s="857"/>
      <c r="CA91" s="857"/>
      <c r="CB91" s="867"/>
      <c r="CL91" s="865"/>
      <c r="CM91" s="865"/>
      <c r="CN91" s="865"/>
      <c r="CO91" s="865"/>
      <c r="CP91" s="847" t="str">
        <f>IF(CL91="","","－")</f>
        <v/>
      </c>
      <c r="CQ91" s="847"/>
      <c r="CR91" s="864"/>
      <c r="CS91" s="864"/>
      <c r="CT91" s="864"/>
      <c r="CU91" s="864"/>
      <c r="CV91" s="290"/>
      <c r="DB91" s="290"/>
      <c r="DC91" s="493"/>
      <c r="DD91" s="493"/>
      <c r="DE91" s="891"/>
      <c r="DF91" s="856"/>
      <c r="DG91" s="856"/>
      <c r="DH91" s="856"/>
      <c r="DI91" s="856"/>
      <c r="DU91" s="290"/>
      <c r="DV91" s="493"/>
      <c r="DW91" s="493"/>
      <c r="DX91" s="526"/>
      <c r="DY91" s="494"/>
      <c r="DZ91" s="494"/>
      <c r="EA91" s="494"/>
      <c r="EB91" s="494"/>
    </row>
    <row r="92" spans="11:142" s="498" customFormat="1" ht="13.5" customHeight="1" x14ac:dyDescent="0.2">
      <c r="K92" s="500"/>
      <c r="N92" s="501"/>
      <c r="T92" s="857"/>
      <c r="U92" s="857"/>
      <c r="V92" s="857"/>
      <c r="W92" s="857"/>
      <c r="X92" s="881"/>
      <c r="Y92" s="493"/>
      <c r="Z92" s="493"/>
      <c r="AA92" s="290"/>
      <c r="AE92" s="497"/>
      <c r="AF92" s="497"/>
      <c r="AG92" s="510"/>
      <c r="AH92" s="497"/>
      <c r="AI92" s="497"/>
      <c r="AJ92" s="497"/>
      <c r="AK92" s="866" t="str">
        <f>IF(AH93="","","PK")</f>
        <v/>
      </c>
      <c r="AL92" s="866"/>
      <c r="AM92" s="866"/>
      <c r="AN92" s="866"/>
      <c r="AO92" s="499"/>
      <c r="AP92" s="499"/>
      <c r="AQ92" s="499"/>
      <c r="BA92" s="876"/>
      <c r="BB92" s="856"/>
      <c r="BC92" s="856"/>
      <c r="BD92" s="856"/>
      <c r="BE92" s="856"/>
      <c r="BX92" s="857"/>
      <c r="BY92" s="857"/>
      <c r="BZ92" s="857"/>
      <c r="CA92" s="857"/>
      <c r="CB92" s="867"/>
      <c r="CL92" s="497"/>
      <c r="CM92" s="497"/>
      <c r="CN92" s="497"/>
      <c r="CO92" s="866" t="str">
        <f>IF(CL93="","","PK")</f>
        <v/>
      </c>
      <c r="CP92" s="866"/>
      <c r="CQ92" s="866"/>
      <c r="CR92" s="866"/>
      <c r="CS92" s="499"/>
      <c r="CT92" s="499"/>
      <c r="CU92" s="499"/>
      <c r="DB92" s="290"/>
      <c r="DC92" s="493"/>
      <c r="DD92" s="493"/>
      <c r="DE92" s="891"/>
      <c r="DF92" s="856"/>
      <c r="DG92" s="856"/>
      <c r="DH92" s="856"/>
      <c r="DI92" s="856"/>
      <c r="DQ92" s="503"/>
      <c r="DU92" s="290"/>
      <c r="DV92" s="493"/>
      <c r="DW92" s="493"/>
      <c r="DX92" s="526"/>
      <c r="DY92" s="494"/>
      <c r="DZ92" s="494"/>
      <c r="EA92" s="494"/>
      <c r="EB92" s="494"/>
    </row>
    <row r="93" spans="11:142" s="447" customFormat="1" ht="13.5" customHeight="1" x14ac:dyDescent="0.15">
      <c r="K93" s="482"/>
      <c r="N93" s="475"/>
      <c r="T93" s="857"/>
      <c r="U93" s="857"/>
      <c r="V93" s="857"/>
      <c r="W93" s="857"/>
      <c r="X93" s="881"/>
      <c r="Y93" s="493"/>
      <c r="Z93" s="493"/>
      <c r="AA93" s="290"/>
      <c r="AE93" s="508"/>
      <c r="AF93" s="508"/>
      <c r="AG93" s="508"/>
      <c r="AH93" s="865"/>
      <c r="AI93" s="865"/>
      <c r="AJ93" s="865"/>
      <c r="AK93" s="865"/>
      <c r="AL93" s="847" t="str">
        <f>IF(AH93="","","－")</f>
        <v/>
      </c>
      <c r="AM93" s="847"/>
      <c r="AN93" s="864"/>
      <c r="AO93" s="864"/>
      <c r="AP93" s="864"/>
      <c r="AQ93" s="864"/>
      <c r="BA93" s="876"/>
      <c r="BB93" s="856"/>
      <c r="BC93" s="856"/>
      <c r="BD93" s="856"/>
      <c r="BE93" s="856"/>
      <c r="BX93" s="857"/>
      <c r="BY93" s="857"/>
      <c r="BZ93" s="857"/>
      <c r="CA93" s="857"/>
      <c r="CB93" s="867"/>
      <c r="CL93" s="865"/>
      <c r="CM93" s="865"/>
      <c r="CN93" s="865"/>
      <c r="CO93" s="865"/>
      <c r="CP93" s="847" t="str">
        <f>IF(CL93="","","－")</f>
        <v/>
      </c>
      <c r="CQ93" s="847"/>
      <c r="CR93" s="864"/>
      <c r="CS93" s="864"/>
      <c r="CT93" s="864"/>
      <c r="CU93" s="864"/>
      <c r="CV93" s="290"/>
      <c r="DB93" s="290"/>
      <c r="DC93" s="493"/>
      <c r="DD93" s="493"/>
      <c r="DE93" s="891"/>
      <c r="DF93" s="856"/>
      <c r="DG93" s="856"/>
      <c r="DH93" s="856"/>
      <c r="DI93" s="856"/>
      <c r="DU93" s="290"/>
      <c r="DV93" s="493"/>
      <c r="DW93" s="493"/>
      <c r="DX93" s="526"/>
      <c r="DY93" s="494"/>
      <c r="DZ93" s="494"/>
      <c r="EA93" s="494"/>
      <c r="EB93" s="494"/>
    </row>
    <row r="94" spans="11:142" s="503" customFormat="1" ht="13.5" customHeight="1" x14ac:dyDescent="0.15">
      <c r="K94" s="502"/>
      <c r="N94" s="504"/>
      <c r="X94" s="881"/>
      <c r="AA94" s="290"/>
      <c r="AE94" s="508"/>
      <c r="AF94" s="508"/>
      <c r="AG94" s="508"/>
      <c r="AH94" s="508"/>
      <c r="AI94" s="508"/>
      <c r="AJ94" s="509"/>
      <c r="AN94" s="875" t="str">
        <f>IF(AH93="","","PK")</f>
        <v/>
      </c>
      <c r="AO94" s="875"/>
      <c r="AP94" s="875"/>
      <c r="AQ94" s="875"/>
      <c r="BA94" s="876"/>
      <c r="CB94" s="867"/>
      <c r="CL94" s="875" t="str">
        <f>IF(CL93="","","PK")</f>
        <v/>
      </c>
      <c r="CM94" s="875"/>
      <c r="CN94" s="875"/>
      <c r="CO94" s="875"/>
      <c r="CS94" s="511"/>
      <c r="CT94" s="511"/>
      <c r="CU94" s="511"/>
      <c r="CV94" s="511"/>
      <c r="DB94" s="290"/>
      <c r="DE94" s="891"/>
      <c r="DQ94" s="487"/>
      <c r="DU94" s="290"/>
      <c r="DX94" s="526"/>
      <c r="EL94" s="505"/>
    </row>
    <row r="95" spans="11:142" s="447" customFormat="1" ht="13.5" customHeight="1" x14ac:dyDescent="0.15">
      <c r="K95" s="482"/>
      <c r="N95" s="475"/>
      <c r="T95" s="873">
        <f>IF(T98="","",SUM(T98:T101))</f>
        <v>2</v>
      </c>
      <c r="U95" s="873"/>
      <c r="V95" s="873"/>
      <c r="W95" s="873"/>
      <c r="X95" s="881"/>
      <c r="Y95" s="290"/>
      <c r="Z95" s="848">
        <f>IF(Z98="","",SUM(Z98:Z101))</f>
        <v>1</v>
      </c>
      <c r="AA95" s="848"/>
      <c r="AB95" s="848"/>
      <c r="AC95" s="848"/>
      <c r="AD95" s="290"/>
      <c r="AV95" s="873">
        <f>IF(AV98="","",SUM(AV98:AV101))</f>
        <v>3</v>
      </c>
      <c r="AW95" s="873"/>
      <c r="AX95" s="873"/>
      <c r="AY95" s="873"/>
      <c r="BA95" s="876"/>
      <c r="BB95" s="848">
        <f>IF(BB98="","",SUM(BB98:BB101))</f>
        <v>1</v>
      </c>
      <c r="BC95" s="848"/>
      <c r="BD95" s="848"/>
      <c r="BE95" s="848"/>
      <c r="BX95" s="873">
        <f>IF(BX98="","",SUM(BX98:BX101))</f>
        <v>1</v>
      </c>
      <c r="BY95" s="873"/>
      <c r="BZ95" s="873"/>
      <c r="CA95" s="873"/>
      <c r="CB95" s="867"/>
      <c r="CD95" s="848">
        <f>IF(CD98="","",SUM(CD98:CD101))</f>
        <v>0</v>
      </c>
      <c r="CE95" s="848"/>
      <c r="CF95" s="848"/>
      <c r="CG95" s="848"/>
      <c r="CY95" s="290"/>
      <c r="CZ95" s="873">
        <f>IF(CZ98="","",SUM(CZ98:CZ101))</f>
        <v>0</v>
      </c>
      <c r="DA95" s="873"/>
      <c r="DB95" s="873"/>
      <c r="DC95" s="873"/>
      <c r="DD95" s="290"/>
      <c r="DE95" s="891"/>
      <c r="DF95" s="848">
        <f>IF(DF98="","",SUM(DF98:DF101))</f>
        <v>8</v>
      </c>
      <c r="DG95" s="848"/>
      <c r="DH95" s="848"/>
      <c r="DI95" s="848"/>
      <c r="DR95" s="290"/>
      <c r="DS95" s="446"/>
      <c r="DT95" s="446"/>
      <c r="DU95" s="446"/>
      <c r="DV95" s="446"/>
      <c r="DW95" s="290"/>
      <c r="DX95" s="526"/>
      <c r="DY95" s="448"/>
      <c r="DZ95" s="448"/>
      <c r="EA95" s="448"/>
      <c r="EB95" s="448"/>
      <c r="EL95" s="446"/>
    </row>
    <row r="96" spans="11:142" s="487" customFormat="1" ht="13.5" hidden="1" customHeight="1" x14ac:dyDescent="0.15">
      <c r="K96" s="506"/>
      <c r="N96" s="488"/>
      <c r="T96" s="871">
        <f>SUM(T98:T103)</f>
        <v>2</v>
      </c>
      <c r="U96" s="871"/>
      <c r="V96" s="871"/>
      <c r="W96" s="871"/>
      <c r="X96" s="881"/>
      <c r="Y96" s="507"/>
      <c r="Z96" s="858">
        <f>SUM(Z98:Z103)</f>
        <v>1</v>
      </c>
      <c r="AA96" s="858"/>
      <c r="AB96" s="858"/>
      <c r="AC96" s="858"/>
      <c r="AD96" s="507"/>
      <c r="AV96" s="871">
        <f>SUM(AV98:AV103)</f>
        <v>3</v>
      </c>
      <c r="AW96" s="871"/>
      <c r="AX96" s="871"/>
      <c r="AY96" s="871"/>
      <c r="BA96" s="876"/>
      <c r="BB96" s="858">
        <f>SUM(BB98:BC103)</f>
        <v>1</v>
      </c>
      <c r="BC96" s="858"/>
      <c r="BD96" s="858"/>
      <c r="BE96" s="858"/>
      <c r="BX96" s="871">
        <f>SUM(BX98:BX103)</f>
        <v>1</v>
      </c>
      <c r="BY96" s="871"/>
      <c r="BZ96" s="871"/>
      <c r="CA96" s="871"/>
      <c r="CB96" s="867"/>
      <c r="CD96" s="858">
        <f>SUM(CD98:CE103)</f>
        <v>0</v>
      </c>
      <c r="CE96" s="858"/>
      <c r="CF96" s="858"/>
      <c r="CG96" s="858"/>
      <c r="CY96" s="507"/>
      <c r="CZ96" s="871">
        <f>SUM(CZ98:CZ103)</f>
        <v>0</v>
      </c>
      <c r="DA96" s="871"/>
      <c r="DB96" s="871"/>
      <c r="DC96" s="871"/>
      <c r="DD96" s="507"/>
      <c r="DE96" s="891"/>
      <c r="DF96" s="858">
        <f>SUM(DF98:DF103)</f>
        <v>8</v>
      </c>
      <c r="DG96" s="858"/>
      <c r="DH96" s="858"/>
      <c r="DI96" s="858"/>
      <c r="DQ96" s="447"/>
      <c r="DR96" s="507"/>
      <c r="DS96" s="489"/>
      <c r="DT96" s="489"/>
      <c r="DU96" s="489"/>
      <c r="DV96" s="489"/>
      <c r="DW96" s="507"/>
      <c r="DX96" s="526"/>
      <c r="DY96" s="490"/>
      <c r="DZ96" s="490"/>
      <c r="EA96" s="490"/>
      <c r="EB96" s="490"/>
      <c r="EL96" s="489"/>
    </row>
    <row r="97" spans="2:142" s="447" customFormat="1" ht="3.75" customHeight="1" thickBot="1" x14ac:dyDescent="0.2">
      <c r="K97" s="482"/>
      <c r="N97" s="475"/>
      <c r="R97" s="851"/>
      <c r="S97" s="851"/>
      <c r="T97" s="851"/>
      <c r="U97" s="851"/>
      <c r="V97" s="851"/>
      <c r="W97" s="851"/>
      <c r="X97" s="882"/>
      <c r="Y97" s="850"/>
      <c r="Z97" s="851"/>
      <c r="AA97" s="851"/>
      <c r="AB97" s="851"/>
      <c r="AC97" s="851"/>
      <c r="AD97" s="851"/>
      <c r="AE97" s="851"/>
      <c r="AT97" s="851"/>
      <c r="AU97" s="851"/>
      <c r="AV97" s="851"/>
      <c r="AW97" s="851"/>
      <c r="AX97" s="851"/>
      <c r="AY97" s="851"/>
      <c r="AZ97" s="851"/>
      <c r="BA97" s="850"/>
      <c r="BB97" s="851"/>
      <c r="BC97" s="851"/>
      <c r="BD97" s="851"/>
      <c r="BE97" s="851"/>
      <c r="BF97" s="851"/>
      <c r="BG97" s="851"/>
      <c r="BV97" s="851"/>
      <c r="BW97" s="851"/>
      <c r="BX97" s="851"/>
      <c r="BY97" s="851"/>
      <c r="BZ97" s="851"/>
      <c r="CA97" s="851"/>
      <c r="CB97" s="872"/>
      <c r="CC97" s="851"/>
      <c r="CD97" s="851"/>
      <c r="CE97" s="851"/>
      <c r="CF97" s="851"/>
      <c r="CG97" s="851"/>
      <c r="CH97" s="851"/>
      <c r="CI97" s="851"/>
      <c r="CR97" s="290"/>
      <c r="CS97" s="290"/>
      <c r="CT97" s="290"/>
      <c r="CU97" s="290"/>
      <c r="CV97" s="290"/>
      <c r="CW97" s="290"/>
      <c r="CX97" s="851"/>
      <c r="CY97" s="851"/>
      <c r="CZ97" s="851"/>
      <c r="DA97" s="851"/>
      <c r="DB97" s="851"/>
      <c r="DC97" s="851"/>
      <c r="DD97" s="872"/>
      <c r="DE97" s="892"/>
      <c r="DF97" s="851"/>
      <c r="DG97" s="851"/>
      <c r="DH97" s="851"/>
      <c r="DI97" s="851"/>
      <c r="DJ97" s="851"/>
      <c r="DK97" s="851"/>
      <c r="DX97" s="526"/>
      <c r="EL97" s="446"/>
    </row>
    <row r="98" spans="2:142" s="447" customFormat="1" ht="13.5" customHeight="1" thickTop="1" x14ac:dyDescent="0.15">
      <c r="K98" s="482"/>
      <c r="M98" s="857"/>
      <c r="N98" s="857"/>
      <c r="O98" s="857"/>
      <c r="P98" s="857"/>
      <c r="Q98" s="867"/>
      <c r="T98" s="865">
        <v>1</v>
      </c>
      <c r="U98" s="865"/>
      <c r="V98" s="865"/>
      <c r="W98" s="865"/>
      <c r="X98" s="805" t="s">
        <v>92</v>
      </c>
      <c r="Y98" s="805"/>
      <c r="Z98" s="864">
        <v>0</v>
      </c>
      <c r="AA98" s="864"/>
      <c r="AB98" s="864"/>
      <c r="AC98" s="864"/>
      <c r="AD98" s="493"/>
      <c r="AF98" s="879"/>
      <c r="AG98" s="856"/>
      <c r="AH98" s="856"/>
      <c r="AI98" s="856"/>
      <c r="AJ98" s="856"/>
      <c r="AK98" s="856"/>
      <c r="AO98" s="857"/>
      <c r="AP98" s="857"/>
      <c r="AQ98" s="857"/>
      <c r="AR98" s="857"/>
      <c r="AS98" s="867"/>
      <c r="AV98" s="865">
        <v>2</v>
      </c>
      <c r="AW98" s="865"/>
      <c r="AX98" s="865"/>
      <c r="AY98" s="865"/>
      <c r="AZ98" s="805" t="s">
        <v>92</v>
      </c>
      <c r="BA98" s="805"/>
      <c r="BB98" s="864">
        <v>1</v>
      </c>
      <c r="BC98" s="864"/>
      <c r="BD98" s="864"/>
      <c r="BE98" s="864"/>
      <c r="BH98" s="876"/>
      <c r="BI98" s="856"/>
      <c r="BJ98" s="856"/>
      <c r="BK98" s="856"/>
      <c r="BL98" s="856"/>
      <c r="BQ98" s="857"/>
      <c r="BR98" s="857"/>
      <c r="BS98" s="857"/>
      <c r="BT98" s="857"/>
      <c r="BU98" s="867"/>
      <c r="BX98" s="865">
        <v>0</v>
      </c>
      <c r="BY98" s="865"/>
      <c r="BZ98" s="865"/>
      <c r="CA98" s="865"/>
      <c r="CB98" s="805" t="s">
        <v>92</v>
      </c>
      <c r="CC98" s="805"/>
      <c r="CD98" s="864">
        <v>0</v>
      </c>
      <c r="CE98" s="864"/>
      <c r="CF98" s="864"/>
      <c r="CG98" s="864"/>
      <c r="CJ98" s="876"/>
      <c r="CK98" s="856"/>
      <c r="CL98" s="856"/>
      <c r="CM98" s="856"/>
      <c r="CN98" s="856"/>
      <c r="CR98" s="857"/>
      <c r="CS98" s="857"/>
      <c r="CT98" s="857"/>
      <c r="CU98" s="857"/>
      <c r="CV98" s="857"/>
      <c r="CW98" s="867"/>
      <c r="CX98" s="512"/>
      <c r="CY98" s="513"/>
      <c r="CZ98" s="865">
        <v>0</v>
      </c>
      <c r="DA98" s="865"/>
      <c r="DB98" s="865"/>
      <c r="DC98" s="865"/>
      <c r="DD98" s="805" t="s">
        <v>92</v>
      </c>
      <c r="DE98" s="805"/>
      <c r="DF98" s="864">
        <v>3</v>
      </c>
      <c r="DG98" s="864"/>
      <c r="DH98" s="864"/>
      <c r="DI98" s="864"/>
      <c r="DJ98" s="512"/>
      <c r="DK98" s="514"/>
      <c r="DL98" s="876"/>
      <c r="DM98" s="856"/>
      <c r="DN98" s="856"/>
      <c r="DO98" s="856"/>
      <c r="DP98" s="856"/>
      <c r="DR98" s="508"/>
      <c r="DS98" s="465"/>
      <c r="DT98" s="465"/>
      <c r="DU98" s="465"/>
      <c r="DV98" s="465"/>
      <c r="DY98" s="466"/>
      <c r="DZ98" s="466"/>
      <c r="EA98" s="466"/>
      <c r="EB98" s="466"/>
      <c r="EG98" s="494"/>
      <c r="EH98" s="494"/>
      <c r="EI98" s="494"/>
      <c r="EJ98" s="494"/>
      <c r="EL98" s="446"/>
    </row>
    <row r="99" spans="2:142" s="447" customFormat="1" ht="13.5" customHeight="1" x14ac:dyDescent="0.15">
      <c r="K99" s="482"/>
      <c r="M99" s="857"/>
      <c r="N99" s="857"/>
      <c r="O99" s="857"/>
      <c r="P99" s="857"/>
      <c r="Q99" s="867"/>
      <c r="T99" s="865">
        <v>0</v>
      </c>
      <c r="U99" s="865"/>
      <c r="V99" s="865"/>
      <c r="W99" s="865"/>
      <c r="X99" s="805" t="s">
        <v>92</v>
      </c>
      <c r="Y99" s="805"/>
      <c r="Z99" s="864">
        <v>1</v>
      </c>
      <c r="AA99" s="864"/>
      <c r="AB99" s="864"/>
      <c r="AC99" s="864"/>
      <c r="AD99" s="493"/>
      <c r="AF99" s="879"/>
      <c r="AG99" s="856"/>
      <c r="AH99" s="856"/>
      <c r="AI99" s="856"/>
      <c r="AJ99" s="856"/>
      <c r="AK99" s="856"/>
      <c r="AO99" s="857"/>
      <c r="AP99" s="857"/>
      <c r="AQ99" s="857"/>
      <c r="AR99" s="857"/>
      <c r="AS99" s="867"/>
      <c r="AV99" s="865">
        <v>1</v>
      </c>
      <c r="AW99" s="865"/>
      <c r="AX99" s="865"/>
      <c r="AY99" s="865"/>
      <c r="AZ99" s="805" t="s">
        <v>92</v>
      </c>
      <c r="BA99" s="805"/>
      <c r="BB99" s="864">
        <v>0</v>
      </c>
      <c r="BC99" s="864"/>
      <c r="BD99" s="864"/>
      <c r="BE99" s="864"/>
      <c r="BH99" s="876"/>
      <c r="BI99" s="856"/>
      <c r="BJ99" s="856"/>
      <c r="BK99" s="856"/>
      <c r="BL99" s="856"/>
      <c r="BQ99" s="857"/>
      <c r="BR99" s="857"/>
      <c r="BS99" s="857"/>
      <c r="BT99" s="857"/>
      <c r="BU99" s="867"/>
      <c r="BX99" s="865">
        <v>1</v>
      </c>
      <c r="BY99" s="865"/>
      <c r="BZ99" s="865"/>
      <c r="CA99" s="865"/>
      <c r="CB99" s="805" t="s">
        <v>92</v>
      </c>
      <c r="CC99" s="805"/>
      <c r="CD99" s="864">
        <v>0</v>
      </c>
      <c r="CE99" s="864"/>
      <c r="CF99" s="864"/>
      <c r="CG99" s="864"/>
      <c r="CJ99" s="876"/>
      <c r="CK99" s="856"/>
      <c r="CL99" s="856"/>
      <c r="CM99" s="856"/>
      <c r="CN99" s="856"/>
      <c r="CR99" s="857"/>
      <c r="CS99" s="857"/>
      <c r="CT99" s="857"/>
      <c r="CU99" s="857"/>
      <c r="CV99" s="857"/>
      <c r="CW99" s="867"/>
      <c r="CY99" s="508"/>
      <c r="CZ99" s="865">
        <v>0</v>
      </c>
      <c r="DA99" s="865"/>
      <c r="DB99" s="865"/>
      <c r="DC99" s="865"/>
      <c r="DD99" s="805" t="s">
        <v>92</v>
      </c>
      <c r="DE99" s="805"/>
      <c r="DF99" s="864">
        <v>5</v>
      </c>
      <c r="DG99" s="864"/>
      <c r="DH99" s="864"/>
      <c r="DI99" s="864"/>
      <c r="DK99" s="486"/>
      <c r="DL99" s="876"/>
      <c r="DM99" s="856"/>
      <c r="DN99" s="856"/>
      <c r="DO99" s="856"/>
      <c r="DP99" s="856"/>
      <c r="DR99" s="508"/>
      <c r="DS99" s="465"/>
      <c r="DT99" s="465"/>
      <c r="DU99" s="465"/>
      <c r="DV99" s="465"/>
      <c r="DY99" s="466"/>
      <c r="DZ99" s="466"/>
      <c r="EA99" s="466"/>
      <c r="EB99" s="466"/>
      <c r="EG99" s="494"/>
      <c r="EH99" s="494"/>
      <c r="EI99" s="494"/>
      <c r="EJ99" s="494"/>
      <c r="EL99" s="446"/>
    </row>
    <row r="100" spans="2:142" s="447" customFormat="1" ht="13.5" customHeight="1" x14ac:dyDescent="0.2">
      <c r="K100" s="482"/>
      <c r="M100" s="857"/>
      <c r="N100" s="857"/>
      <c r="O100" s="857"/>
      <c r="P100" s="857"/>
      <c r="Q100" s="867"/>
      <c r="T100" s="865">
        <v>1</v>
      </c>
      <c r="U100" s="865"/>
      <c r="V100" s="865"/>
      <c r="W100" s="865"/>
      <c r="X100" s="847" t="str">
        <f>IF(T100="","","－")</f>
        <v>－</v>
      </c>
      <c r="Y100" s="847"/>
      <c r="Z100" s="864">
        <v>0</v>
      </c>
      <c r="AA100" s="864"/>
      <c r="AB100" s="864"/>
      <c r="AC100" s="864"/>
      <c r="AD100" s="493"/>
      <c r="AF100" s="879"/>
      <c r="AG100" s="856"/>
      <c r="AH100" s="856"/>
      <c r="AI100" s="856"/>
      <c r="AJ100" s="856"/>
      <c r="AK100" s="856"/>
      <c r="AO100" s="857"/>
      <c r="AP100" s="857"/>
      <c r="AQ100" s="857"/>
      <c r="AR100" s="857"/>
      <c r="AS100" s="867"/>
      <c r="AV100" s="865"/>
      <c r="AW100" s="865"/>
      <c r="AX100" s="865"/>
      <c r="AY100" s="865"/>
      <c r="AZ100" s="847" t="str">
        <f>IF(AV100="","","－")</f>
        <v/>
      </c>
      <c r="BA100" s="847"/>
      <c r="BB100" s="864"/>
      <c r="BC100" s="864"/>
      <c r="BD100" s="864"/>
      <c r="BE100" s="864"/>
      <c r="BH100" s="876"/>
      <c r="BI100" s="856"/>
      <c r="BJ100" s="856"/>
      <c r="BK100" s="856"/>
      <c r="BL100" s="856"/>
      <c r="BQ100" s="857"/>
      <c r="BR100" s="857"/>
      <c r="BS100" s="857"/>
      <c r="BT100" s="857"/>
      <c r="BU100" s="867"/>
      <c r="BX100" s="865"/>
      <c r="BY100" s="865"/>
      <c r="BZ100" s="865"/>
      <c r="CA100" s="865"/>
      <c r="CB100" s="847" t="str">
        <f>IF(BX100="","","－")</f>
        <v/>
      </c>
      <c r="CC100" s="847"/>
      <c r="CD100" s="864"/>
      <c r="CE100" s="864"/>
      <c r="CF100" s="864"/>
      <c r="CG100" s="864"/>
      <c r="CJ100" s="876"/>
      <c r="CK100" s="856"/>
      <c r="CL100" s="856"/>
      <c r="CM100" s="856"/>
      <c r="CN100" s="856"/>
      <c r="CR100" s="857"/>
      <c r="CS100" s="857"/>
      <c r="CT100" s="857"/>
      <c r="CU100" s="857"/>
      <c r="CV100" s="857"/>
      <c r="CW100" s="867"/>
      <c r="CY100" s="508"/>
      <c r="CZ100" s="865"/>
      <c r="DA100" s="865"/>
      <c r="DB100" s="865"/>
      <c r="DC100" s="865"/>
      <c r="DD100" s="847" t="str">
        <f>IF(CZ100="","","－")</f>
        <v/>
      </c>
      <c r="DE100" s="847"/>
      <c r="DF100" s="864"/>
      <c r="DG100" s="864"/>
      <c r="DH100" s="864"/>
      <c r="DI100" s="864"/>
      <c r="DL100" s="876"/>
      <c r="DM100" s="856"/>
      <c r="DN100" s="856"/>
      <c r="DO100" s="856"/>
      <c r="DP100" s="856"/>
      <c r="DQ100" s="498"/>
      <c r="DR100" s="508"/>
      <c r="DS100" s="465"/>
      <c r="DT100" s="465"/>
      <c r="DU100" s="465"/>
      <c r="DV100" s="465"/>
      <c r="DW100" s="496"/>
      <c r="DX100" s="496"/>
      <c r="DY100" s="466"/>
      <c r="DZ100" s="466"/>
      <c r="EA100" s="466"/>
      <c r="EB100" s="466"/>
      <c r="EG100" s="494"/>
      <c r="EH100" s="494"/>
      <c r="EI100" s="494"/>
      <c r="EJ100" s="494"/>
      <c r="EL100" s="446"/>
    </row>
    <row r="101" spans="2:142" s="447" customFormat="1" ht="13.5" customHeight="1" x14ac:dyDescent="0.15">
      <c r="K101" s="482"/>
      <c r="M101" s="857"/>
      <c r="N101" s="857"/>
      <c r="O101" s="857"/>
      <c r="P101" s="857"/>
      <c r="Q101" s="867"/>
      <c r="T101" s="865">
        <v>0</v>
      </c>
      <c r="U101" s="865"/>
      <c r="V101" s="865"/>
      <c r="W101" s="865"/>
      <c r="X101" s="847" t="str">
        <f>IF(T101="","","－")</f>
        <v>－</v>
      </c>
      <c r="Y101" s="847"/>
      <c r="Z101" s="864">
        <v>0</v>
      </c>
      <c r="AA101" s="864"/>
      <c r="AB101" s="864"/>
      <c r="AC101" s="864"/>
      <c r="AD101" s="493"/>
      <c r="AF101" s="879"/>
      <c r="AG101" s="856"/>
      <c r="AH101" s="856"/>
      <c r="AI101" s="856"/>
      <c r="AJ101" s="856"/>
      <c r="AK101" s="856"/>
      <c r="AO101" s="857"/>
      <c r="AP101" s="857"/>
      <c r="AQ101" s="857"/>
      <c r="AR101" s="857"/>
      <c r="AS101" s="867"/>
      <c r="AV101" s="865"/>
      <c r="AW101" s="865"/>
      <c r="AX101" s="865"/>
      <c r="AY101" s="865"/>
      <c r="AZ101" s="847" t="str">
        <f>IF(AV101="","","－")</f>
        <v/>
      </c>
      <c r="BA101" s="847"/>
      <c r="BB101" s="864"/>
      <c r="BC101" s="864"/>
      <c r="BD101" s="864"/>
      <c r="BE101" s="864"/>
      <c r="BH101" s="876"/>
      <c r="BI101" s="856"/>
      <c r="BJ101" s="856"/>
      <c r="BK101" s="856"/>
      <c r="BL101" s="856"/>
      <c r="BQ101" s="857"/>
      <c r="BR101" s="857"/>
      <c r="BS101" s="857"/>
      <c r="BT101" s="857"/>
      <c r="BU101" s="867"/>
      <c r="BX101" s="865"/>
      <c r="BY101" s="865"/>
      <c r="BZ101" s="865"/>
      <c r="CA101" s="865"/>
      <c r="CB101" s="847" t="str">
        <f>IF(BX101="","","－")</f>
        <v/>
      </c>
      <c r="CC101" s="847"/>
      <c r="CD101" s="864"/>
      <c r="CE101" s="864"/>
      <c r="CF101" s="864"/>
      <c r="CG101" s="864"/>
      <c r="CJ101" s="876"/>
      <c r="CK101" s="856"/>
      <c r="CL101" s="856"/>
      <c r="CM101" s="856"/>
      <c r="CN101" s="856"/>
      <c r="CR101" s="857"/>
      <c r="CS101" s="857"/>
      <c r="CT101" s="857"/>
      <c r="CU101" s="857"/>
      <c r="CV101" s="857"/>
      <c r="CW101" s="867"/>
      <c r="CY101" s="508"/>
      <c r="CZ101" s="865"/>
      <c r="DA101" s="865"/>
      <c r="DB101" s="865"/>
      <c r="DC101" s="865"/>
      <c r="DD101" s="847" t="str">
        <f>IF(CZ101="","","－")</f>
        <v/>
      </c>
      <c r="DE101" s="847"/>
      <c r="DF101" s="864"/>
      <c r="DG101" s="864"/>
      <c r="DH101" s="864"/>
      <c r="DI101" s="864"/>
      <c r="DL101" s="876"/>
      <c r="DM101" s="856"/>
      <c r="DN101" s="856"/>
      <c r="DO101" s="856"/>
      <c r="DP101" s="856"/>
      <c r="DR101" s="508"/>
      <c r="DS101" s="465"/>
      <c r="DT101" s="465"/>
      <c r="DU101" s="465"/>
      <c r="DV101" s="465"/>
      <c r="DW101" s="496"/>
      <c r="DX101" s="496"/>
      <c r="DY101" s="466"/>
      <c r="DZ101" s="466"/>
      <c r="EA101" s="466"/>
      <c r="EB101" s="466"/>
      <c r="EG101" s="494"/>
      <c r="EH101" s="494"/>
      <c r="EI101" s="494"/>
      <c r="EJ101" s="494"/>
      <c r="EL101" s="446"/>
    </row>
    <row r="102" spans="2:142" s="498" customFormat="1" ht="13.5" customHeight="1" x14ac:dyDescent="0.2">
      <c r="K102" s="500"/>
      <c r="M102" s="857"/>
      <c r="N102" s="857"/>
      <c r="O102" s="857"/>
      <c r="P102" s="857"/>
      <c r="Q102" s="867"/>
      <c r="T102" s="497"/>
      <c r="U102" s="497"/>
      <c r="V102" s="497"/>
      <c r="W102" s="866" t="str">
        <f>IF(T103="","","PK")</f>
        <v/>
      </c>
      <c r="X102" s="866"/>
      <c r="Y102" s="866"/>
      <c r="Z102" s="866"/>
      <c r="AA102" s="499"/>
      <c r="AB102" s="499"/>
      <c r="AC102" s="499"/>
      <c r="AD102" s="493"/>
      <c r="AF102" s="879"/>
      <c r="AG102" s="856"/>
      <c r="AH102" s="856"/>
      <c r="AI102" s="856"/>
      <c r="AJ102" s="856"/>
      <c r="AK102" s="856"/>
      <c r="AO102" s="857"/>
      <c r="AP102" s="857"/>
      <c r="AQ102" s="857"/>
      <c r="AR102" s="857"/>
      <c r="AS102" s="867"/>
      <c r="AV102" s="497"/>
      <c r="AW102" s="497"/>
      <c r="AX102" s="497"/>
      <c r="AY102" s="866" t="str">
        <f>IF(AV103="","","PK")</f>
        <v/>
      </c>
      <c r="AZ102" s="866"/>
      <c r="BA102" s="866"/>
      <c r="BB102" s="866"/>
      <c r="BC102" s="499"/>
      <c r="BD102" s="499"/>
      <c r="BE102" s="499"/>
      <c r="BH102" s="876"/>
      <c r="BI102" s="856"/>
      <c r="BJ102" s="856"/>
      <c r="BK102" s="856"/>
      <c r="BL102" s="856"/>
      <c r="BQ102" s="857"/>
      <c r="BR102" s="857"/>
      <c r="BS102" s="857"/>
      <c r="BT102" s="857"/>
      <c r="BU102" s="867"/>
      <c r="BX102" s="497"/>
      <c r="BY102" s="497"/>
      <c r="BZ102" s="497"/>
      <c r="CA102" s="866" t="str">
        <f>IF(BX103="","","PK")</f>
        <v/>
      </c>
      <c r="CB102" s="866"/>
      <c r="CC102" s="866"/>
      <c r="CD102" s="866"/>
      <c r="CE102" s="499"/>
      <c r="CF102" s="499"/>
      <c r="CG102" s="499"/>
      <c r="CJ102" s="876"/>
      <c r="CK102" s="856"/>
      <c r="CL102" s="856"/>
      <c r="CM102" s="856"/>
      <c r="CN102" s="856"/>
      <c r="CR102" s="857"/>
      <c r="CS102" s="857"/>
      <c r="CT102" s="857"/>
      <c r="CU102" s="857"/>
      <c r="CV102" s="857"/>
      <c r="CW102" s="867"/>
      <c r="CY102" s="497"/>
      <c r="CZ102" s="497"/>
      <c r="DA102" s="497"/>
      <c r="DB102" s="497"/>
      <c r="DC102" s="866" t="str">
        <f>IF(CZ103="","","PK")</f>
        <v/>
      </c>
      <c r="DD102" s="866"/>
      <c r="DE102" s="866"/>
      <c r="DF102" s="866"/>
      <c r="DG102" s="499"/>
      <c r="DH102" s="499"/>
      <c r="DI102" s="499"/>
      <c r="DL102" s="876"/>
      <c r="DM102" s="856"/>
      <c r="DN102" s="856"/>
      <c r="DO102" s="856"/>
      <c r="DP102" s="856"/>
      <c r="DQ102" s="503"/>
      <c r="DR102" s="497"/>
      <c r="DS102" s="497"/>
      <c r="DT102" s="497"/>
      <c r="DU102" s="497"/>
      <c r="DZ102" s="499"/>
      <c r="EA102" s="499"/>
      <c r="EB102" s="499"/>
      <c r="EF102" s="447"/>
      <c r="EG102" s="494"/>
      <c r="EH102" s="494"/>
      <c r="EI102" s="494"/>
      <c r="EJ102" s="494"/>
      <c r="EL102" s="497"/>
    </row>
    <row r="103" spans="2:142" s="447" customFormat="1" ht="13.5" customHeight="1" x14ac:dyDescent="0.15">
      <c r="K103" s="482"/>
      <c r="M103" s="857"/>
      <c r="N103" s="857"/>
      <c r="O103" s="857"/>
      <c r="P103" s="857"/>
      <c r="Q103" s="867"/>
      <c r="T103" s="865"/>
      <c r="U103" s="865"/>
      <c r="V103" s="865"/>
      <c r="W103" s="865"/>
      <c r="X103" s="847" t="str">
        <f>IF(T103="","","－")</f>
        <v/>
      </c>
      <c r="Y103" s="847"/>
      <c r="Z103" s="864"/>
      <c r="AA103" s="864"/>
      <c r="AB103" s="864"/>
      <c r="AC103" s="864"/>
      <c r="AD103" s="493"/>
      <c r="AF103" s="879"/>
      <c r="AG103" s="856"/>
      <c r="AH103" s="856"/>
      <c r="AI103" s="856"/>
      <c r="AJ103" s="856"/>
      <c r="AK103" s="856"/>
      <c r="AO103" s="857"/>
      <c r="AP103" s="857"/>
      <c r="AQ103" s="857"/>
      <c r="AR103" s="857"/>
      <c r="AS103" s="867"/>
      <c r="AV103" s="865"/>
      <c r="AW103" s="865"/>
      <c r="AX103" s="865"/>
      <c r="AY103" s="865"/>
      <c r="AZ103" s="847" t="str">
        <f>IF(AV103="","","－")</f>
        <v/>
      </c>
      <c r="BA103" s="847"/>
      <c r="BB103" s="864"/>
      <c r="BC103" s="864"/>
      <c r="BD103" s="864"/>
      <c r="BE103" s="864"/>
      <c r="BH103" s="876"/>
      <c r="BI103" s="856"/>
      <c r="BJ103" s="856"/>
      <c r="BK103" s="856"/>
      <c r="BL103" s="856"/>
      <c r="BQ103" s="857"/>
      <c r="BR103" s="857"/>
      <c r="BS103" s="857"/>
      <c r="BT103" s="857"/>
      <c r="BU103" s="867"/>
      <c r="BX103" s="865"/>
      <c r="BY103" s="865"/>
      <c r="BZ103" s="865"/>
      <c r="CA103" s="865"/>
      <c r="CB103" s="847" t="str">
        <f>IF(BX103="","","－")</f>
        <v/>
      </c>
      <c r="CC103" s="847"/>
      <c r="CD103" s="864"/>
      <c r="CE103" s="864"/>
      <c r="CF103" s="864"/>
      <c r="CG103" s="864"/>
      <c r="CJ103" s="876"/>
      <c r="CK103" s="856"/>
      <c r="CL103" s="856"/>
      <c r="CM103" s="856"/>
      <c r="CN103" s="856"/>
      <c r="CR103" s="857"/>
      <c r="CS103" s="857"/>
      <c r="CT103" s="857"/>
      <c r="CU103" s="857"/>
      <c r="CV103" s="857"/>
      <c r="CW103" s="867"/>
      <c r="CY103" s="508"/>
      <c r="CZ103" s="865"/>
      <c r="DA103" s="865"/>
      <c r="DB103" s="865"/>
      <c r="DC103" s="865"/>
      <c r="DD103" s="847" t="str">
        <f>IF(CZ103="","","－")</f>
        <v/>
      </c>
      <c r="DE103" s="847"/>
      <c r="DF103" s="864"/>
      <c r="DG103" s="864"/>
      <c r="DH103" s="864"/>
      <c r="DI103" s="864"/>
      <c r="DL103" s="876"/>
      <c r="DM103" s="856"/>
      <c r="DN103" s="856"/>
      <c r="DO103" s="856"/>
      <c r="DP103" s="856"/>
      <c r="DR103" s="508"/>
      <c r="DS103" s="465"/>
      <c r="DT103" s="465"/>
      <c r="DU103" s="465"/>
      <c r="DV103" s="465"/>
      <c r="DW103" s="496"/>
      <c r="DX103" s="496"/>
      <c r="DY103" s="466"/>
      <c r="DZ103" s="466"/>
      <c r="EA103" s="466"/>
      <c r="EB103" s="466"/>
      <c r="EG103" s="494"/>
      <c r="EH103" s="494"/>
      <c r="EI103" s="494"/>
      <c r="EJ103" s="494"/>
      <c r="EL103" s="446"/>
    </row>
    <row r="104" spans="2:142" s="503" customFormat="1" ht="13.5" customHeight="1" x14ac:dyDescent="0.15">
      <c r="K104" s="502"/>
      <c r="N104" s="504"/>
      <c r="Q104" s="867"/>
      <c r="W104" s="875" t="str">
        <f>IF(T103="","","PK")</f>
        <v/>
      </c>
      <c r="X104" s="875"/>
      <c r="Y104" s="875"/>
      <c r="Z104" s="875"/>
      <c r="AF104" s="879"/>
      <c r="AS104" s="867"/>
      <c r="AY104" s="875" t="str">
        <f>IF(AV103="","","PK")</f>
        <v/>
      </c>
      <c r="AZ104" s="875"/>
      <c r="BA104" s="875"/>
      <c r="BB104" s="875"/>
      <c r="BH104" s="876"/>
      <c r="BU104" s="867"/>
      <c r="CA104" s="875" t="str">
        <f>IF(BX103="","","PK")</f>
        <v/>
      </c>
      <c r="CB104" s="875"/>
      <c r="CC104" s="875"/>
      <c r="CD104" s="875"/>
      <c r="CJ104" s="876"/>
      <c r="CW104" s="867"/>
      <c r="DC104" s="875" t="str">
        <f>IF(CZ103="","","PK")</f>
        <v/>
      </c>
      <c r="DD104" s="875"/>
      <c r="DE104" s="875"/>
      <c r="DF104" s="875"/>
      <c r="DL104" s="876"/>
      <c r="DQ104" s="487"/>
      <c r="EF104" s="447"/>
      <c r="EL104" s="505"/>
    </row>
    <row r="105" spans="2:142" s="447" customFormat="1" ht="13.5" customHeight="1" x14ac:dyDescent="0.15">
      <c r="K105" s="482"/>
      <c r="M105" s="873"/>
      <c r="N105" s="873"/>
      <c r="O105" s="873"/>
      <c r="P105" s="873"/>
      <c r="Q105" s="867"/>
      <c r="S105" s="848"/>
      <c r="T105" s="848"/>
      <c r="U105" s="848"/>
      <c r="AC105" s="873"/>
      <c r="AD105" s="873"/>
      <c r="AF105" s="879"/>
      <c r="AG105" s="848"/>
      <c r="AH105" s="848"/>
      <c r="AI105" s="848"/>
      <c r="AJ105" s="848"/>
      <c r="AK105" s="848"/>
      <c r="AO105" s="873"/>
      <c r="AP105" s="873"/>
      <c r="AQ105" s="873"/>
      <c r="AR105" s="873"/>
      <c r="AS105" s="867"/>
      <c r="BH105" s="876"/>
      <c r="BI105" s="848"/>
      <c r="BJ105" s="848"/>
      <c r="BK105" s="848"/>
      <c r="BL105" s="848"/>
      <c r="BQ105" s="873"/>
      <c r="BR105" s="873"/>
      <c r="BS105" s="873"/>
      <c r="BT105" s="873"/>
      <c r="BU105" s="867"/>
      <c r="CJ105" s="876"/>
      <c r="CK105" s="848"/>
      <c r="CL105" s="848"/>
      <c r="CM105" s="848"/>
      <c r="CN105" s="848"/>
      <c r="CR105" s="873"/>
      <c r="CS105" s="873"/>
      <c r="CT105" s="873"/>
      <c r="CU105" s="873"/>
      <c r="CV105" s="873"/>
      <c r="CW105" s="867"/>
      <c r="CY105" s="848"/>
      <c r="CZ105" s="848"/>
      <c r="DH105" s="873"/>
      <c r="DI105" s="873"/>
      <c r="DJ105" s="873"/>
      <c r="DL105" s="876"/>
      <c r="DM105" s="848"/>
      <c r="DN105" s="848"/>
      <c r="DO105" s="848"/>
      <c r="DP105" s="848"/>
      <c r="DR105" s="448"/>
      <c r="DS105" s="448"/>
      <c r="EA105" s="446"/>
      <c r="EB105" s="446"/>
      <c r="EC105" s="446"/>
      <c r="ED105" s="446"/>
      <c r="EG105" s="448"/>
      <c r="EH105" s="448"/>
      <c r="EI105" s="448"/>
      <c r="EJ105" s="448"/>
      <c r="EL105" s="446"/>
    </row>
    <row r="106" spans="2:142" x14ac:dyDescent="0.15">
      <c r="L106" s="258"/>
      <c r="M106" s="846" t="str">
        <f>IF(C38="","ア負け"&amp;CHAR(10)&amp;"(      )",IF(C38&lt;&gt;B66,B66,N48))</f>
        <v>港</v>
      </c>
      <c r="N106" s="846"/>
      <c r="O106" s="846"/>
      <c r="P106" s="846"/>
      <c r="Q106" s="846"/>
      <c r="R106" s="846"/>
      <c r="S106" s="846"/>
      <c r="T106" s="846"/>
      <c r="U106" s="846"/>
      <c r="V106" s="846"/>
      <c r="Z106" s="258"/>
      <c r="AA106" s="846" t="str">
        <f>IF(Z38="","イ負け"&amp;CHAR(10)&amp;"(      )",IF(Z38&lt;&gt;T66,T66,Z66))</f>
        <v>長田</v>
      </c>
      <c r="AB106" s="846"/>
      <c r="AC106" s="846"/>
      <c r="AD106" s="846"/>
      <c r="AE106" s="846"/>
      <c r="AF106" s="846"/>
      <c r="AG106" s="846"/>
      <c r="AH106" s="846"/>
      <c r="AI106" s="846"/>
      <c r="AJ106" s="846"/>
      <c r="AK106" s="258"/>
      <c r="AL106" s="258"/>
      <c r="AM106" s="258"/>
      <c r="AN106" s="258"/>
      <c r="AO106" s="846" t="str">
        <f>IF(AG38="","ウ負け"&amp;CHAR(10)&amp;"(      )",IF(AG38&lt;&gt;AF66,AF66,AR48))</f>
        <v>高岡</v>
      </c>
      <c r="AP106" s="846"/>
      <c r="AQ106" s="846"/>
      <c r="AR106" s="846"/>
      <c r="AS106" s="846"/>
      <c r="AT106" s="846"/>
      <c r="AU106" s="846"/>
      <c r="AV106" s="846"/>
      <c r="AW106" s="846"/>
      <c r="AX106" s="846"/>
      <c r="BB106" s="258"/>
      <c r="BC106" s="846" t="str">
        <f>IF(BI38="","エ負け"&amp;CHAR(10)&amp;"(      )",IF(BI38&lt;&gt;AX48,AX48,BJ66))</f>
        <v>泉･高尾台</v>
      </c>
      <c r="BD106" s="846"/>
      <c r="BE106" s="846"/>
      <c r="BF106" s="846"/>
      <c r="BG106" s="846"/>
      <c r="BH106" s="846"/>
      <c r="BI106" s="846"/>
      <c r="BJ106" s="846"/>
      <c r="BK106" s="846"/>
      <c r="BL106" s="846"/>
      <c r="BM106" s="258"/>
      <c r="BN106" s="258"/>
      <c r="BO106" s="258"/>
      <c r="BP106" s="258"/>
      <c r="BQ106" s="846" t="str">
        <f>IF(BQ38="","オ負け"&amp;CHAR(10)&amp;"(      )",IF(BQ38&lt;&gt;BP66,BP66,CB48))</f>
        <v>錦丘･緑</v>
      </c>
      <c r="BR106" s="846"/>
      <c r="BS106" s="846"/>
      <c r="BT106" s="846"/>
      <c r="BU106" s="846"/>
      <c r="BV106" s="846"/>
      <c r="BW106" s="846"/>
      <c r="BX106" s="846"/>
      <c r="BY106" s="846"/>
      <c r="BZ106" s="846"/>
      <c r="CD106" s="258"/>
      <c r="CE106" s="846" t="str">
        <f>IF(CS38="","カ負け"&amp;CHAR(10)&amp;"(      )",IF(CS38&lt;&gt;CH48,CH48,CT66))</f>
        <v>内灘</v>
      </c>
      <c r="CF106" s="846"/>
      <c r="CG106" s="846"/>
      <c r="CH106" s="846"/>
      <c r="CI106" s="846"/>
      <c r="CJ106" s="846"/>
      <c r="CK106" s="846"/>
      <c r="CL106" s="846"/>
      <c r="CM106" s="846"/>
      <c r="CN106" s="846"/>
      <c r="CO106" s="258"/>
      <c r="CP106" s="258"/>
      <c r="CQ106" s="258"/>
      <c r="CR106" s="258"/>
      <c r="CS106" s="846" t="str">
        <f>IF(CZ38="","キ負け"&amp;CHAR(10)&amp;"(      )",IF(CZ38&lt;&gt;CZ66,CZ66,DF66))</f>
        <v>金石</v>
      </c>
      <c r="CT106" s="846"/>
      <c r="CU106" s="846"/>
      <c r="CV106" s="846"/>
      <c r="CW106" s="846"/>
      <c r="CX106" s="846"/>
      <c r="CY106" s="846"/>
      <c r="CZ106" s="846"/>
      <c r="DA106" s="846"/>
      <c r="DB106" s="846"/>
      <c r="DF106" s="258"/>
      <c r="DG106" s="846" t="str">
        <f>IF(DW38="","ク負け"&amp;CHAR(10)&amp;"(      )",IF(DW38&lt;&gt;DL48,DL48,DX66))</f>
        <v>紫錦台</v>
      </c>
      <c r="DH106" s="846"/>
      <c r="DI106" s="846"/>
      <c r="DJ106" s="846"/>
      <c r="DK106" s="846"/>
      <c r="DL106" s="846"/>
      <c r="DM106" s="846"/>
      <c r="DN106" s="846"/>
      <c r="DO106" s="846"/>
      <c r="DP106" s="846"/>
      <c r="DQ106" s="258"/>
      <c r="DR106" s="258"/>
      <c r="DS106" s="258"/>
      <c r="DT106" s="258"/>
      <c r="DU106" s="258"/>
      <c r="DV106" s="258"/>
      <c r="DW106" s="258"/>
      <c r="DX106" s="258"/>
      <c r="DY106" s="258"/>
      <c r="DZ106" s="258"/>
      <c r="EA106" s="258"/>
      <c r="EB106" s="258"/>
      <c r="EC106" s="258"/>
      <c r="ED106" s="258"/>
      <c r="EE106" s="258"/>
      <c r="EF106" s="258"/>
      <c r="EL106" s="270"/>
    </row>
    <row r="107" spans="2:142" x14ac:dyDescent="0.15">
      <c r="M107" s="846"/>
      <c r="N107" s="846"/>
      <c r="O107" s="846"/>
      <c r="P107" s="846"/>
      <c r="Q107" s="846"/>
      <c r="R107" s="846"/>
      <c r="S107" s="846"/>
      <c r="T107" s="846"/>
      <c r="U107" s="846"/>
      <c r="V107" s="846"/>
      <c r="AA107" s="846"/>
      <c r="AB107" s="846"/>
      <c r="AC107" s="846"/>
      <c r="AD107" s="846"/>
      <c r="AE107" s="846"/>
      <c r="AF107" s="846"/>
      <c r="AG107" s="846"/>
      <c r="AH107" s="846"/>
      <c r="AI107" s="846"/>
      <c r="AJ107" s="846"/>
      <c r="AO107" s="846"/>
      <c r="AP107" s="846"/>
      <c r="AQ107" s="846"/>
      <c r="AR107" s="846"/>
      <c r="AS107" s="846"/>
      <c r="AT107" s="846"/>
      <c r="AU107" s="846"/>
      <c r="AV107" s="846"/>
      <c r="AW107" s="846"/>
      <c r="AX107" s="846"/>
      <c r="BC107" s="846"/>
      <c r="BD107" s="846"/>
      <c r="BE107" s="846"/>
      <c r="BF107" s="846"/>
      <c r="BG107" s="846"/>
      <c r="BH107" s="846"/>
      <c r="BI107" s="846"/>
      <c r="BJ107" s="846"/>
      <c r="BK107" s="846"/>
      <c r="BL107" s="846"/>
      <c r="BQ107" s="846"/>
      <c r="BR107" s="846"/>
      <c r="BS107" s="846"/>
      <c r="BT107" s="846"/>
      <c r="BU107" s="846"/>
      <c r="BV107" s="846"/>
      <c r="BW107" s="846"/>
      <c r="BX107" s="846"/>
      <c r="BY107" s="846"/>
      <c r="BZ107" s="846"/>
      <c r="CE107" s="846"/>
      <c r="CF107" s="846"/>
      <c r="CG107" s="846"/>
      <c r="CH107" s="846"/>
      <c r="CI107" s="846"/>
      <c r="CJ107" s="846"/>
      <c r="CK107" s="846"/>
      <c r="CL107" s="846"/>
      <c r="CM107" s="846"/>
      <c r="CN107" s="846"/>
      <c r="CS107" s="846"/>
      <c r="CT107" s="846"/>
      <c r="CU107" s="846"/>
      <c r="CV107" s="846"/>
      <c r="CW107" s="846"/>
      <c r="CX107" s="846"/>
      <c r="CY107" s="846"/>
      <c r="CZ107" s="846"/>
      <c r="DA107" s="846"/>
      <c r="DB107" s="846"/>
      <c r="DG107" s="846"/>
      <c r="DH107" s="846"/>
      <c r="DI107" s="846"/>
      <c r="DJ107" s="846"/>
      <c r="DK107" s="846"/>
      <c r="DL107" s="846"/>
      <c r="DM107" s="846"/>
      <c r="DN107" s="846"/>
      <c r="DO107" s="846"/>
      <c r="DP107" s="846"/>
      <c r="EB107" s="475"/>
      <c r="EL107" s="270"/>
    </row>
    <row r="108" spans="2:142" x14ac:dyDescent="0.15">
      <c r="M108" s="846"/>
      <c r="N108" s="846"/>
      <c r="O108" s="846"/>
      <c r="P108" s="846"/>
      <c r="Q108" s="846"/>
      <c r="R108" s="846"/>
      <c r="S108" s="846"/>
      <c r="T108" s="846"/>
      <c r="U108" s="846"/>
      <c r="V108" s="846"/>
      <c r="AA108" s="846"/>
      <c r="AB108" s="846"/>
      <c r="AC108" s="846"/>
      <c r="AD108" s="846"/>
      <c r="AE108" s="846"/>
      <c r="AF108" s="846"/>
      <c r="AG108" s="846"/>
      <c r="AH108" s="846"/>
      <c r="AI108" s="846"/>
      <c r="AJ108" s="846"/>
      <c r="AO108" s="846"/>
      <c r="AP108" s="846"/>
      <c r="AQ108" s="846"/>
      <c r="AR108" s="846"/>
      <c r="AS108" s="846"/>
      <c r="AT108" s="846"/>
      <c r="AU108" s="846"/>
      <c r="AV108" s="846"/>
      <c r="AW108" s="846"/>
      <c r="AX108" s="846"/>
      <c r="BC108" s="846"/>
      <c r="BD108" s="846"/>
      <c r="BE108" s="846"/>
      <c r="BF108" s="846"/>
      <c r="BG108" s="846"/>
      <c r="BH108" s="846"/>
      <c r="BI108" s="846"/>
      <c r="BJ108" s="846"/>
      <c r="BK108" s="846"/>
      <c r="BL108" s="846"/>
      <c r="BQ108" s="846"/>
      <c r="BR108" s="846"/>
      <c r="BS108" s="846"/>
      <c r="BT108" s="846"/>
      <c r="BU108" s="846"/>
      <c r="BV108" s="846"/>
      <c r="BW108" s="846"/>
      <c r="BX108" s="846"/>
      <c r="BY108" s="846"/>
      <c r="BZ108" s="846"/>
      <c r="CE108" s="846"/>
      <c r="CF108" s="846"/>
      <c r="CG108" s="846"/>
      <c r="CH108" s="846"/>
      <c r="CI108" s="846"/>
      <c r="CJ108" s="846"/>
      <c r="CK108" s="846"/>
      <c r="CL108" s="846"/>
      <c r="CM108" s="846"/>
      <c r="CN108" s="846"/>
      <c r="CS108" s="846"/>
      <c r="CT108" s="846"/>
      <c r="CU108" s="846"/>
      <c r="CV108" s="846"/>
      <c r="CW108" s="846"/>
      <c r="CX108" s="846"/>
      <c r="CY108" s="846"/>
      <c r="CZ108" s="846"/>
      <c r="DA108" s="846"/>
      <c r="DB108" s="846"/>
      <c r="DG108" s="846"/>
      <c r="DH108" s="846"/>
      <c r="DI108" s="846"/>
      <c r="DJ108" s="846"/>
      <c r="DK108" s="846"/>
      <c r="DL108" s="846"/>
      <c r="DM108" s="846"/>
      <c r="DN108" s="846"/>
      <c r="DO108" s="846"/>
      <c r="DP108" s="846"/>
      <c r="EB108" s="475"/>
      <c r="EL108" s="270"/>
    </row>
    <row r="109" spans="2:142" x14ac:dyDescent="0.15">
      <c r="B109" s="451" t="str">
        <f>IF(AT9="","※試合球は、内灘・市営【ミカサ】、交流広場・かほく・ゴースタ【モルテン】","")</f>
        <v/>
      </c>
    </row>
    <row r="115" spans="82:82" x14ac:dyDescent="0.15">
      <c r="CD115" s="527"/>
    </row>
  </sheetData>
  <mergeCells count="898">
    <mergeCell ref="CZ95:DC95"/>
    <mergeCell ref="AH91:AK91"/>
    <mergeCell ref="AL91:AM91"/>
    <mergeCell ref="AN91:AQ91"/>
    <mergeCell ref="CL91:CO91"/>
    <mergeCell ref="AC16:AF23"/>
    <mergeCell ref="Z99:AC99"/>
    <mergeCell ref="BB101:BE101"/>
    <mergeCell ref="BX101:CA101"/>
    <mergeCell ref="CB101:CC101"/>
    <mergeCell ref="CD101:CG101"/>
    <mergeCell ref="AV98:AY98"/>
    <mergeCell ref="AZ98:BA98"/>
    <mergeCell ref="CP91:CQ91"/>
    <mergeCell ref="CR91:CU91"/>
    <mergeCell ref="AK92:AN92"/>
    <mergeCell ref="CO92:CR92"/>
    <mergeCell ref="BX88:CA93"/>
    <mergeCell ref="CR93:CU93"/>
    <mergeCell ref="CL94:CO94"/>
    <mergeCell ref="BX95:CA95"/>
    <mergeCell ref="CD95:CG95"/>
    <mergeCell ref="BV97:CA97"/>
    <mergeCell ref="CC97:CI97"/>
    <mergeCell ref="T103:W103"/>
    <mergeCell ref="X103:Y103"/>
    <mergeCell ref="Z103:AC103"/>
    <mergeCell ref="AV103:AY103"/>
    <mergeCell ref="CD103:CG103"/>
    <mergeCell ref="BB99:BE99"/>
    <mergeCell ref="BX99:CA99"/>
    <mergeCell ref="CB99:CC99"/>
    <mergeCell ref="CD99:CG99"/>
    <mergeCell ref="DF97:DK97"/>
    <mergeCell ref="BB98:BE98"/>
    <mergeCell ref="BH98:BH105"/>
    <mergeCell ref="BI98:BL103"/>
    <mergeCell ref="BQ98:BT103"/>
    <mergeCell ref="BU98:BU105"/>
    <mergeCell ref="BX98:CA98"/>
    <mergeCell ref="CB98:CC98"/>
    <mergeCell ref="CD98:CG98"/>
    <mergeCell ref="CZ99:DC99"/>
    <mergeCell ref="DD99:DE99"/>
    <mergeCell ref="DF99:DI99"/>
    <mergeCell ref="BB100:BE100"/>
    <mergeCell ref="BB103:BE103"/>
    <mergeCell ref="BX103:CA103"/>
    <mergeCell ref="CB103:CC103"/>
    <mergeCell ref="CR98:CV103"/>
    <mergeCell ref="CX97:DD97"/>
    <mergeCell ref="CB88:CB97"/>
    <mergeCell ref="CL88:CO88"/>
    <mergeCell ref="CP88:CQ88"/>
    <mergeCell ref="CR88:CU88"/>
    <mergeCell ref="CL93:CO93"/>
    <mergeCell ref="CP93:CQ93"/>
    <mergeCell ref="DL98:DL105"/>
    <mergeCell ref="AV99:AY99"/>
    <mergeCell ref="AV101:AY101"/>
    <mergeCell ref="CZ101:DC101"/>
    <mergeCell ref="DD101:DE101"/>
    <mergeCell ref="DF101:DI101"/>
    <mergeCell ref="AY102:BB102"/>
    <mergeCell ref="CA102:CD102"/>
    <mergeCell ref="DC102:DF102"/>
    <mergeCell ref="AY104:BB104"/>
    <mergeCell ref="CA104:CD104"/>
    <mergeCell ref="AV100:AY100"/>
    <mergeCell ref="AZ100:BA100"/>
    <mergeCell ref="BX100:CA100"/>
    <mergeCell ref="CB100:CC100"/>
    <mergeCell ref="CD100:CG100"/>
    <mergeCell ref="DM98:DP103"/>
    <mergeCell ref="CZ103:DC103"/>
    <mergeCell ref="DD103:DE103"/>
    <mergeCell ref="DF103:DI103"/>
    <mergeCell ref="DH105:DJ105"/>
    <mergeCell ref="DM105:DP105"/>
    <mergeCell ref="AZ103:BA103"/>
    <mergeCell ref="CW98:CW105"/>
    <mergeCell ref="CZ98:DC98"/>
    <mergeCell ref="DD98:DE98"/>
    <mergeCell ref="DF98:DI98"/>
    <mergeCell ref="CY105:CZ105"/>
    <mergeCell ref="BI105:BL105"/>
    <mergeCell ref="BQ105:BT105"/>
    <mergeCell ref="CK105:CN105"/>
    <mergeCell ref="CR105:CV105"/>
    <mergeCell ref="AZ99:BA99"/>
    <mergeCell ref="AZ101:BA101"/>
    <mergeCell ref="DC104:DF104"/>
    <mergeCell ref="CZ100:DC100"/>
    <mergeCell ref="DD100:DE100"/>
    <mergeCell ref="DF100:DI100"/>
    <mergeCell ref="CJ98:CJ105"/>
    <mergeCell ref="CK98:CN103"/>
    <mergeCell ref="M98:P103"/>
    <mergeCell ref="Q98:Q105"/>
    <mergeCell ref="T98:W98"/>
    <mergeCell ref="X98:Y98"/>
    <mergeCell ref="Z98:AC98"/>
    <mergeCell ref="AF98:AF105"/>
    <mergeCell ref="AG98:AK103"/>
    <mergeCell ref="AO98:AR103"/>
    <mergeCell ref="AS98:AS105"/>
    <mergeCell ref="T101:W101"/>
    <mergeCell ref="X101:Y101"/>
    <mergeCell ref="Z101:AC101"/>
    <mergeCell ref="T100:W100"/>
    <mergeCell ref="X100:Y100"/>
    <mergeCell ref="Z100:AC100"/>
    <mergeCell ref="M105:P105"/>
    <mergeCell ref="S105:U105"/>
    <mergeCell ref="AC105:AD105"/>
    <mergeCell ref="AG105:AK105"/>
    <mergeCell ref="AO105:AR105"/>
    <mergeCell ref="W104:Z104"/>
    <mergeCell ref="W102:Z102"/>
    <mergeCell ref="T99:W99"/>
    <mergeCell ref="X99:Y99"/>
    <mergeCell ref="DF95:DI95"/>
    <mergeCell ref="T96:W96"/>
    <mergeCell ref="Z96:AC96"/>
    <mergeCell ref="AV96:AY96"/>
    <mergeCell ref="BB96:BE96"/>
    <mergeCell ref="BX96:CA96"/>
    <mergeCell ref="CD96:CG96"/>
    <mergeCell ref="CZ96:DC96"/>
    <mergeCell ref="DF96:DI96"/>
    <mergeCell ref="DE88:DE97"/>
    <mergeCell ref="DF88:DI93"/>
    <mergeCell ref="AH89:AK89"/>
    <mergeCell ref="AL89:AM89"/>
    <mergeCell ref="AN89:AQ89"/>
    <mergeCell ref="CL89:CO89"/>
    <mergeCell ref="CP89:CQ89"/>
    <mergeCell ref="CR89:CU89"/>
    <mergeCell ref="AH90:AK90"/>
    <mergeCell ref="AL90:AM90"/>
    <mergeCell ref="AN90:AQ90"/>
    <mergeCell ref="CL90:CO90"/>
    <mergeCell ref="CP90:CQ90"/>
    <mergeCell ref="BB97:BG97"/>
    <mergeCell ref="CR90:CU90"/>
    <mergeCell ref="BA88:BA97"/>
    <mergeCell ref="BB88:BE93"/>
    <mergeCell ref="BM82:BP82"/>
    <mergeCell ref="BJ83:BM83"/>
    <mergeCell ref="BN83:BO83"/>
    <mergeCell ref="BP83:BS83"/>
    <mergeCell ref="BM84:BP84"/>
    <mergeCell ref="BJ77:BM77"/>
    <mergeCell ref="BN77:BO77"/>
    <mergeCell ref="Y87:AK87"/>
    <mergeCell ref="AM87:AZ87"/>
    <mergeCell ref="W25:Z25"/>
    <mergeCell ref="AC25:AF25"/>
    <mergeCell ref="W69:AL69"/>
    <mergeCell ref="AT69:AW70"/>
    <mergeCell ref="R97:W97"/>
    <mergeCell ref="Y97:AE97"/>
    <mergeCell ref="AT97:AZ97"/>
    <mergeCell ref="AH86:AK86"/>
    <mergeCell ref="AH85:AK85"/>
    <mergeCell ref="AN86:AQ86"/>
    <mergeCell ref="AN85:AQ85"/>
    <mergeCell ref="AH93:AK93"/>
    <mergeCell ref="AL93:AM93"/>
    <mergeCell ref="T88:W93"/>
    <mergeCell ref="X88:X97"/>
    <mergeCell ref="AH88:AK88"/>
    <mergeCell ref="AL88:AM88"/>
    <mergeCell ref="AN88:AQ88"/>
    <mergeCell ref="AN93:AQ93"/>
    <mergeCell ref="AN94:AQ94"/>
    <mergeCell ref="T95:W95"/>
    <mergeCell ref="Z95:AC95"/>
    <mergeCell ref="AV95:AY95"/>
    <mergeCell ref="CZ46:DC46"/>
    <mergeCell ref="DO40:DR40"/>
    <mergeCell ref="L6:AO6"/>
    <mergeCell ref="L5:AO5"/>
    <mergeCell ref="L4:AO4"/>
    <mergeCell ref="L3:AO3"/>
    <mergeCell ref="BO6:CR6"/>
    <mergeCell ref="BO5:CR5"/>
    <mergeCell ref="BO4:CR4"/>
    <mergeCell ref="BO3:CR3"/>
    <mergeCell ref="K28:N33"/>
    <mergeCell ref="CQ31:CT31"/>
    <mergeCell ref="AF32:AI32"/>
    <mergeCell ref="CQ28:CT28"/>
    <mergeCell ref="AH27:AV27"/>
    <mergeCell ref="AG16:AG27"/>
    <mergeCell ref="P27:AF27"/>
    <mergeCell ref="BN18:BO18"/>
    <mergeCell ref="BP18:BS18"/>
    <mergeCell ref="BM22:BP22"/>
    <mergeCell ref="BJ23:BM23"/>
    <mergeCell ref="BN23:BO23"/>
    <mergeCell ref="BP23:BS23"/>
    <mergeCell ref="H37:N37"/>
    <mergeCell ref="Y38:Y47"/>
    <mergeCell ref="DD38:DD47"/>
    <mergeCell ref="Z47:AA47"/>
    <mergeCell ref="DB47:DC47"/>
    <mergeCell ref="Z38:AC43"/>
    <mergeCell ref="CZ38:DC43"/>
    <mergeCell ref="K38:N38"/>
    <mergeCell ref="O38:P38"/>
    <mergeCell ref="Q38:T38"/>
    <mergeCell ref="K39:N39"/>
    <mergeCell ref="O39:P39"/>
    <mergeCell ref="Q39:T39"/>
    <mergeCell ref="K40:N40"/>
    <mergeCell ref="O40:P40"/>
    <mergeCell ref="Q40:T40"/>
    <mergeCell ref="K41:N41"/>
    <mergeCell ref="CW27:DM27"/>
    <mergeCell ref="DE16:DE22"/>
    <mergeCell ref="CH36:CK36"/>
    <mergeCell ref="DI41:DL41"/>
    <mergeCell ref="DM41:DN41"/>
    <mergeCell ref="CF39:CG39"/>
    <mergeCell ref="CH35:CK35"/>
    <mergeCell ref="CH43:CK43"/>
    <mergeCell ref="BM24:BP24"/>
    <mergeCell ref="CT34:CW34"/>
    <mergeCell ref="DN18:DQ18"/>
    <mergeCell ref="DE37:DM37"/>
    <mergeCell ref="DO37:DU37"/>
    <mergeCell ref="DM40:DN40"/>
    <mergeCell ref="BJ16:BM16"/>
    <mergeCell ref="DO28:DR33"/>
    <mergeCell ref="AI30:AL30"/>
    <mergeCell ref="AI31:AL31"/>
    <mergeCell ref="CU31:CV31"/>
    <mergeCell ref="CW31:CZ31"/>
    <mergeCell ref="CT32:CW32"/>
    <mergeCell ref="CQ33:CT33"/>
    <mergeCell ref="CU33:CV33"/>
    <mergeCell ref="CW33:CZ33"/>
    <mergeCell ref="AI33:AL33"/>
    <mergeCell ref="DN28:DN37"/>
    <mergeCell ref="DI35:DL35"/>
    <mergeCell ref="DI36:DL36"/>
    <mergeCell ref="CU28:CV28"/>
    <mergeCell ref="CW28:CZ28"/>
    <mergeCell ref="CQ29:CT29"/>
    <mergeCell ref="CU29:CV29"/>
    <mergeCell ref="CW29:CZ29"/>
    <mergeCell ref="CQ30:CT30"/>
    <mergeCell ref="CU30:CV30"/>
    <mergeCell ref="CW30:CZ30"/>
    <mergeCell ref="AX35:BA35"/>
    <mergeCell ref="DO35:DR35"/>
    <mergeCell ref="DO36:DR36"/>
    <mergeCell ref="D3:J3"/>
    <mergeCell ref="AP3:BB3"/>
    <mergeCell ref="BE3:BM3"/>
    <mergeCell ref="CS3:DE3"/>
    <mergeCell ref="D4:J4"/>
    <mergeCell ref="AP4:BB4"/>
    <mergeCell ref="CS4:DE4"/>
    <mergeCell ref="D5:J5"/>
    <mergeCell ref="AP5:BB5"/>
    <mergeCell ref="CS5:DE5"/>
    <mergeCell ref="DF15:DK15"/>
    <mergeCell ref="DM15:DS15"/>
    <mergeCell ref="AC26:AF26"/>
    <mergeCell ref="AI25:AL25"/>
    <mergeCell ref="AI26:AL26"/>
    <mergeCell ref="CB35:CE35"/>
    <mergeCell ref="CQ25:CT25"/>
    <mergeCell ref="CQ26:CT26"/>
    <mergeCell ref="CW25:CZ25"/>
    <mergeCell ref="CW26:CZ26"/>
    <mergeCell ref="CV16:CV27"/>
    <mergeCell ref="CG27:CU27"/>
    <mergeCell ref="BN16:BO16"/>
    <mergeCell ref="BP16:BS16"/>
    <mergeCell ref="BJ17:BM17"/>
    <mergeCell ref="BN17:BO17"/>
    <mergeCell ref="BP17:BS17"/>
    <mergeCell ref="BJ18:BM18"/>
    <mergeCell ref="DA23:DJ23"/>
    <mergeCell ref="DO23:DX23"/>
    <mergeCell ref="BM20:BP20"/>
    <mergeCell ref="DK20:DN20"/>
    <mergeCell ref="BJ21:BM21"/>
    <mergeCell ref="BN21:BO21"/>
    <mergeCell ref="BP21:BS21"/>
    <mergeCell ref="DH21:DK21"/>
    <mergeCell ref="CB36:CE36"/>
    <mergeCell ref="DB48:DC48"/>
    <mergeCell ref="DD48:DE48"/>
    <mergeCell ref="DB49:DC49"/>
    <mergeCell ref="DD49:DE49"/>
    <mergeCell ref="V48:W48"/>
    <mergeCell ref="X48:Y48"/>
    <mergeCell ref="Z48:AA48"/>
    <mergeCell ref="AP6:BB6"/>
    <mergeCell ref="CS6:DE6"/>
    <mergeCell ref="AL9:AS10"/>
    <mergeCell ref="AT9:CI10"/>
    <mergeCell ref="DA9:DN9"/>
    <mergeCell ref="BN11:BN15"/>
    <mergeCell ref="BJ13:BM13"/>
    <mergeCell ref="BP13:BS13"/>
    <mergeCell ref="DH13:DK13"/>
    <mergeCell ref="DL13:DL15"/>
    <mergeCell ref="DN13:DQ13"/>
    <mergeCell ref="BJ14:BM14"/>
    <mergeCell ref="BP14:BS14"/>
    <mergeCell ref="DH14:DK14"/>
    <mergeCell ref="DN14:DQ14"/>
    <mergeCell ref="W26:Z26"/>
    <mergeCell ref="DO41:DR41"/>
    <mergeCell ref="DB50:DC50"/>
    <mergeCell ref="DD50:DE50"/>
    <mergeCell ref="DB51:DC51"/>
    <mergeCell ref="DD51:DE51"/>
    <mergeCell ref="DC52:DF52"/>
    <mergeCell ref="DB53:DC53"/>
    <mergeCell ref="DD53:DE53"/>
    <mergeCell ref="DF53:DG53"/>
    <mergeCell ref="DL42:DO42"/>
    <mergeCell ref="DI43:DL43"/>
    <mergeCell ref="DM43:DN43"/>
    <mergeCell ref="DO43:DR43"/>
    <mergeCell ref="CZ45:DC45"/>
    <mergeCell ref="DF45:DI45"/>
    <mergeCell ref="DF46:DI46"/>
    <mergeCell ref="DC54:DF54"/>
    <mergeCell ref="DT16:DT22"/>
    <mergeCell ref="DH18:DK18"/>
    <mergeCell ref="DL18:DM18"/>
    <mergeCell ref="BJ19:BM19"/>
    <mergeCell ref="BN19:BO19"/>
    <mergeCell ref="BP19:BS19"/>
    <mergeCell ref="DH19:DK19"/>
    <mergeCell ref="DN16:DQ16"/>
    <mergeCell ref="DH17:DK17"/>
    <mergeCell ref="DL17:DM17"/>
    <mergeCell ref="CW16:CZ23"/>
    <mergeCell ref="DN17:DQ17"/>
    <mergeCell ref="DN19:DQ19"/>
    <mergeCell ref="DL19:DM19"/>
    <mergeCell ref="DH16:DK16"/>
    <mergeCell ref="DL16:DM16"/>
    <mergeCell ref="DL21:DM21"/>
    <mergeCell ref="DN21:DQ21"/>
    <mergeCell ref="DQ45:DT45"/>
    <mergeCell ref="DI38:DL38"/>
    <mergeCell ref="DM38:DN38"/>
    <mergeCell ref="CB43:CE43"/>
    <mergeCell ref="CF43:CG43"/>
    <mergeCell ref="AC28:AF28"/>
    <mergeCell ref="AW28:AW37"/>
    <mergeCell ref="O28:O37"/>
    <mergeCell ref="P37:X37"/>
    <mergeCell ref="AC30:AF30"/>
    <mergeCell ref="AC31:AF31"/>
    <mergeCell ref="AX28:BA33"/>
    <mergeCell ref="CB28:CE33"/>
    <mergeCell ref="CF28:CF37"/>
    <mergeCell ref="AC29:AF29"/>
    <mergeCell ref="AG28:AH28"/>
    <mergeCell ref="AI28:AL28"/>
    <mergeCell ref="AG29:AH29"/>
    <mergeCell ref="AI29:AL29"/>
    <mergeCell ref="AG30:AH30"/>
    <mergeCell ref="AG31:AH31"/>
    <mergeCell ref="Q35:T35"/>
    <mergeCell ref="Q36:T36"/>
    <mergeCell ref="AC33:AF33"/>
    <mergeCell ref="AG33:AH33"/>
    <mergeCell ref="AF34:AI34"/>
    <mergeCell ref="AR36:AU36"/>
    <mergeCell ref="AX36:BA36"/>
    <mergeCell ref="AR35:AU35"/>
    <mergeCell ref="AL37:AV37"/>
    <mergeCell ref="AX37:BG37"/>
    <mergeCell ref="BV37:CE37"/>
    <mergeCell ref="CB39:CE39"/>
    <mergeCell ref="AG45:AJ45"/>
    <mergeCell ref="AM45:AP45"/>
    <mergeCell ref="AR43:AU43"/>
    <mergeCell ref="AV43:AW43"/>
    <mergeCell ref="AX43:BA43"/>
    <mergeCell ref="AK38:AK47"/>
    <mergeCell ref="CE44:CH44"/>
    <mergeCell ref="BI47:BK47"/>
    <mergeCell ref="BW46:BZ46"/>
    <mergeCell ref="BU38:BU47"/>
    <mergeCell ref="AR38:AU38"/>
    <mergeCell ref="AV38:AW38"/>
    <mergeCell ref="AX38:BA38"/>
    <mergeCell ref="BH38:BH47"/>
    <mergeCell ref="BI38:BL43"/>
    <mergeCell ref="CG37:CQ37"/>
    <mergeCell ref="K35:N35"/>
    <mergeCell ref="K36:N36"/>
    <mergeCell ref="T45:W45"/>
    <mergeCell ref="CS38:CV43"/>
    <mergeCell ref="CB38:CE38"/>
    <mergeCell ref="CF38:CG38"/>
    <mergeCell ref="CH38:CK38"/>
    <mergeCell ref="CR38:CR47"/>
    <mergeCell ref="CH39:CK39"/>
    <mergeCell ref="CB40:CE40"/>
    <mergeCell ref="CF40:CG40"/>
    <mergeCell ref="CH40:CK40"/>
    <mergeCell ref="CH41:CK41"/>
    <mergeCell ref="AU42:AX42"/>
    <mergeCell ref="CE42:CH42"/>
    <mergeCell ref="AR41:AU41"/>
    <mergeCell ref="AV41:AW41"/>
    <mergeCell ref="AX41:BA41"/>
    <mergeCell ref="CB41:CE41"/>
    <mergeCell ref="CF41:CG41"/>
    <mergeCell ref="AR40:AU40"/>
    <mergeCell ref="AV40:AW40"/>
    <mergeCell ref="AX40:BA40"/>
    <mergeCell ref="BQ38:BT43"/>
    <mergeCell ref="D47:F47"/>
    <mergeCell ref="H47:L47"/>
    <mergeCell ref="AH47:AJ47"/>
    <mergeCell ref="AL47:AP47"/>
    <mergeCell ref="BC47:BG47"/>
    <mergeCell ref="N44:Q44"/>
    <mergeCell ref="K43:N43"/>
    <mergeCell ref="O43:P43"/>
    <mergeCell ref="Q43:T43"/>
    <mergeCell ref="C46:F46"/>
    <mergeCell ref="I46:L46"/>
    <mergeCell ref="Z46:AC46"/>
    <mergeCell ref="T46:W46"/>
    <mergeCell ref="AG46:AJ46"/>
    <mergeCell ref="AM46:AP46"/>
    <mergeCell ref="C45:F45"/>
    <mergeCell ref="I45:L45"/>
    <mergeCell ref="Z45:AC45"/>
    <mergeCell ref="C38:F43"/>
    <mergeCell ref="G38:G47"/>
    <mergeCell ref="AG38:AJ43"/>
    <mergeCell ref="O41:P41"/>
    <mergeCell ref="Q41:T41"/>
    <mergeCell ref="N42:Q42"/>
    <mergeCell ref="DW45:DZ45"/>
    <mergeCell ref="BW45:BZ45"/>
    <mergeCell ref="CM45:CP45"/>
    <mergeCell ref="CS45:CV45"/>
    <mergeCell ref="DV38:DV47"/>
    <mergeCell ref="DW38:DZ43"/>
    <mergeCell ref="AR39:AU39"/>
    <mergeCell ref="AV39:AW39"/>
    <mergeCell ref="AX39:BA39"/>
    <mergeCell ref="DQ46:DT46"/>
    <mergeCell ref="DW46:DZ46"/>
    <mergeCell ref="BC45:BF45"/>
    <mergeCell ref="BI45:BL45"/>
    <mergeCell ref="DI39:DL39"/>
    <mergeCell ref="DM39:DN39"/>
    <mergeCell ref="AU44:AX44"/>
    <mergeCell ref="DL44:DO44"/>
    <mergeCell ref="DO39:DR39"/>
    <mergeCell ref="DI40:DL40"/>
    <mergeCell ref="BC46:BF46"/>
    <mergeCell ref="BI46:BL46"/>
    <mergeCell ref="BQ45:BT45"/>
    <mergeCell ref="BQ46:BT46"/>
    <mergeCell ref="DO38:DR38"/>
    <mergeCell ref="W54:Z54"/>
    <mergeCell ref="CM46:CP46"/>
    <mergeCell ref="CS46:CV46"/>
    <mergeCell ref="DE47:DG47"/>
    <mergeCell ref="V47:X47"/>
    <mergeCell ref="DQ47:DU47"/>
    <mergeCell ref="DW47:DY47"/>
    <mergeCell ref="C48:C64"/>
    <mergeCell ref="D48:F48"/>
    <mergeCell ref="G48:H48"/>
    <mergeCell ref="I48:L48"/>
    <mergeCell ref="M48:M57"/>
    <mergeCell ref="N48:Q53"/>
    <mergeCell ref="BR47:BT47"/>
    <mergeCell ref="BV47:BZ47"/>
    <mergeCell ref="CM47:CQ47"/>
    <mergeCell ref="CS47:CU47"/>
    <mergeCell ref="DF48:DG48"/>
    <mergeCell ref="DF49:DG49"/>
    <mergeCell ref="DF50:DG50"/>
    <mergeCell ref="DF51:DG51"/>
    <mergeCell ref="V49:W49"/>
    <mergeCell ref="X49:Y49"/>
    <mergeCell ref="AG48:AG64"/>
    <mergeCell ref="Z49:AA49"/>
    <mergeCell ref="V50:W50"/>
    <mergeCell ref="X50:Y50"/>
    <mergeCell ref="Z50:AA50"/>
    <mergeCell ref="V51:W51"/>
    <mergeCell ref="X51:Y51"/>
    <mergeCell ref="Z51:AA51"/>
    <mergeCell ref="W52:Z52"/>
    <mergeCell ref="V53:W53"/>
    <mergeCell ref="X53:Y53"/>
    <mergeCell ref="Z53:AA53"/>
    <mergeCell ref="G50:H50"/>
    <mergeCell ref="I50:L50"/>
    <mergeCell ref="AH50:AJ50"/>
    <mergeCell ref="DP48:DP57"/>
    <mergeCell ref="DQ48:DT48"/>
    <mergeCell ref="DU48:DV48"/>
    <mergeCell ref="DW48:DY48"/>
    <mergeCell ref="BW49:BZ49"/>
    <mergeCell ref="BW50:BZ50"/>
    <mergeCell ref="BB48:BB57"/>
    <mergeCell ref="BC48:BF48"/>
    <mergeCell ref="BG48:BH48"/>
    <mergeCell ref="BI48:BK48"/>
    <mergeCell ref="BL48:BL64"/>
    <mergeCell ref="BQ48:BQ64"/>
    <mergeCell ref="BC49:BF49"/>
    <mergeCell ref="BG49:BH49"/>
    <mergeCell ref="BI49:BK49"/>
    <mergeCell ref="BC53:BF53"/>
    <mergeCell ref="BC51:BF51"/>
    <mergeCell ref="BG51:BH51"/>
    <mergeCell ref="BI51:BK51"/>
    <mergeCell ref="BZ58:CA58"/>
    <mergeCell ref="AB48:AB64"/>
    <mergeCell ref="CS49:CU49"/>
    <mergeCell ref="CM50:CP50"/>
    <mergeCell ref="BR48:BT48"/>
    <mergeCell ref="BU48:BV48"/>
    <mergeCell ref="BW48:BZ48"/>
    <mergeCell ref="CA48:CA57"/>
    <mergeCell ref="CB48:CE53"/>
    <mergeCell ref="CH48:CK53"/>
    <mergeCell ref="BR49:BT49"/>
    <mergeCell ref="BU49:BV49"/>
    <mergeCell ref="CP52:CS52"/>
    <mergeCell ref="BW51:BZ51"/>
    <mergeCell ref="CM51:CP51"/>
    <mergeCell ref="CQ51:CR51"/>
    <mergeCell ref="CS51:CU51"/>
    <mergeCell ref="BR51:BT51"/>
    <mergeCell ref="BU51:BV51"/>
    <mergeCell ref="BR53:BT53"/>
    <mergeCell ref="BU53:BV53"/>
    <mergeCell ref="BW53:BZ53"/>
    <mergeCell ref="CM53:CP53"/>
    <mergeCell ref="CL48:CL57"/>
    <mergeCell ref="CM48:CP48"/>
    <mergeCell ref="CQ48:CR48"/>
    <mergeCell ref="DU50:DV50"/>
    <mergeCell ref="DW50:DY50"/>
    <mergeCell ref="D51:F51"/>
    <mergeCell ref="G51:H51"/>
    <mergeCell ref="I51:L51"/>
    <mergeCell ref="AH51:AJ51"/>
    <mergeCell ref="AK51:AL51"/>
    <mergeCell ref="CQ50:CR50"/>
    <mergeCell ref="CS50:CU50"/>
    <mergeCell ref="DQ50:DT50"/>
    <mergeCell ref="AM50:AP50"/>
    <mergeCell ref="BC50:BF50"/>
    <mergeCell ref="BG50:BH50"/>
    <mergeCell ref="BI50:BK50"/>
    <mergeCell ref="BR50:BT50"/>
    <mergeCell ref="BU50:BV50"/>
    <mergeCell ref="DH48:DH64"/>
    <mergeCell ref="DQ51:DT51"/>
    <mergeCell ref="DU51:DV51"/>
    <mergeCell ref="DW51:DY51"/>
    <mergeCell ref="F52:I52"/>
    <mergeCell ref="AJ52:AM52"/>
    <mergeCell ref="BF52:BI52"/>
    <mergeCell ref="BT52:BW52"/>
    <mergeCell ref="DT52:DW52"/>
    <mergeCell ref="D53:F53"/>
    <mergeCell ref="G53:H53"/>
    <mergeCell ref="I53:L53"/>
    <mergeCell ref="AH53:AJ53"/>
    <mergeCell ref="AK53:AL53"/>
    <mergeCell ref="AM53:AP53"/>
    <mergeCell ref="H55:K55"/>
    <mergeCell ref="N55:Q55"/>
    <mergeCell ref="DU53:DV53"/>
    <mergeCell ref="DW53:DY53"/>
    <mergeCell ref="F54:I54"/>
    <mergeCell ref="AJ54:AM54"/>
    <mergeCell ref="BF54:BI54"/>
    <mergeCell ref="BT54:BW54"/>
    <mergeCell ref="CP54:CS54"/>
    <mergeCell ref="DT54:DW54"/>
    <mergeCell ref="CQ53:CR53"/>
    <mergeCell ref="CS53:CU53"/>
    <mergeCell ref="DQ53:DT53"/>
    <mergeCell ref="BG53:BH53"/>
    <mergeCell ref="BI53:BK53"/>
    <mergeCell ref="CH55:CK55"/>
    <mergeCell ref="CN55:CQ55"/>
    <mergeCell ref="DL55:DO55"/>
    <mergeCell ref="DR55:DU55"/>
    <mergeCell ref="AL55:AO55"/>
    <mergeCell ref="AR55:AU55"/>
    <mergeCell ref="AX55:BA55"/>
    <mergeCell ref="BD55:BG55"/>
    <mergeCell ref="BV55:BY55"/>
    <mergeCell ref="CB55:CE55"/>
    <mergeCell ref="DL56:DO56"/>
    <mergeCell ref="DR56:DU56"/>
    <mergeCell ref="AL56:AO56"/>
    <mergeCell ref="AR56:AU56"/>
    <mergeCell ref="AX56:BA56"/>
    <mergeCell ref="BD56:BG56"/>
    <mergeCell ref="BV56:BY56"/>
    <mergeCell ref="CB56:CE56"/>
    <mergeCell ref="CV48:CV64"/>
    <mergeCell ref="DA48:DA64"/>
    <mergeCell ref="CM49:CP49"/>
    <mergeCell ref="CQ49:CR49"/>
    <mergeCell ref="DQ49:DT49"/>
    <mergeCell ref="DU49:DV49"/>
    <mergeCell ref="AK48:AL48"/>
    <mergeCell ref="AM48:AP48"/>
    <mergeCell ref="J57:L57"/>
    <mergeCell ref="N57:O57"/>
    <mergeCell ref="CH56:CK56"/>
    <mergeCell ref="CN56:CQ56"/>
    <mergeCell ref="H56:K56"/>
    <mergeCell ref="N56:Q56"/>
    <mergeCell ref="CJ57:CK57"/>
    <mergeCell ref="CM57:CO57"/>
    <mergeCell ref="DN57:DO57"/>
    <mergeCell ref="U48:U64"/>
    <mergeCell ref="AH48:AJ48"/>
    <mergeCell ref="AQ48:AQ57"/>
    <mergeCell ref="AR48:AU53"/>
    <mergeCell ref="AX48:BA53"/>
    <mergeCell ref="AH49:AJ49"/>
    <mergeCell ref="AK49:AL49"/>
    <mergeCell ref="AM49:AP49"/>
    <mergeCell ref="AK50:AL50"/>
    <mergeCell ref="AM51:AP51"/>
    <mergeCell ref="AN58:AO58"/>
    <mergeCell ref="AP58:AQ58"/>
    <mergeCell ref="AR58:AS58"/>
    <mergeCell ref="AT58:AT64"/>
    <mergeCell ref="AY58:AY64"/>
    <mergeCell ref="DQ57:DS57"/>
    <mergeCell ref="AN57:AP57"/>
    <mergeCell ref="AR57:AS57"/>
    <mergeCell ref="AZ57:BA57"/>
    <mergeCell ref="BC57:BE57"/>
    <mergeCell ref="BX57:BZ57"/>
    <mergeCell ref="CB57:CC57"/>
    <mergeCell ref="I58:I64"/>
    <mergeCell ref="J58:K58"/>
    <mergeCell ref="L58:M58"/>
    <mergeCell ref="N58:O58"/>
    <mergeCell ref="P58:P64"/>
    <mergeCell ref="J59:K59"/>
    <mergeCell ref="L59:M59"/>
    <mergeCell ref="N59:O59"/>
    <mergeCell ref="J60:K60"/>
    <mergeCell ref="V58:W58"/>
    <mergeCell ref="V59:W59"/>
    <mergeCell ref="BX58:BY58"/>
    <mergeCell ref="BB59:BC59"/>
    <mergeCell ref="BD59:BE59"/>
    <mergeCell ref="BX59:BY59"/>
    <mergeCell ref="BB60:BC60"/>
    <mergeCell ref="AM58:AM64"/>
    <mergeCell ref="DR58:DS58"/>
    <mergeCell ref="DT58:DT64"/>
    <mergeCell ref="DN59:DO59"/>
    <mergeCell ref="DP59:DQ59"/>
    <mergeCell ref="DR59:DS59"/>
    <mergeCell ref="DR60:DS60"/>
    <mergeCell ref="CN58:CO58"/>
    <mergeCell ref="CP58:CP64"/>
    <mergeCell ref="DB58:DC58"/>
    <mergeCell ref="DD58:DE58"/>
    <mergeCell ref="DF58:DG58"/>
    <mergeCell ref="CN59:CO59"/>
    <mergeCell ref="DB59:DC59"/>
    <mergeCell ref="DD59:DE59"/>
    <mergeCell ref="DF59:DG59"/>
    <mergeCell ref="DM58:DM64"/>
    <mergeCell ref="DN58:DO58"/>
    <mergeCell ref="DO62:DR62"/>
    <mergeCell ref="DN63:DO63"/>
    <mergeCell ref="DP63:DQ63"/>
    <mergeCell ref="DP60:DQ60"/>
    <mergeCell ref="DP58:DQ58"/>
    <mergeCell ref="DR63:DS63"/>
    <mergeCell ref="X59:Y59"/>
    <mergeCell ref="Z59:AA59"/>
    <mergeCell ref="AN59:AO59"/>
    <mergeCell ref="AP59:AQ59"/>
    <mergeCell ref="AR59:AS59"/>
    <mergeCell ref="AZ59:BA59"/>
    <mergeCell ref="Z58:AA58"/>
    <mergeCell ref="X58:Y58"/>
    <mergeCell ref="AN63:AO63"/>
    <mergeCell ref="X60:Y60"/>
    <mergeCell ref="Z60:AA60"/>
    <mergeCell ref="AN60:AO60"/>
    <mergeCell ref="AP60:AQ60"/>
    <mergeCell ref="AR60:AS60"/>
    <mergeCell ref="AZ60:BA60"/>
    <mergeCell ref="Z61:AA61"/>
    <mergeCell ref="AN61:AO61"/>
    <mergeCell ref="AP61:AQ61"/>
    <mergeCell ref="AR61:AS61"/>
    <mergeCell ref="Z63:AA63"/>
    <mergeCell ref="CB58:CC58"/>
    <mergeCell ref="CD58:CD64"/>
    <mergeCell ref="CI58:CI64"/>
    <mergeCell ref="CJ58:CK58"/>
    <mergeCell ref="CL58:CM58"/>
    <mergeCell ref="BZ59:CA59"/>
    <mergeCell ref="CB59:CC59"/>
    <mergeCell ref="CJ59:CK59"/>
    <mergeCell ref="CL59:CM59"/>
    <mergeCell ref="BZ63:CA63"/>
    <mergeCell ref="CB63:CC63"/>
    <mergeCell ref="CJ63:CK63"/>
    <mergeCell ref="CL63:CM63"/>
    <mergeCell ref="BD60:BE60"/>
    <mergeCell ref="BX60:BY60"/>
    <mergeCell ref="J63:K63"/>
    <mergeCell ref="L63:M63"/>
    <mergeCell ref="N63:O63"/>
    <mergeCell ref="V63:W63"/>
    <mergeCell ref="X63:Y63"/>
    <mergeCell ref="D49:F49"/>
    <mergeCell ref="G49:H49"/>
    <mergeCell ref="I49:L49"/>
    <mergeCell ref="J61:K61"/>
    <mergeCell ref="L61:M61"/>
    <mergeCell ref="N61:O61"/>
    <mergeCell ref="K62:N62"/>
    <mergeCell ref="W62:Z62"/>
    <mergeCell ref="AO62:AR62"/>
    <mergeCell ref="BA62:BD62"/>
    <mergeCell ref="BY62:CB62"/>
    <mergeCell ref="BZ60:CA60"/>
    <mergeCell ref="CB60:CC60"/>
    <mergeCell ref="AZ58:BA58"/>
    <mergeCell ref="BB58:BC58"/>
    <mergeCell ref="BD58:BE58"/>
    <mergeCell ref="BF58:BF64"/>
    <mergeCell ref="BD63:BE63"/>
    <mergeCell ref="BX63:BY63"/>
    <mergeCell ref="DW49:DY49"/>
    <mergeCell ref="D50:F50"/>
    <mergeCell ref="V61:W61"/>
    <mergeCell ref="X61:Y61"/>
    <mergeCell ref="DF61:DG61"/>
    <mergeCell ref="AZ61:BA61"/>
    <mergeCell ref="BB61:BC61"/>
    <mergeCell ref="BD61:BE61"/>
    <mergeCell ref="BX61:BY61"/>
    <mergeCell ref="BZ61:CA61"/>
    <mergeCell ref="CB61:CC61"/>
    <mergeCell ref="L60:M60"/>
    <mergeCell ref="N60:O60"/>
    <mergeCell ref="V60:W60"/>
    <mergeCell ref="CN60:CO60"/>
    <mergeCell ref="DB60:DC60"/>
    <mergeCell ref="DD60:DE60"/>
    <mergeCell ref="DF60:DG60"/>
    <mergeCell ref="DN60:DO60"/>
    <mergeCell ref="DP61:DQ61"/>
    <mergeCell ref="DR61:DS61"/>
    <mergeCell ref="DD61:DE61"/>
    <mergeCell ref="AF66:AI66"/>
    <mergeCell ref="AL66:AO66"/>
    <mergeCell ref="AR66:AU66"/>
    <mergeCell ref="AX66:BA66"/>
    <mergeCell ref="DX65:EA65"/>
    <mergeCell ref="DF65:DI65"/>
    <mergeCell ref="DL65:DO65"/>
    <mergeCell ref="DR65:DU65"/>
    <mergeCell ref="K64:N64"/>
    <mergeCell ref="W64:Z64"/>
    <mergeCell ref="AO64:AR64"/>
    <mergeCell ref="BA64:BD64"/>
    <mergeCell ref="BY64:CB64"/>
    <mergeCell ref="CK64:CN64"/>
    <mergeCell ref="DC64:DF64"/>
    <mergeCell ref="DO64:DR64"/>
    <mergeCell ref="DZ48:DZ64"/>
    <mergeCell ref="AP63:AQ63"/>
    <mergeCell ref="AR63:AS63"/>
    <mergeCell ref="AZ63:BA63"/>
    <mergeCell ref="BB63:BC63"/>
    <mergeCell ref="DC62:DF62"/>
    <mergeCell ref="CN63:CO63"/>
    <mergeCell ref="DB63:DC63"/>
    <mergeCell ref="B65:E65"/>
    <mergeCell ref="H65:K65"/>
    <mergeCell ref="N65:Q65"/>
    <mergeCell ref="T65:W65"/>
    <mergeCell ref="B66:E66"/>
    <mergeCell ref="H66:K66"/>
    <mergeCell ref="N66:Q66"/>
    <mergeCell ref="T66:W66"/>
    <mergeCell ref="Z66:AC66"/>
    <mergeCell ref="DR66:DU66"/>
    <mergeCell ref="DX66:EA66"/>
    <mergeCell ref="CB66:CE66"/>
    <mergeCell ref="CH66:CK66"/>
    <mergeCell ref="CN66:CQ66"/>
    <mergeCell ref="CT66:CW66"/>
    <mergeCell ref="CZ66:DC66"/>
    <mergeCell ref="BD66:BG66"/>
    <mergeCell ref="BJ66:BM66"/>
    <mergeCell ref="BP66:BS66"/>
    <mergeCell ref="BV66:BY66"/>
    <mergeCell ref="DF66:DI66"/>
    <mergeCell ref="CR85:CU85"/>
    <mergeCell ref="CC87:CP87"/>
    <mergeCell ref="BH69:BU70"/>
    <mergeCell ref="CL85:CO85"/>
    <mergeCell ref="CL86:CO86"/>
    <mergeCell ref="BN71:BN75"/>
    <mergeCell ref="BJ73:BM73"/>
    <mergeCell ref="BP73:BS73"/>
    <mergeCell ref="BJ74:BM74"/>
    <mergeCell ref="BP74:BS74"/>
    <mergeCell ref="BJ76:BM76"/>
    <mergeCell ref="BN76:BO76"/>
    <mergeCell ref="BP76:BS76"/>
    <mergeCell ref="BP77:BS77"/>
    <mergeCell ref="BJ78:BM78"/>
    <mergeCell ref="BN78:BO78"/>
    <mergeCell ref="BP78:BS78"/>
    <mergeCell ref="BJ79:BM79"/>
    <mergeCell ref="BN79:BO79"/>
    <mergeCell ref="BP79:BS79"/>
    <mergeCell ref="BM80:BP80"/>
    <mergeCell ref="BJ81:BM81"/>
    <mergeCell ref="BN81:BO81"/>
    <mergeCell ref="BP81:BS81"/>
    <mergeCell ref="BO7:CR7"/>
    <mergeCell ref="CS7:DE7"/>
    <mergeCell ref="DL66:DO66"/>
    <mergeCell ref="CT65:CW65"/>
    <mergeCell ref="CZ65:DC65"/>
    <mergeCell ref="BJ65:BM65"/>
    <mergeCell ref="BP65:BS65"/>
    <mergeCell ref="BV65:BY65"/>
    <mergeCell ref="CB65:CE65"/>
    <mergeCell ref="CH65:CK65"/>
    <mergeCell ref="CN65:CQ65"/>
    <mergeCell ref="DD63:DE63"/>
    <mergeCell ref="DF63:DG63"/>
    <mergeCell ref="DL48:DO53"/>
    <mergeCell ref="CS48:CU48"/>
    <mergeCell ref="DN61:DO61"/>
    <mergeCell ref="CK62:CN62"/>
    <mergeCell ref="CJ61:CK61"/>
    <mergeCell ref="CL61:CM61"/>
    <mergeCell ref="CN61:CO61"/>
    <mergeCell ref="DB61:DC61"/>
    <mergeCell ref="CJ60:CK60"/>
    <mergeCell ref="CL60:CM60"/>
    <mergeCell ref="BW58:BW64"/>
    <mergeCell ref="DF10:DS11"/>
    <mergeCell ref="DG106:DP108"/>
    <mergeCell ref="CS106:DB108"/>
    <mergeCell ref="CE106:CN108"/>
    <mergeCell ref="BQ106:BZ108"/>
    <mergeCell ref="BC106:BL108"/>
    <mergeCell ref="AO106:AX108"/>
    <mergeCell ref="AA106:AJ108"/>
    <mergeCell ref="M106:V108"/>
    <mergeCell ref="Z65:AC65"/>
    <mergeCell ref="AF65:AI65"/>
    <mergeCell ref="AL65:AO65"/>
    <mergeCell ref="AR65:AU65"/>
    <mergeCell ref="AX65:BA65"/>
    <mergeCell ref="BB95:BE95"/>
    <mergeCell ref="BD65:BG65"/>
    <mergeCell ref="CR87:DD87"/>
    <mergeCell ref="BO75:CP75"/>
    <mergeCell ref="AM75:BM75"/>
    <mergeCell ref="AL76:AL87"/>
    <mergeCell ref="CQ76:CQ87"/>
    <mergeCell ref="CR76:CU81"/>
    <mergeCell ref="AH76:AK81"/>
    <mergeCell ref="CR86:CU86"/>
  </mergeCells>
  <phoneticPr fontId="2"/>
  <conditionalFormatting sqref="C48:C64">
    <cfRule type="expression" dxfId="617" priority="357" stopIfTrue="1">
      <formula>$C$46&lt;=$I$46</formula>
    </cfRule>
  </conditionalFormatting>
  <conditionalFormatting sqref="D47:F47">
    <cfRule type="expression" dxfId="616" priority="319" stopIfTrue="1">
      <formula>$C$46&lt;=$I$46</formula>
    </cfRule>
  </conditionalFormatting>
  <conditionalFormatting sqref="G38:G47">
    <cfRule type="expression" dxfId="615" priority="299" stopIfTrue="1">
      <formula>$C$46&lt;$I$46</formula>
    </cfRule>
    <cfRule type="expression" dxfId="614" priority="298" stopIfTrue="1">
      <formula>$C$46=$I$46</formula>
    </cfRule>
  </conditionalFormatting>
  <conditionalFormatting sqref="H37 P37">
    <cfRule type="expression" dxfId="613" priority="413" stopIfTrue="1">
      <formula>$N$36&lt;=#REF!</formula>
    </cfRule>
  </conditionalFormatting>
  <conditionalFormatting sqref="H47:L47">
    <cfRule type="expression" dxfId="612" priority="305" stopIfTrue="1">
      <formula>$I$46&lt;=$C$46</formula>
    </cfRule>
  </conditionalFormatting>
  <conditionalFormatting sqref="H37:N37">
    <cfRule type="expression" dxfId="611" priority="189">
      <formula>$K$36&lt;=$Q$36</formula>
    </cfRule>
  </conditionalFormatting>
  <conditionalFormatting sqref="I58:I64">
    <cfRule type="expression" dxfId="610" priority="356" stopIfTrue="1">
      <formula>$H$56&lt;=$N$56</formula>
    </cfRule>
  </conditionalFormatting>
  <conditionalFormatting sqref="J57:L57">
    <cfRule type="expression" dxfId="609" priority="324" stopIfTrue="1">
      <formula>$H$56&lt;=$N$56</formula>
    </cfRule>
  </conditionalFormatting>
  <conditionalFormatting sqref="L3:L8 AP3:AP8 BO3:CP8 CS3:DE8 AQ6:BB8">
    <cfRule type="expression" dxfId="608" priority="358" stopIfTrue="1">
      <formula>#REF!=""</formula>
    </cfRule>
  </conditionalFormatting>
  <conditionalFormatting sqref="M48:M57">
    <cfRule type="expression" dxfId="607" priority="337" stopIfTrue="1">
      <formula>$N$56=$H$56</formula>
    </cfRule>
    <cfRule type="expression" dxfId="606" priority="338" stopIfTrue="1">
      <formula>$N$56&lt;$H$56</formula>
    </cfRule>
  </conditionalFormatting>
  <conditionalFormatting sqref="N57:O57">
    <cfRule type="expression" dxfId="605" priority="312" stopIfTrue="1">
      <formula>$N$56&lt;=$H$56</formula>
    </cfRule>
  </conditionalFormatting>
  <conditionalFormatting sqref="O28:O37">
    <cfRule type="expression" dxfId="604" priority="190">
      <formula>$K$36&lt;$Q$36</formula>
    </cfRule>
    <cfRule type="expression" dxfId="603" priority="191">
      <formula>$K$36=$Q$36</formula>
    </cfRule>
  </conditionalFormatting>
  <conditionalFormatting sqref="P58:P64">
    <cfRule type="expression" dxfId="602" priority="349" stopIfTrue="1">
      <formula>$N$56&lt;=$H$56</formula>
    </cfRule>
  </conditionalFormatting>
  <conditionalFormatting sqref="P37:X37">
    <cfRule type="expression" dxfId="601" priority="188">
      <formula>$Q$36&lt;=$K$36</formula>
    </cfRule>
  </conditionalFormatting>
  <conditionalFormatting sqref="P27:AF27">
    <cfRule type="expression" dxfId="600" priority="176">
      <formula>$AC$26&lt;=$AI$26</formula>
    </cfRule>
  </conditionalFormatting>
  <conditionalFormatting sqref="Q98:Q105">
    <cfRule type="expression" dxfId="599" priority="80" stopIfTrue="1">
      <formula>$T$96&lt;=$Z$96</formula>
    </cfRule>
  </conditionalFormatting>
  <conditionalFormatting sqref="R97:W97">
    <cfRule type="expression" dxfId="598" priority="28">
      <formula>$T$96&lt;=$Z$96</formula>
    </cfRule>
  </conditionalFormatting>
  <conditionalFormatting sqref="U48:U64">
    <cfRule type="expression" dxfId="597" priority="193" stopIfTrue="1">
      <formula>$T$46&lt;=$Z$46</formula>
    </cfRule>
  </conditionalFormatting>
  <conditionalFormatting sqref="V47:X47">
    <cfRule type="expression" dxfId="596" priority="304" stopIfTrue="1">
      <formula>$T$46&lt;=$Z$46</formula>
    </cfRule>
  </conditionalFormatting>
  <conditionalFormatting sqref="X88:X97">
    <cfRule type="expression" dxfId="595" priority="7">
      <formula>$T$96&lt;$Z$96</formula>
    </cfRule>
    <cfRule type="expression" dxfId="594" priority="8">
      <formula>$T$96=$Z$96</formula>
    </cfRule>
  </conditionalFormatting>
  <conditionalFormatting sqref="Y38:Y47">
    <cfRule type="expression" dxfId="593" priority="186">
      <formula>$Z$46&lt;$T$46</formula>
    </cfRule>
    <cfRule type="expression" dxfId="592" priority="187">
      <formula>$T$46=$Z$46</formula>
    </cfRule>
  </conditionalFormatting>
  <conditionalFormatting sqref="Y97:AE97">
    <cfRule type="expression" dxfId="591" priority="27">
      <formula>$Z$96&lt;=$T$96</formula>
    </cfRule>
  </conditionalFormatting>
  <conditionalFormatting sqref="Y87:AK87">
    <cfRule type="expression" dxfId="590" priority="20">
      <formula>$AH$86&lt;=$AN$86</formula>
    </cfRule>
  </conditionalFormatting>
  <conditionalFormatting sqref="Z47:AA47">
    <cfRule type="expression" dxfId="589" priority="185">
      <formula>$Z$46&lt;=$T$46</formula>
    </cfRule>
  </conditionalFormatting>
  <conditionalFormatting sqref="AB48:AB64">
    <cfRule type="expression" dxfId="588" priority="192" stopIfTrue="1">
      <formula>$Z$46&lt;=$T$46</formula>
    </cfRule>
  </conditionalFormatting>
  <conditionalFormatting sqref="AF98:AF105">
    <cfRule type="expression" dxfId="587" priority="35">
      <formula>$Z$96&lt;=$T$96</formula>
    </cfRule>
  </conditionalFormatting>
  <conditionalFormatting sqref="AG16:AG27">
    <cfRule type="expression" dxfId="586" priority="174">
      <formula>$AC$26&lt;$AI$26</formula>
    </cfRule>
    <cfRule type="expression" dxfId="585" priority="175">
      <formula>$AC$26=$AI$26</formula>
    </cfRule>
  </conditionalFormatting>
  <conditionalFormatting sqref="AG48:AG64">
    <cfRule type="expression" dxfId="584" priority="342" stopIfTrue="1">
      <formula>$AG$46&lt;=$AM$46</formula>
    </cfRule>
  </conditionalFormatting>
  <conditionalFormatting sqref="AH47:AJ47">
    <cfRule type="expression" dxfId="583" priority="318" stopIfTrue="1">
      <formula>$AG$46&lt;=$AM$46</formula>
    </cfRule>
  </conditionalFormatting>
  <conditionalFormatting sqref="AH27:AV27">
    <cfRule type="expression" dxfId="582" priority="269" stopIfTrue="1">
      <formula>$AI$26&lt;=$AC$26</formula>
    </cfRule>
  </conditionalFormatting>
  <conditionalFormatting sqref="AH15:BM15">
    <cfRule type="expression" dxfId="581" priority="359" stopIfTrue="1">
      <formula>$BJ$14&lt;=$BP$14</formula>
    </cfRule>
  </conditionalFormatting>
  <conditionalFormatting sqref="AK38:AK47">
    <cfRule type="expression" dxfId="580" priority="297" stopIfTrue="1">
      <formula>$AG$46&lt;$AM$46</formula>
    </cfRule>
    <cfRule type="expression" dxfId="579" priority="296" stopIfTrue="1">
      <formula>$AG$46=$AM$46</formula>
    </cfRule>
  </conditionalFormatting>
  <conditionalFormatting sqref="AL76:AL87">
    <cfRule type="expression" dxfId="578" priority="12">
      <formula>$AH$86=$AN$86</formula>
    </cfRule>
    <cfRule type="expression" dxfId="577" priority="11">
      <formula>$AH$86&lt;$AN$86</formula>
    </cfRule>
  </conditionalFormatting>
  <conditionalFormatting sqref="AL47:AP47">
    <cfRule type="expression" dxfId="576" priority="303" stopIfTrue="1">
      <formula>$AM$46&lt;=$AG$46</formula>
    </cfRule>
  </conditionalFormatting>
  <conditionalFormatting sqref="AL37:AV37">
    <cfRule type="expression" dxfId="575" priority="280" stopIfTrue="1">
      <formula>$AR$36&lt;=$AX$36</formula>
    </cfRule>
  </conditionalFormatting>
  <conditionalFormatting sqref="AM58:AM64">
    <cfRule type="expression" dxfId="574" priority="353" stopIfTrue="1">
      <formula>$AL$56&lt;=$AR$56</formula>
    </cfRule>
  </conditionalFormatting>
  <conditionalFormatting sqref="AM87:AZ87">
    <cfRule type="expression" dxfId="573" priority="19">
      <formula>$AN$86&lt;=$AH$86</formula>
    </cfRule>
  </conditionalFormatting>
  <conditionalFormatting sqref="AM75:BM75">
    <cfRule type="expression" dxfId="572" priority="16">
      <formula>$BJ$74&lt;=$BP$74</formula>
    </cfRule>
  </conditionalFormatting>
  <conditionalFormatting sqref="AN57:AP57">
    <cfRule type="expression" dxfId="571" priority="322" stopIfTrue="1">
      <formula>$AL$56&lt;=$AR$56</formula>
    </cfRule>
  </conditionalFormatting>
  <conditionalFormatting sqref="AQ48:AQ57">
    <cfRule type="expression" dxfId="570" priority="333" stopIfTrue="1">
      <formula>$AR$56=$AL$56</formula>
    </cfRule>
    <cfRule type="expression" dxfId="569" priority="334" stopIfTrue="1">
      <formula>$AR$56&lt;$AL$56</formula>
    </cfRule>
  </conditionalFormatting>
  <conditionalFormatting sqref="AR57:AS57">
    <cfRule type="expression" dxfId="568" priority="309" stopIfTrue="1">
      <formula>$AR$56&lt;=$AL$56</formula>
    </cfRule>
  </conditionalFormatting>
  <conditionalFormatting sqref="AS98:AS105">
    <cfRule type="expression" dxfId="567" priority="34">
      <formula>$AV$96&lt;=$BB$96</formula>
    </cfRule>
  </conditionalFormatting>
  <conditionalFormatting sqref="AT58:AT64">
    <cfRule type="expression" dxfId="566" priority="346" stopIfTrue="1">
      <formula>$AR$56&lt;=$AL$56</formula>
    </cfRule>
  </conditionalFormatting>
  <conditionalFormatting sqref="AT97:AZ97">
    <cfRule type="expression" dxfId="565" priority="26">
      <formula>$AV$96&lt;=$BB$96</formula>
    </cfRule>
  </conditionalFormatting>
  <conditionalFormatting sqref="AW28:AW37">
    <cfRule type="expression" dxfId="564" priority="273" stopIfTrue="1">
      <formula>$AX$36=$AR$36</formula>
    </cfRule>
    <cfRule type="expression" dxfId="563" priority="274" stopIfTrue="1">
      <formula>$AX$36&lt;$AR$36</formula>
    </cfRule>
  </conditionalFormatting>
  <conditionalFormatting sqref="AX37:BG37">
    <cfRule type="expression" dxfId="562" priority="285" stopIfTrue="1">
      <formula>$AX$36&lt;=$AR$36</formula>
    </cfRule>
  </conditionalFormatting>
  <conditionalFormatting sqref="AY58:AY64">
    <cfRule type="expression" dxfId="561" priority="352" stopIfTrue="1">
      <formula>$AX$56&lt;=$BD$56</formula>
    </cfRule>
  </conditionalFormatting>
  <conditionalFormatting sqref="AZ57:BA57">
    <cfRule type="expression" dxfId="560" priority="308" stopIfTrue="1">
      <formula>$AX$56&lt;=$BD$56</formula>
    </cfRule>
  </conditionalFormatting>
  <conditionalFormatting sqref="BA88:BA97">
    <cfRule type="expression" dxfId="559" priority="5">
      <formula>$BB$96&lt;$AV$96</formula>
    </cfRule>
    <cfRule type="expression" dxfId="558" priority="6">
      <formula>$BB$96=$AV$96</formula>
    </cfRule>
  </conditionalFormatting>
  <conditionalFormatting sqref="BB48:BB57">
    <cfRule type="expression" dxfId="557" priority="327" stopIfTrue="1">
      <formula>$AX$56=$BD$56</formula>
    </cfRule>
    <cfRule type="expression" dxfId="556" priority="328" stopIfTrue="1">
      <formula>$AX$56&lt;$BD$56</formula>
    </cfRule>
  </conditionalFormatting>
  <conditionalFormatting sqref="BB97:BG97">
    <cfRule type="expression" dxfId="555" priority="25">
      <formula>$BB$96&lt;=$AV$96</formula>
    </cfRule>
  </conditionalFormatting>
  <conditionalFormatting sqref="BC57:BE57">
    <cfRule type="expression" dxfId="554" priority="313" stopIfTrue="1">
      <formula>$BD$56&lt;=$AX$56</formula>
    </cfRule>
  </conditionalFormatting>
  <conditionalFormatting sqref="BC47:BG47">
    <cfRule type="expression" dxfId="553" priority="302" stopIfTrue="1">
      <formula>$BC$46&lt;=$BI$46</formula>
    </cfRule>
  </conditionalFormatting>
  <conditionalFormatting sqref="BF58:BF64">
    <cfRule type="expression" dxfId="552" priority="345" stopIfTrue="1">
      <formula>$BD$56&lt;=$AX$56</formula>
    </cfRule>
  </conditionalFormatting>
  <conditionalFormatting sqref="BH38:BH47">
    <cfRule type="expression" dxfId="551" priority="290" stopIfTrue="1">
      <formula>$BI$46&lt;$BC$46</formula>
    </cfRule>
    <cfRule type="expression" dxfId="550" priority="289" stopIfTrue="1">
      <formula>$BI$46=$BC$46</formula>
    </cfRule>
  </conditionalFormatting>
  <conditionalFormatting sqref="BH98:BH105">
    <cfRule type="expression" dxfId="549" priority="33">
      <formula>$BB$96&lt;=$AV$96</formula>
    </cfRule>
  </conditionalFormatting>
  <conditionalFormatting sqref="BI47:BK47">
    <cfRule type="expression" dxfId="548" priority="317" stopIfTrue="1">
      <formula>$BI$46&lt;=$BC$46</formula>
    </cfRule>
  </conditionalFormatting>
  <conditionalFormatting sqref="BL48:BL64">
    <cfRule type="expression" dxfId="547" priority="340" stopIfTrue="1">
      <formula>$BI$46&lt;=$BC$46</formula>
    </cfRule>
  </conditionalFormatting>
  <conditionalFormatting sqref="BN11:BN15">
    <cfRule type="expression" dxfId="546" priority="361" stopIfTrue="1">
      <formula>$BJ$14&lt;$BP$14</formula>
    </cfRule>
    <cfRule type="expression" dxfId="545" priority="360" stopIfTrue="1">
      <formula>$BJ$14=$BP$14</formula>
    </cfRule>
  </conditionalFormatting>
  <conditionalFormatting sqref="BN71:BN75">
    <cfRule type="expression" dxfId="544" priority="13">
      <formula>$BJ$74&lt;$BP$74</formula>
    </cfRule>
    <cfRule type="expression" dxfId="543" priority="14">
      <formula>$BJ$74=$BP$74</formula>
    </cfRule>
  </conditionalFormatting>
  <conditionalFormatting sqref="BO75:CP75">
    <cfRule type="expression" dxfId="542" priority="15">
      <formula>$BP$74&lt;=$BJ$74</formula>
    </cfRule>
  </conditionalFormatting>
  <conditionalFormatting sqref="BO15:CU15">
    <cfRule type="expression" dxfId="541" priority="200">
      <formula>$BP$14&lt;=$BJ$14</formula>
    </cfRule>
  </conditionalFormatting>
  <conditionalFormatting sqref="BQ48:BQ64">
    <cfRule type="expression" dxfId="540" priority="341" stopIfTrue="1">
      <formula>$BQ$46&lt;=$BW$46</formula>
    </cfRule>
  </conditionalFormatting>
  <conditionalFormatting sqref="BR47:BT47">
    <cfRule type="expression" dxfId="539" priority="316" stopIfTrue="1">
      <formula>$BQ$46&lt;=$BW$46</formula>
    </cfRule>
  </conditionalFormatting>
  <conditionalFormatting sqref="BU38:BU47">
    <cfRule type="expression" dxfId="538" priority="294" stopIfTrue="1">
      <formula>$BQ$46=$BW$46</formula>
    </cfRule>
    <cfRule type="expression" dxfId="537" priority="295" stopIfTrue="1">
      <formula>$BQ$46&lt;$BW$46</formula>
    </cfRule>
  </conditionalFormatting>
  <conditionalFormatting sqref="BU98:BU105">
    <cfRule type="expression" dxfId="536" priority="32">
      <formula>$BX$96&lt;=$CD$96</formula>
    </cfRule>
  </conditionalFormatting>
  <conditionalFormatting sqref="BV47:BZ47">
    <cfRule type="expression" dxfId="535" priority="301" stopIfTrue="1">
      <formula>$BW$46&lt;=$BQ$46</formula>
    </cfRule>
  </conditionalFormatting>
  <conditionalFormatting sqref="BV97:CA97">
    <cfRule type="expression" dxfId="534" priority="24">
      <formula>$BX$96&lt;=$CD$96</formula>
    </cfRule>
  </conditionalFormatting>
  <conditionalFormatting sqref="BV37:CE37">
    <cfRule type="expression" dxfId="533" priority="284" stopIfTrue="1">
      <formula>$CB$36&lt;=$CH$36</formula>
    </cfRule>
  </conditionalFormatting>
  <conditionalFormatting sqref="BW58:BW64">
    <cfRule type="expression" dxfId="532" priority="351" stopIfTrue="1">
      <formula>$BV$56&lt;=$CB$56</formula>
    </cfRule>
  </conditionalFormatting>
  <conditionalFormatting sqref="BX57:BZ57">
    <cfRule type="expression" dxfId="531" priority="321" stopIfTrue="1">
      <formula>$BV$56&lt;=$CB$56</formula>
    </cfRule>
  </conditionalFormatting>
  <conditionalFormatting sqref="CA48:CA57">
    <cfRule type="expression" dxfId="530" priority="332" stopIfTrue="1">
      <formula>$CB$56&lt;$BV$56</formula>
    </cfRule>
    <cfRule type="expression" dxfId="529" priority="331" stopIfTrue="1">
      <formula>$CB$56=$BV$56</formula>
    </cfRule>
  </conditionalFormatting>
  <conditionalFormatting sqref="CB88:CB97">
    <cfRule type="expression" dxfId="528" priority="4">
      <formula>$BX$96=$CD$96</formula>
    </cfRule>
    <cfRule type="expression" dxfId="527" priority="3">
      <formula>$BX$96&lt;$CD$96</formula>
    </cfRule>
  </conditionalFormatting>
  <conditionalFormatting sqref="CB57:CC57">
    <cfRule type="expression" dxfId="526" priority="307" stopIfTrue="1">
      <formula>$CB$56&lt;=$BV$56</formula>
    </cfRule>
  </conditionalFormatting>
  <conditionalFormatting sqref="CC97:CI97">
    <cfRule type="expression" dxfId="525" priority="23">
      <formula>$CD$96&lt;=$BX$96</formula>
    </cfRule>
  </conditionalFormatting>
  <conditionalFormatting sqref="CC87:CP87">
    <cfRule type="expression" dxfId="524" priority="18">
      <formula>$CL$86&lt;=$CR$86</formula>
    </cfRule>
  </conditionalFormatting>
  <conditionalFormatting sqref="CD58:CD64">
    <cfRule type="expression" dxfId="523" priority="344" stopIfTrue="1">
      <formula>$CB$56&lt;=$BV$56</formula>
    </cfRule>
  </conditionalFormatting>
  <conditionalFormatting sqref="CF28:CF37">
    <cfRule type="expression" dxfId="522" priority="275" stopIfTrue="1">
      <formula>$CB$36=$CH$36</formula>
    </cfRule>
    <cfRule type="expression" dxfId="521" priority="276" stopIfTrue="1">
      <formula>$CB$36&lt;$CH$36</formula>
    </cfRule>
  </conditionalFormatting>
  <conditionalFormatting sqref="CG37:CQ37">
    <cfRule type="expression" dxfId="520" priority="279" stopIfTrue="1">
      <formula>$CH$36&lt;=$CB$36</formula>
    </cfRule>
  </conditionalFormatting>
  <conditionalFormatting sqref="CG27:CU27">
    <cfRule type="expression" dxfId="519" priority="177">
      <formula>$CQ$26&lt;=$CW$26</formula>
    </cfRule>
  </conditionalFormatting>
  <conditionalFormatting sqref="CI58:CI64">
    <cfRule type="expression" dxfId="518" priority="350" stopIfTrue="1">
      <formula>$CH$56&lt;=$CN$56</formula>
    </cfRule>
  </conditionalFormatting>
  <conditionalFormatting sqref="CJ98:CJ105">
    <cfRule type="expression" dxfId="517" priority="31">
      <formula>$CD$96&lt;=$BX$96</formula>
    </cfRule>
  </conditionalFormatting>
  <conditionalFormatting sqref="CJ57:CK57">
    <cfRule type="expression" dxfId="516" priority="306" stopIfTrue="1">
      <formula>$CH$56&lt;=$CN$56</formula>
    </cfRule>
  </conditionalFormatting>
  <conditionalFormatting sqref="CL48:CL57">
    <cfRule type="expression" dxfId="515" priority="326" stopIfTrue="1">
      <formula>$CH$56&lt;$CN$56</formula>
    </cfRule>
    <cfRule type="expression" dxfId="514" priority="325" stopIfTrue="1">
      <formula>$CH$56=$CN$56</formula>
    </cfRule>
  </conditionalFormatting>
  <conditionalFormatting sqref="CM57:CO57">
    <cfRule type="expression" dxfId="513" priority="320" stopIfTrue="1">
      <formula>$CN$56&lt;=$CH$56</formula>
    </cfRule>
  </conditionalFormatting>
  <conditionalFormatting sqref="CM47:CQ47">
    <cfRule type="expression" dxfId="512" priority="300" stopIfTrue="1">
      <formula>$CM$46&lt;=$CS$46</formula>
    </cfRule>
  </conditionalFormatting>
  <conditionalFormatting sqref="CP58:CP64">
    <cfRule type="expression" dxfId="511" priority="343" stopIfTrue="1">
      <formula>$CN$56&lt;=$CH$56</formula>
    </cfRule>
  </conditionalFormatting>
  <conditionalFormatting sqref="CQ76:CQ87">
    <cfRule type="expression" dxfId="510" priority="9">
      <formula>$CR$86&lt;$CL$86</formula>
    </cfRule>
    <cfRule type="expression" dxfId="509" priority="10">
      <formula>$CR$86=$CL$86</formula>
    </cfRule>
  </conditionalFormatting>
  <conditionalFormatting sqref="CR38:CR47">
    <cfRule type="expression" dxfId="508" priority="288" stopIfTrue="1">
      <formula>$CS$46&lt;$CM$46</formula>
    </cfRule>
    <cfRule type="expression" dxfId="507" priority="287" stopIfTrue="1">
      <formula>$CS$46=$CM$46</formula>
    </cfRule>
  </conditionalFormatting>
  <conditionalFormatting sqref="CR87:DD87">
    <cfRule type="expression" dxfId="506" priority="17">
      <formula>$CR$86&lt;=$CL$86</formula>
    </cfRule>
  </conditionalFormatting>
  <conditionalFormatting sqref="CS47:CU47">
    <cfRule type="expression" dxfId="505" priority="315" stopIfTrue="1">
      <formula>$CS$46&lt;=$CM$46</formula>
    </cfRule>
  </conditionalFormatting>
  <conditionalFormatting sqref="CV16:CV27">
    <cfRule type="expression" dxfId="504" priority="179">
      <formula>$CW$26=$CQ$26</formula>
    </cfRule>
    <cfRule type="expression" dxfId="503" priority="178">
      <formula>$CW$26&lt;$CQ$26</formula>
    </cfRule>
  </conditionalFormatting>
  <conditionalFormatting sqref="CV48:CV64">
    <cfRule type="expression" dxfId="502" priority="339" stopIfTrue="1">
      <formula>$CS$46&lt;=$CM$46</formula>
    </cfRule>
  </conditionalFormatting>
  <conditionalFormatting sqref="CW98:CW105">
    <cfRule type="expression" dxfId="501" priority="30">
      <formula>$CZ$96&lt;=$DF$96</formula>
    </cfRule>
  </conditionalFormatting>
  <conditionalFormatting sqref="CW27:DM27">
    <cfRule type="expression" dxfId="500" priority="424">
      <formula>$CW$26&lt;=$CQ$26</formula>
    </cfRule>
  </conditionalFormatting>
  <conditionalFormatting sqref="CX97:DD97">
    <cfRule type="expression" dxfId="499" priority="22">
      <formula>$CZ$96&lt;=$DF$96</formula>
    </cfRule>
  </conditionalFormatting>
  <conditionalFormatting sqref="CY24">
    <cfRule type="expression" dxfId="498" priority="426">
      <formula>$CT$26=#REF!</formula>
    </cfRule>
    <cfRule type="expression" dxfId="497" priority="425">
      <formula>#REF!&lt;$CT$26</formula>
    </cfRule>
  </conditionalFormatting>
  <conditionalFormatting sqref="DA48:DA64">
    <cfRule type="expression" dxfId="496" priority="195" stopIfTrue="1">
      <formula>$CZ$46&lt;=$DF$46</formula>
    </cfRule>
  </conditionalFormatting>
  <conditionalFormatting sqref="DA9:DN9 DL16:DM17 DA23:DX23">
    <cfRule type="expression" dxfId="495" priority="373" stopIfTrue="1">
      <formula>$EC$1&lt;&gt;3</formula>
    </cfRule>
  </conditionalFormatting>
  <conditionalFormatting sqref="DB47:DC47">
    <cfRule type="expression" dxfId="494" priority="206" stopIfTrue="1">
      <formula>$CZ$46&lt;=$DF$46</formula>
    </cfRule>
  </conditionalFormatting>
  <conditionalFormatting sqref="DD38:DD47">
    <cfRule type="expression" dxfId="493" priority="183">
      <formula>$CZ$46&lt;$DF$46</formula>
    </cfRule>
    <cfRule type="expression" dxfId="492" priority="184">
      <formula>$CZ$46=$DF$46</formula>
    </cfRule>
  </conditionalFormatting>
  <conditionalFormatting sqref="DE16:DE22">
    <cfRule type="expression" dxfId="491" priority="363" stopIfTrue="1">
      <formula>$DH$14&lt;=$DN$14</formula>
    </cfRule>
    <cfRule type="expression" dxfId="490" priority="362" stopIfTrue="1">
      <formula>$EC$1&lt;&gt;3</formula>
    </cfRule>
  </conditionalFormatting>
  <conditionalFormatting sqref="DE88:DE97">
    <cfRule type="expression" dxfId="489" priority="1">
      <formula>$DF$96&lt;$CZ$96</formula>
    </cfRule>
    <cfRule type="expression" dxfId="488" priority="2">
      <formula>$DF$96=$CZ$96</formula>
    </cfRule>
  </conditionalFormatting>
  <conditionalFormatting sqref="DE47:DG47">
    <cfRule type="expression" dxfId="487" priority="182">
      <formula>$DF$46&lt;=$CZ$46</formula>
    </cfRule>
  </conditionalFormatting>
  <conditionalFormatting sqref="DE37:DM37">
    <cfRule type="expression" dxfId="486" priority="281" stopIfTrue="1">
      <formula>$DI$36&lt;=$DO$36</formula>
    </cfRule>
  </conditionalFormatting>
  <conditionalFormatting sqref="DF15:DK15">
    <cfRule type="expression" dxfId="485" priority="364" stopIfTrue="1">
      <formula>$EC$1&lt;&gt;3</formula>
    </cfRule>
    <cfRule type="expression" dxfId="484" priority="365" stopIfTrue="1">
      <formula>$DH$14&lt;=$DN$14</formula>
    </cfRule>
  </conditionalFormatting>
  <conditionalFormatting sqref="DF97:DK97">
    <cfRule type="expression" dxfId="483" priority="21">
      <formula>$DF$96&lt;=$CZ$96</formula>
    </cfRule>
  </conditionalFormatting>
  <conditionalFormatting sqref="DH48:DH64">
    <cfRule type="expression" dxfId="482" priority="194" stopIfTrue="1">
      <formula>$DF$46&lt;=$CZ$46</formula>
    </cfRule>
  </conditionalFormatting>
  <conditionalFormatting sqref="DL13:DL15">
    <cfRule type="expression" dxfId="481" priority="370" stopIfTrue="1">
      <formula>$EC$1&lt;&gt;3</formula>
    </cfRule>
    <cfRule type="expression" dxfId="480" priority="371" stopIfTrue="1">
      <formula>$DH$14=$DN$14</formula>
    </cfRule>
    <cfRule type="expression" dxfId="479" priority="372" stopIfTrue="1">
      <formula>$DH$14&lt;$DN$14</formula>
    </cfRule>
  </conditionalFormatting>
  <conditionalFormatting sqref="DL98:DL105">
    <cfRule type="expression" dxfId="478" priority="29">
      <formula>$DF$96&lt;=$CZ$96</formula>
    </cfRule>
  </conditionalFormatting>
  <conditionalFormatting sqref="DM58:DM64">
    <cfRule type="expression" dxfId="477" priority="221" stopIfTrue="1">
      <formula>$DL$56&lt;=$DR$56</formula>
    </cfRule>
  </conditionalFormatting>
  <conditionalFormatting sqref="DM15:DS15">
    <cfRule type="expression" dxfId="476" priority="366" stopIfTrue="1">
      <formula>$EC$1&lt;&gt;3</formula>
    </cfRule>
    <cfRule type="expression" dxfId="475" priority="367" stopIfTrue="1">
      <formula>$DN$14&lt;=$DH$14</formula>
    </cfRule>
  </conditionalFormatting>
  <conditionalFormatting sqref="DN28:DN37">
    <cfRule type="expression" dxfId="474" priority="181">
      <formula>$DO$36=$DI$36</formula>
    </cfRule>
    <cfRule type="expression" dxfId="473" priority="180">
      <formula>$DO$36&lt;$DI$36</formula>
    </cfRule>
  </conditionalFormatting>
  <conditionalFormatting sqref="DN57:DO57">
    <cfRule type="expression" dxfId="472" priority="207" stopIfTrue="1">
      <formula>$DL$56&lt;=$DR$56</formula>
    </cfRule>
  </conditionalFormatting>
  <conditionalFormatting sqref="DO37:DU37">
    <cfRule type="expression" dxfId="471" priority="283" stopIfTrue="1">
      <formula>$DO$36&lt;=$DI$36</formula>
    </cfRule>
  </conditionalFormatting>
  <conditionalFormatting sqref="DP48:DP57">
    <cfRule type="expression" dxfId="470" priority="213" stopIfTrue="1">
      <formula>$DL$56=$DR$56</formula>
    </cfRule>
    <cfRule type="expression" dxfId="469" priority="214" stopIfTrue="1">
      <formula>$DL$56&lt;$DR$56</formula>
    </cfRule>
  </conditionalFormatting>
  <conditionalFormatting sqref="DQ57:DS57">
    <cfRule type="expression" dxfId="468" priority="209" stopIfTrue="1">
      <formula>$DR$56&lt;=$DL$56</formula>
    </cfRule>
  </conditionalFormatting>
  <conditionalFormatting sqref="DQ47:DU47">
    <cfRule type="expression" dxfId="467" priority="205" stopIfTrue="1">
      <formula>$DQ$46&lt;=$DW$46</formula>
    </cfRule>
  </conditionalFormatting>
  <conditionalFormatting sqref="DT16:DT22">
    <cfRule type="expression" dxfId="466" priority="368" stopIfTrue="1">
      <formula>$EC$1&lt;&gt;3</formula>
    </cfRule>
    <cfRule type="expression" dxfId="465" priority="369" stopIfTrue="1">
      <formula>$DN$14&lt;=$DH$14</formula>
    </cfRule>
  </conditionalFormatting>
  <conditionalFormatting sqref="DT58:DT64">
    <cfRule type="expression" dxfId="464" priority="219" stopIfTrue="1">
      <formula>$DR$56&lt;=$DL$56</formula>
    </cfRule>
  </conditionalFormatting>
  <conditionalFormatting sqref="DV38:DV47">
    <cfRule type="expression" dxfId="463" priority="201" stopIfTrue="1">
      <formula>$DW$46=$DQ$46</formula>
    </cfRule>
    <cfRule type="expression" dxfId="462" priority="202" stopIfTrue="1">
      <formula>$DW$46&lt;$DQ$46</formula>
    </cfRule>
  </conditionalFormatting>
  <conditionalFormatting sqref="DW47:DY47">
    <cfRule type="expression" dxfId="461" priority="210" stopIfTrue="1">
      <formula>$DW$46&lt;=$DQ$46</formula>
    </cfRule>
  </conditionalFormatting>
  <conditionalFormatting sqref="DZ48:DZ64">
    <cfRule type="expression" dxfId="460" priority="217" stopIfTrue="1">
      <formula>$DW$46&lt;=$DQ$46</formula>
    </cfRule>
  </conditionalFormatting>
  <dataValidations count="1">
    <dataValidation type="list" allowBlank="1" showInputMessage="1" showErrorMessage="1" errorTitle="３を入力！" error="「３」以外は入力できません。" promptTitle="第3代表決定戦" prompt="シードなどの関係で第3代表を決めるときはこのセルに「３」と入力して下さい。" sqref="EC1" xr:uid="{B08B0F36-9A66-4D15-8699-88E905D224FE}">
      <formula1>"3"</formula1>
    </dataValidation>
  </dataValidations>
  <printOptions horizontalCentered="1"/>
  <pageMargins left="0.39370078740157483" right="0.39370078740157483" top="0.59055118110236227" bottom="0.39370078740157483" header="0.51181102362204722" footer="0.51181102362204722"/>
  <pageSetup paperSize="9" scale="6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84729-FA81-4837-A82F-781EA5B1B9E3}">
  <sheetPr>
    <tabColor rgb="FFC00000"/>
    <pageSetUpPr fitToPage="1"/>
  </sheetPr>
  <dimension ref="A1:FF111"/>
  <sheetViews>
    <sheetView showGridLines="0" view="pageBreakPreview" topLeftCell="B37" zoomScaleNormal="100" zoomScaleSheetLayoutView="100" workbookViewId="0">
      <selection activeCell="CB66" sqref="CB66:CE66"/>
    </sheetView>
  </sheetViews>
  <sheetFormatPr defaultColWidth="9" defaultRowHeight="14.25" x14ac:dyDescent="0.15"/>
  <cols>
    <col min="1" max="1" width="7" style="475" hidden="1" customWidth="1"/>
    <col min="2" max="131" width="1" style="475" customWidth="1"/>
    <col min="132" max="132" width="3.375" style="270" bestFit="1" customWidth="1"/>
    <col min="133" max="136" width="9" style="475"/>
    <col min="137" max="260" width="1" style="475" customWidth="1"/>
    <col min="261" max="16384" width="9" style="475"/>
  </cols>
  <sheetData>
    <row r="1" spans="1:133" ht="25.5" thickBot="1" x14ac:dyDescent="0.2">
      <c r="B1" s="476" t="str">
        <f ca="1">"令和"&amp;IF(YEAR(NOW())=2019,"元",YEAR(NOW())-2018)&amp;"年度 第"&amp;YEAR(NOW())-1999&amp;"回 加賀地区中学校サッカー大会 《 北加賀ブロック 》"</f>
        <v>令和6年度 第25回 加賀地区中学校サッカー大会 《 北加賀ブロック 》</v>
      </c>
      <c r="C1" s="476"/>
      <c r="D1" s="476"/>
      <c r="E1" s="476"/>
      <c r="F1" s="476"/>
      <c r="G1" s="476"/>
      <c r="H1" s="476"/>
      <c r="I1" s="476"/>
      <c r="J1" s="476"/>
      <c r="K1" s="476"/>
      <c r="L1" s="476"/>
      <c r="M1" s="476"/>
      <c r="N1" s="476"/>
      <c r="O1" s="476"/>
      <c r="P1" s="476"/>
      <c r="Q1" s="476"/>
      <c r="R1" s="476"/>
      <c r="S1" s="476"/>
      <c r="T1" s="476"/>
      <c r="U1" s="476"/>
      <c r="V1" s="476"/>
      <c r="W1" s="476"/>
      <c r="X1" s="476"/>
      <c r="Y1" s="476"/>
      <c r="Z1" s="476"/>
      <c r="AA1" s="476"/>
      <c r="AB1" s="476"/>
      <c r="AC1" s="476"/>
      <c r="AD1" s="476"/>
      <c r="AE1" s="476"/>
      <c r="AF1" s="476"/>
      <c r="AG1" s="476"/>
      <c r="AH1" s="476"/>
      <c r="AI1" s="476"/>
      <c r="AJ1" s="476"/>
      <c r="AK1" s="476"/>
      <c r="AL1" s="476"/>
      <c r="AM1" s="476"/>
      <c r="AN1" s="476"/>
      <c r="AO1" s="476"/>
      <c r="AP1" s="476"/>
      <c r="AQ1" s="476"/>
      <c r="AR1" s="476"/>
      <c r="AS1" s="476"/>
      <c r="AT1" s="476"/>
      <c r="AU1" s="476"/>
      <c r="AV1" s="476"/>
      <c r="AW1" s="476"/>
      <c r="AX1" s="476"/>
      <c r="AY1" s="476"/>
      <c r="AZ1" s="476"/>
      <c r="BA1" s="476"/>
      <c r="BB1" s="476"/>
      <c r="BC1" s="476"/>
      <c r="BD1" s="476"/>
      <c r="BE1" s="476"/>
      <c r="BF1" s="476"/>
      <c r="BG1" s="476"/>
      <c r="BH1" s="476"/>
      <c r="BI1" s="476"/>
      <c r="BJ1" s="476"/>
      <c r="BK1" s="476"/>
      <c r="BL1" s="476"/>
      <c r="BM1" s="476"/>
      <c r="BN1" s="476"/>
      <c r="BO1" s="476"/>
      <c r="BP1" s="476"/>
      <c r="BQ1" s="476"/>
      <c r="BR1" s="476"/>
      <c r="BS1" s="476"/>
      <c r="BT1" s="476"/>
      <c r="BU1" s="476"/>
      <c r="BV1" s="476"/>
      <c r="BW1" s="476"/>
      <c r="BX1" s="476"/>
      <c r="BY1" s="476"/>
      <c r="BZ1" s="476"/>
      <c r="CA1" s="476"/>
      <c r="CB1" s="476"/>
      <c r="CC1" s="476"/>
      <c r="CD1" s="476"/>
      <c r="CE1" s="476"/>
      <c r="CF1" s="476"/>
      <c r="CG1" s="476"/>
      <c r="CH1" s="476"/>
      <c r="CI1" s="476"/>
      <c r="CJ1" s="476"/>
      <c r="CK1" s="476"/>
      <c r="CL1" s="476"/>
      <c r="CM1" s="476"/>
      <c r="CN1" s="476"/>
      <c r="CO1" s="476"/>
      <c r="CP1" s="476"/>
      <c r="CQ1" s="476"/>
      <c r="CR1" s="476"/>
      <c r="CS1" s="476"/>
      <c r="CT1" s="476"/>
      <c r="CU1" s="476"/>
      <c r="CV1" s="476"/>
      <c r="CW1" s="476"/>
      <c r="CX1" s="476"/>
      <c r="CY1" s="476"/>
      <c r="CZ1" s="476"/>
      <c r="DA1" s="476"/>
      <c r="DB1" s="476"/>
      <c r="DC1" s="476"/>
      <c r="DD1" s="476"/>
      <c r="DE1" s="476"/>
      <c r="DF1" s="476"/>
      <c r="DG1" s="476"/>
      <c r="DH1" s="476"/>
      <c r="DI1" s="476"/>
      <c r="DJ1" s="476"/>
      <c r="DK1" s="476"/>
      <c r="DL1" s="476"/>
      <c r="DM1" s="476"/>
      <c r="DN1" s="476"/>
      <c r="DO1" s="476"/>
      <c r="DP1" s="476"/>
      <c r="DQ1" s="476"/>
      <c r="DR1" s="476"/>
      <c r="DS1" s="476"/>
      <c r="DT1" s="476"/>
      <c r="DU1" s="476"/>
      <c r="DV1" s="476"/>
      <c r="DW1" s="476"/>
      <c r="DX1" s="476"/>
      <c r="DY1" s="476"/>
      <c r="DZ1" s="476"/>
      <c r="EA1" s="476"/>
      <c r="EB1" s="477"/>
      <c r="EC1" s="478"/>
    </row>
    <row r="2" spans="1:133" x14ac:dyDescent="0.15">
      <c r="AQ2" s="479"/>
      <c r="AX2" s="480"/>
      <c r="AY2" s="480"/>
      <c r="AZ2" s="480"/>
      <c r="BS2" s="481"/>
      <c r="BY2" s="481"/>
      <c r="BZ2" s="481"/>
      <c r="CA2" s="481"/>
      <c r="CB2" s="481"/>
    </row>
    <row r="3" spans="1:133" ht="18.75" customHeight="1" thickBot="1" x14ac:dyDescent="0.2">
      <c r="A3" s="482" t="str">
        <f>IF(BJ14=BP14,"",IF(BJ14&gt;BP14,AC16,CW16))</f>
        <v/>
      </c>
      <c r="D3" s="888" t="s">
        <v>108</v>
      </c>
      <c r="E3" s="889"/>
      <c r="F3" s="889"/>
      <c r="G3" s="889"/>
      <c r="H3" s="889"/>
      <c r="I3" s="889"/>
      <c r="J3" s="889"/>
      <c r="K3" s="483"/>
      <c r="L3" s="931"/>
      <c r="M3" s="931"/>
      <c r="N3" s="931"/>
      <c r="O3" s="931"/>
      <c r="P3" s="931"/>
      <c r="Q3" s="931"/>
      <c r="R3" s="931"/>
      <c r="S3" s="931"/>
      <c r="T3" s="931"/>
      <c r="U3" s="931"/>
      <c r="V3" s="931"/>
      <c r="W3" s="931"/>
      <c r="X3" s="931"/>
      <c r="Y3" s="931"/>
      <c r="Z3" s="931"/>
      <c r="AA3" s="931"/>
      <c r="AB3" s="931"/>
      <c r="AC3" s="931"/>
      <c r="AD3" s="931"/>
      <c r="AE3" s="931"/>
      <c r="AF3" s="931"/>
      <c r="AG3" s="931"/>
      <c r="AH3" s="931"/>
      <c r="AI3" s="931"/>
      <c r="AJ3" s="931"/>
      <c r="AK3" s="931"/>
      <c r="AL3" s="931"/>
      <c r="AM3" s="931"/>
      <c r="AN3" s="931"/>
      <c r="AO3" s="931"/>
      <c r="AP3" s="890"/>
      <c r="AQ3" s="890"/>
      <c r="AR3" s="890"/>
      <c r="AS3" s="890"/>
      <c r="AT3" s="890"/>
      <c r="AU3" s="890"/>
      <c r="AV3" s="890"/>
      <c r="AW3" s="890"/>
      <c r="AX3" s="890"/>
      <c r="AY3" s="890"/>
      <c r="AZ3" s="890"/>
      <c r="BA3" s="890"/>
      <c r="BB3" s="890"/>
      <c r="BC3" s="460"/>
      <c r="BD3" s="460"/>
      <c r="BE3" s="888" t="s">
        <v>109</v>
      </c>
      <c r="BF3" s="888"/>
      <c r="BG3" s="888"/>
      <c r="BH3" s="888"/>
      <c r="BI3" s="888"/>
      <c r="BJ3" s="888"/>
      <c r="BK3" s="888"/>
      <c r="BL3" s="888"/>
      <c r="BM3" s="888"/>
      <c r="BN3" s="483"/>
      <c r="BO3" s="932" t="e">
        <f>IF(A7="","",IF(VLOOKUP(A7,予選学校名!$C$3:$F$32,3,FALSE)="",IF(VLOOKUP(A7,予選学校名!$C$3:$F$32,4,FALSE)="","",VLOOKUP(A7,予選学校名!$C$3:$F$32,4,FALSE)),VLOOKUP(A7,予選学校名!$C$3:$F$32,3,FALSE)&amp;"立")&amp;A7&amp;"中学校")</f>
        <v>#N/A</v>
      </c>
      <c r="BP3" s="932"/>
      <c r="BQ3" s="932"/>
      <c r="BR3" s="932"/>
      <c r="BS3" s="932"/>
      <c r="BT3" s="932"/>
      <c r="BU3" s="932"/>
      <c r="BV3" s="932"/>
      <c r="BW3" s="932"/>
      <c r="BX3" s="932"/>
      <c r="BY3" s="932"/>
      <c r="BZ3" s="932"/>
      <c r="CA3" s="932"/>
      <c r="CB3" s="932"/>
      <c r="CC3" s="932"/>
      <c r="CD3" s="932"/>
      <c r="CE3" s="932"/>
      <c r="CF3" s="932"/>
      <c r="CG3" s="932"/>
      <c r="CH3" s="932"/>
      <c r="CI3" s="932"/>
      <c r="CJ3" s="932"/>
      <c r="CK3" s="932"/>
      <c r="CL3" s="932"/>
      <c r="CM3" s="932"/>
      <c r="CN3" s="932"/>
      <c r="CO3" s="932"/>
      <c r="CP3" s="932"/>
      <c r="CQ3" s="932"/>
      <c r="CR3" s="932"/>
      <c r="CS3" s="933" t="e">
        <f>IF(A7="","","("&amp;VLOOKUP(A7,予選学校名!$C$3:$F$32,2,FALSE)&amp;")")</f>
        <v>#N/A</v>
      </c>
      <c r="CT3" s="933"/>
      <c r="CU3" s="933"/>
      <c r="CV3" s="933"/>
      <c r="CW3" s="933"/>
      <c r="CX3" s="933"/>
      <c r="CY3" s="933"/>
      <c r="CZ3" s="933"/>
      <c r="DA3" s="933"/>
      <c r="DB3" s="933"/>
      <c r="DC3" s="933"/>
      <c r="DD3" s="933"/>
      <c r="DE3" s="933"/>
      <c r="DW3" s="270"/>
      <c r="EB3" s="475"/>
      <c r="EC3" s="475" t="s">
        <v>726</v>
      </c>
    </row>
    <row r="4" spans="1:133" ht="18.75" customHeight="1" thickBot="1" x14ac:dyDescent="0.2">
      <c r="A4" s="482" t="str">
        <f>IF(BJ14=BP14,"",IF(BJ14&lt;BP14,AC16,CW16))</f>
        <v/>
      </c>
      <c r="D4" s="888" t="s">
        <v>110</v>
      </c>
      <c r="E4" s="889"/>
      <c r="F4" s="889"/>
      <c r="G4" s="889"/>
      <c r="H4" s="889"/>
      <c r="I4" s="889"/>
      <c r="J4" s="889"/>
      <c r="K4" s="483"/>
      <c r="L4" s="934"/>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4"/>
      <c r="AO4" s="934"/>
      <c r="AP4" s="860"/>
      <c r="AQ4" s="860"/>
      <c r="AR4" s="860"/>
      <c r="AS4" s="860"/>
      <c r="AT4" s="860"/>
      <c r="AU4" s="860"/>
      <c r="AV4" s="860"/>
      <c r="AW4" s="860"/>
      <c r="AX4" s="860"/>
      <c r="AY4" s="860"/>
      <c r="AZ4" s="860"/>
      <c r="BA4" s="860"/>
      <c r="BB4" s="860"/>
      <c r="BC4" s="460"/>
      <c r="BD4" s="460"/>
      <c r="BE4" s="460"/>
      <c r="BF4" s="460"/>
      <c r="BG4" s="460"/>
      <c r="BH4" s="483"/>
      <c r="BI4" s="483"/>
      <c r="BJ4" s="483"/>
      <c r="BK4" s="483"/>
      <c r="BL4" s="483"/>
      <c r="BM4" s="483"/>
      <c r="BN4" s="483"/>
      <c r="BO4" s="935" t="e">
        <f>IF(A8="","",IF(VLOOKUP(A8,予選学校名!$C$3:$F$32,3,FALSE)="",IF(VLOOKUP(A8,予選学校名!$C$3:$F$32,4,FALSE)="","",VLOOKUP(A8,予選学校名!$C$3:$F$32,4,FALSE)),VLOOKUP(A8,予選学校名!$C$3:$F$32,3,FALSE)&amp;"立")&amp;A8&amp;"中学校")</f>
        <v>#N/A</v>
      </c>
      <c r="BP4" s="935"/>
      <c r="BQ4" s="935"/>
      <c r="BR4" s="935"/>
      <c r="BS4" s="935"/>
      <c r="BT4" s="935"/>
      <c r="BU4" s="935"/>
      <c r="BV4" s="935"/>
      <c r="BW4" s="935"/>
      <c r="BX4" s="935"/>
      <c r="BY4" s="935"/>
      <c r="BZ4" s="935"/>
      <c r="CA4" s="935"/>
      <c r="CB4" s="935"/>
      <c r="CC4" s="935"/>
      <c r="CD4" s="935"/>
      <c r="CE4" s="935"/>
      <c r="CF4" s="935"/>
      <c r="CG4" s="935"/>
      <c r="CH4" s="935"/>
      <c r="CI4" s="935"/>
      <c r="CJ4" s="935"/>
      <c r="CK4" s="935"/>
      <c r="CL4" s="935"/>
      <c r="CM4" s="935"/>
      <c r="CN4" s="935"/>
      <c r="CO4" s="935"/>
      <c r="CP4" s="935"/>
      <c r="CQ4" s="935"/>
      <c r="CR4" s="935"/>
      <c r="CS4" s="936" t="e">
        <f>IF(A8="","","("&amp;VLOOKUP(A8,予選学校名!$C$3:$F$32,2,FALSE)&amp;")")</f>
        <v>#N/A</v>
      </c>
      <c r="CT4" s="936"/>
      <c r="CU4" s="936"/>
      <c r="CV4" s="936"/>
      <c r="CW4" s="936"/>
      <c r="CX4" s="936"/>
      <c r="CY4" s="936"/>
      <c r="CZ4" s="936"/>
      <c r="DA4" s="936"/>
      <c r="DB4" s="936"/>
      <c r="DC4" s="936"/>
      <c r="DD4" s="936"/>
      <c r="DE4" s="936"/>
      <c r="DW4" s="270"/>
      <c r="EB4" s="475"/>
      <c r="EC4" s="531">
        <v>15</v>
      </c>
    </row>
    <row r="5" spans="1:133" ht="18.75" customHeight="1" x14ac:dyDescent="0.15">
      <c r="A5" s="482">
        <f>IF(DF11&lt;&gt;"",DF11,IF(OR($A$3=K28,$A$3=AX28),$DA$23,$DO$23))</f>
        <v>0</v>
      </c>
      <c r="D5" s="888" t="s">
        <v>111</v>
      </c>
      <c r="E5" s="889"/>
      <c r="F5" s="889"/>
      <c r="G5" s="889"/>
      <c r="H5" s="889"/>
      <c r="I5" s="889"/>
      <c r="J5" s="889"/>
      <c r="K5" s="483"/>
      <c r="L5" s="934"/>
      <c r="M5" s="934"/>
      <c r="N5" s="934"/>
      <c r="O5" s="934"/>
      <c r="P5" s="934"/>
      <c r="Q5" s="934"/>
      <c r="R5" s="934"/>
      <c r="S5" s="934"/>
      <c r="T5" s="934"/>
      <c r="U5" s="934"/>
      <c r="V5" s="934"/>
      <c r="W5" s="934"/>
      <c r="X5" s="934"/>
      <c r="Y5" s="934"/>
      <c r="Z5" s="934"/>
      <c r="AA5" s="934"/>
      <c r="AB5" s="934"/>
      <c r="AC5" s="934"/>
      <c r="AD5" s="934"/>
      <c r="AE5" s="934"/>
      <c r="AF5" s="934"/>
      <c r="AG5" s="934"/>
      <c r="AH5" s="934"/>
      <c r="AI5" s="934"/>
      <c r="AJ5" s="934"/>
      <c r="AK5" s="934"/>
      <c r="AL5" s="934"/>
      <c r="AM5" s="934"/>
      <c r="AN5" s="934"/>
      <c r="AO5" s="934"/>
      <c r="AP5" s="860"/>
      <c r="AQ5" s="860"/>
      <c r="AR5" s="860"/>
      <c r="AS5" s="860"/>
      <c r="AT5" s="860"/>
      <c r="AU5" s="860"/>
      <c r="AV5" s="860"/>
      <c r="AW5" s="860"/>
      <c r="AX5" s="860"/>
      <c r="AY5" s="860"/>
      <c r="AZ5" s="860"/>
      <c r="BA5" s="860"/>
      <c r="BB5" s="860"/>
      <c r="BC5" s="460"/>
      <c r="BD5" s="460"/>
      <c r="BE5" s="460"/>
      <c r="BF5" s="460"/>
      <c r="BG5" s="460"/>
      <c r="BH5" s="483"/>
      <c r="BI5" s="483"/>
      <c r="BJ5" s="483"/>
      <c r="BK5" s="483"/>
      <c r="BL5" s="483"/>
      <c r="BM5" s="483"/>
      <c r="BN5" s="483"/>
      <c r="BO5" s="935" t="e">
        <f>IF(A9="","",IF(VLOOKUP(A9,予選学校名!$C$3:$F$32,3,FALSE)="",IF(VLOOKUP(A9,予選学校名!$C$3:$F$32,4,FALSE)="","",VLOOKUP(A9,予選学校名!$C$3:$F$32,4,FALSE)),VLOOKUP(A9,予選学校名!$C$3:$F$32,3,FALSE)&amp;"立")&amp;A9&amp;"中学校")</f>
        <v>#N/A</v>
      </c>
      <c r="BP5" s="935"/>
      <c r="BQ5" s="935"/>
      <c r="BR5" s="935"/>
      <c r="BS5" s="935"/>
      <c r="BT5" s="935"/>
      <c r="BU5" s="935"/>
      <c r="BV5" s="935"/>
      <c r="BW5" s="935"/>
      <c r="BX5" s="935"/>
      <c r="BY5" s="935"/>
      <c r="BZ5" s="935"/>
      <c r="CA5" s="935"/>
      <c r="CB5" s="935"/>
      <c r="CC5" s="935"/>
      <c r="CD5" s="935"/>
      <c r="CE5" s="935"/>
      <c r="CF5" s="935"/>
      <c r="CG5" s="935"/>
      <c r="CH5" s="935"/>
      <c r="CI5" s="935"/>
      <c r="CJ5" s="935"/>
      <c r="CK5" s="935"/>
      <c r="CL5" s="935"/>
      <c r="CM5" s="935"/>
      <c r="CN5" s="935"/>
      <c r="CO5" s="935"/>
      <c r="CP5" s="935"/>
      <c r="CQ5" s="935"/>
      <c r="CR5" s="935"/>
      <c r="CS5" s="936" t="e">
        <f>IF(A9="","","("&amp;VLOOKUP(A9,予選学校名!$C$3:$F$32,2,FALSE)&amp;")")</f>
        <v>#N/A</v>
      </c>
      <c r="CT5" s="936"/>
      <c r="CU5" s="936"/>
      <c r="CV5" s="936"/>
      <c r="CW5" s="936"/>
      <c r="CX5" s="936"/>
      <c r="CY5" s="936"/>
      <c r="CZ5" s="936"/>
      <c r="DA5" s="936"/>
      <c r="DB5" s="936"/>
      <c r="DC5" s="936"/>
      <c r="DD5" s="936"/>
      <c r="DE5" s="936"/>
      <c r="DW5" s="270"/>
      <c r="EB5" s="475"/>
    </row>
    <row r="6" spans="1:133" s="447" customFormat="1" ht="18.75" customHeight="1" x14ac:dyDescent="0.15">
      <c r="A6" s="482">
        <f>IF(DF11&lt;&gt;"",IF(DF11=DA23,DO23,DA23),IF(OR($A$3=K28,$A$3=AX28),$DO$23,$DA$23))</f>
        <v>0</v>
      </c>
      <c r="D6" s="483"/>
      <c r="E6" s="459"/>
      <c r="F6" s="459"/>
      <c r="G6" s="459"/>
      <c r="H6" s="459"/>
      <c r="I6" s="459"/>
      <c r="J6" s="459"/>
      <c r="K6" s="459"/>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4"/>
      <c r="AN6" s="934"/>
      <c r="AO6" s="934"/>
      <c r="AP6" s="860"/>
      <c r="AQ6" s="860"/>
      <c r="AR6" s="860"/>
      <c r="AS6" s="860"/>
      <c r="AT6" s="860"/>
      <c r="AU6" s="860"/>
      <c r="AV6" s="860"/>
      <c r="AW6" s="860"/>
      <c r="AX6" s="860"/>
      <c r="AY6" s="860"/>
      <c r="AZ6" s="860"/>
      <c r="BA6" s="860"/>
      <c r="BB6" s="860"/>
      <c r="BC6" s="460"/>
      <c r="BD6" s="460"/>
      <c r="BE6" s="460"/>
      <c r="BF6" s="460"/>
      <c r="BG6" s="460"/>
      <c r="BH6" s="459"/>
      <c r="BI6" s="459"/>
      <c r="BJ6" s="459"/>
      <c r="BK6" s="459"/>
      <c r="BL6" s="459"/>
      <c r="BM6" s="459"/>
      <c r="BN6" s="459"/>
      <c r="BO6" s="935" t="e">
        <f>IF(A10="","",IF(VLOOKUP(A10,予選学校名!$C$3:$F$32,3,FALSE)="",IF(VLOOKUP(A10,予選学校名!$C$3:$F$32,4,FALSE)="","",VLOOKUP(A10,予選学校名!$C$3:$F$32,4,FALSE)),VLOOKUP(A10,予選学校名!$C$3:$F$32,3,FALSE)&amp;"立")&amp;A10&amp;"中学校")</f>
        <v>#N/A</v>
      </c>
      <c r="BP6" s="935"/>
      <c r="BQ6" s="935"/>
      <c r="BR6" s="935"/>
      <c r="BS6" s="935"/>
      <c r="BT6" s="935"/>
      <c r="BU6" s="935"/>
      <c r="BV6" s="935"/>
      <c r="BW6" s="935"/>
      <c r="BX6" s="935"/>
      <c r="BY6" s="935"/>
      <c r="BZ6" s="935"/>
      <c r="CA6" s="935"/>
      <c r="CB6" s="935"/>
      <c r="CC6" s="935"/>
      <c r="CD6" s="935"/>
      <c r="CE6" s="935"/>
      <c r="CF6" s="935"/>
      <c r="CG6" s="935"/>
      <c r="CH6" s="935"/>
      <c r="CI6" s="935"/>
      <c r="CJ6" s="935"/>
      <c r="CK6" s="935"/>
      <c r="CL6" s="935"/>
      <c r="CM6" s="935"/>
      <c r="CN6" s="935"/>
      <c r="CO6" s="935"/>
      <c r="CP6" s="935"/>
      <c r="CQ6" s="935"/>
      <c r="CR6" s="935"/>
      <c r="CS6" s="936" t="e">
        <f>IF(A10="","","("&amp;VLOOKUP(A10,予選学校名!$C$3:$F$32,2,FALSE)&amp;")")</f>
        <v>#N/A</v>
      </c>
      <c r="CT6" s="936"/>
      <c r="CU6" s="936"/>
      <c r="CV6" s="936"/>
      <c r="CW6" s="936"/>
      <c r="CX6" s="936"/>
      <c r="CY6" s="936"/>
      <c r="CZ6" s="936"/>
      <c r="DA6" s="936"/>
      <c r="DB6" s="936"/>
      <c r="DC6" s="936"/>
      <c r="DD6" s="936"/>
      <c r="DE6" s="936"/>
      <c r="DW6" s="446"/>
    </row>
    <row r="7" spans="1:133" s="447" customFormat="1" ht="18.75" customHeight="1" x14ac:dyDescent="0.15">
      <c r="A7" s="482">
        <f>IF($A3=$C$38,$Z$38,IF($A3=$Z$38,$C$38,IF($A3=$AG$38,BI38,IF($A3=$BI$38,$AG$38,IF($A3=$BQ$38,$CS$38,IF($A3=$CS$38,$BQ$38,IF($A3=$CZ$38,$DW$38,IF($A3=$DW$38,$CZ$38))))))))</f>
        <v>0</v>
      </c>
      <c r="D7" s="483"/>
      <c r="E7" s="459"/>
      <c r="F7" s="459"/>
      <c r="G7" s="459"/>
      <c r="H7" s="459"/>
      <c r="I7" s="459"/>
      <c r="J7" s="459"/>
      <c r="K7" s="459"/>
      <c r="L7" s="484"/>
      <c r="M7" s="484"/>
      <c r="N7" s="484"/>
      <c r="O7" s="484"/>
      <c r="P7" s="484"/>
      <c r="Q7" s="484"/>
      <c r="R7" s="484"/>
      <c r="S7" s="484"/>
      <c r="T7" s="484"/>
      <c r="U7" s="484"/>
      <c r="V7" s="484"/>
      <c r="W7" s="484"/>
      <c r="X7" s="484"/>
      <c r="Y7" s="484"/>
      <c r="Z7" s="484"/>
      <c r="AA7" s="484"/>
      <c r="AB7" s="484"/>
      <c r="AC7" s="484"/>
      <c r="AD7" s="484"/>
      <c r="AE7" s="484"/>
      <c r="AF7" s="484"/>
      <c r="AG7" s="484"/>
      <c r="AH7" s="484"/>
      <c r="AI7" s="484"/>
      <c r="AJ7" s="484"/>
      <c r="AK7" s="484"/>
      <c r="AL7" s="484"/>
      <c r="AM7" s="484"/>
      <c r="AN7" s="484"/>
      <c r="AO7" s="484"/>
      <c r="AP7" s="485"/>
      <c r="AQ7" s="485"/>
      <c r="AR7" s="485"/>
      <c r="AS7" s="485"/>
      <c r="AT7" s="485"/>
      <c r="AU7" s="485"/>
      <c r="AV7" s="485"/>
      <c r="AW7" s="485"/>
      <c r="AX7" s="485"/>
      <c r="AY7" s="485"/>
      <c r="AZ7" s="485"/>
      <c r="BA7" s="485"/>
      <c r="BB7" s="485"/>
      <c r="BC7" s="460"/>
      <c r="BD7" s="460"/>
      <c r="BE7" s="460"/>
      <c r="BF7" s="460"/>
      <c r="BG7" s="460"/>
      <c r="BH7" s="459"/>
      <c r="BI7" s="459"/>
      <c r="BJ7" s="459"/>
      <c r="BK7" s="459"/>
      <c r="BL7" s="459"/>
      <c r="BM7" s="459"/>
      <c r="BN7" s="459"/>
      <c r="BO7" s="935" t="str">
        <f>IF(A11="","",IF(VLOOKUP(A11,予選学校名!$C$3:$F$32,3,FALSE)="",IF(VLOOKUP(A11,予選学校名!$C$3:$F$32,4,FALSE)="","",VLOOKUP(A11,予選学校名!$C$3:$F$32,4,FALSE)),VLOOKUP(A11,予選学校名!$C$3:$F$32,3,FALSE)&amp;"立")&amp;A11&amp;"中学校")</f>
        <v/>
      </c>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6" t="str">
        <f>IF(A11="","","("&amp;VLOOKUP(A11,予選学校名!$C$3:$F$32,2,FALSE)&amp;")")</f>
        <v/>
      </c>
      <c r="CT7" s="936"/>
      <c r="CU7" s="936"/>
      <c r="CV7" s="936"/>
      <c r="CW7" s="936"/>
      <c r="CX7" s="936"/>
      <c r="CY7" s="936"/>
      <c r="CZ7" s="936"/>
      <c r="DA7" s="936"/>
      <c r="DB7" s="936"/>
      <c r="DC7" s="936"/>
      <c r="DD7" s="936"/>
      <c r="DE7" s="936"/>
      <c r="DW7" s="446"/>
    </row>
    <row r="8" spans="1:133" s="447" customFormat="1" ht="18.75" customHeight="1" x14ac:dyDescent="0.15">
      <c r="A8" s="482">
        <f>IF($A4=$C$38,$Z$38,IF($A4=$Z$38,$C$38,IF($A4=$AG$38,BI39,IF($A4=$BI$38,$AG$38,IF($A4=$BQ$38,$CS$38,IF($A4=$CS$38,$BQ$38,IF($A4=$CZ$38,$DW$38,IF($A4=$DW$38,$CZ$38))))))))</f>
        <v>0</v>
      </c>
      <c r="D8" s="483"/>
      <c r="E8" s="459"/>
      <c r="F8" s="459"/>
      <c r="G8" s="459"/>
      <c r="H8" s="459"/>
      <c r="I8" s="459"/>
      <c r="J8" s="459"/>
      <c r="K8" s="459"/>
      <c r="L8" s="484"/>
      <c r="M8" s="484"/>
      <c r="N8" s="484"/>
      <c r="O8" s="484"/>
      <c r="P8" s="484"/>
      <c r="Q8" s="484"/>
      <c r="R8" s="484"/>
      <c r="S8" s="484"/>
      <c r="T8" s="484"/>
      <c r="U8" s="484"/>
      <c r="V8" s="484"/>
      <c r="W8" s="484"/>
      <c r="X8" s="484"/>
      <c r="Y8" s="484"/>
      <c r="Z8" s="484"/>
      <c r="AA8" s="484"/>
      <c r="AB8" s="484"/>
      <c r="AC8" s="484"/>
      <c r="AD8" s="484"/>
      <c r="AE8" s="484"/>
      <c r="AF8" s="484"/>
      <c r="AG8" s="484"/>
      <c r="AH8" s="484"/>
      <c r="AI8" s="484"/>
      <c r="AJ8" s="484"/>
      <c r="AK8" s="484"/>
      <c r="AL8" s="484"/>
      <c r="AM8" s="484"/>
      <c r="AN8" s="484"/>
      <c r="AO8" s="484"/>
      <c r="AP8" s="485"/>
      <c r="AQ8" s="485"/>
      <c r="AR8" s="485"/>
      <c r="AS8" s="485"/>
      <c r="AT8" s="485"/>
      <c r="AU8" s="485"/>
      <c r="AV8" s="485"/>
      <c r="AW8" s="485"/>
      <c r="AX8" s="485"/>
      <c r="AY8" s="485"/>
      <c r="AZ8" s="485"/>
      <c r="BA8" s="485"/>
      <c r="BB8" s="485"/>
      <c r="BC8" s="460"/>
      <c r="BD8" s="460"/>
      <c r="BE8" s="460"/>
      <c r="BF8" s="460"/>
      <c r="BG8" s="460"/>
      <c r="BH8" s="459"/>
      <c r="BI8" s="459"/>
      <c r="BJ8" s="459"/>
      <c r="BK8" s="459"/>
      <c r="BL8" s="459"/>
      <c r="BM8" s="459"/>
      <c r="BN8" s="459"/>
      <c r="BO8" s="484"/>
      <c r="BP8" s="484"/>
      <c r="BQ8" s="484"/>
      <c r="BR8" s="484"/>
      <c r="BS8" s="484"/>
      <c r="BT8" s="484"/>
      <c r="BU8" s="484"/>
      <c r="BV8" s="484"/>
      <c r="BW8" s="484"/>
      <c r="BX8" s="484"/>
      <c r="BY8" s="484"/>
      <c r="BZ8" s="484"/>
      <c r="CA8" s="484"/>
      <c r="CB8" s="484"/>
      <c r="CC8" s="484"/>
      <c r="CD8" s="484"/>
      <c r="CE8" s="484"/>
      <c r="CF8" s="484"/>
      <c r="CG8" s="484"/>
      <c r="CH8" s="484"/>
      <c r="CI8" s="484"/>
      <c r="CJ8" s="484"/>
      <c r="CK8" s="484"/>
      <c r="CL8" s="484"/>
      <c r="CM8" s="484"/>
      <c r="CN8" s="484"/>
      <c r="CO8" s="484"/>
      <c r="CP8" s="484"/>
      <c r="CQ8" s="484"/>
      <c r="CR8" s="484"/>
      <c r="CS8" s="485"/>
      <c r="CT8" s="485"/>
      <c r="CU8" s="485"/>
      <c r="CV8" s="485"/>
      <c r="CW8" s="485"/>
      <c r="CX8" s="485"/>
      <c r="CY8" s="485"/>
      <c r="CZ8" s="485"/>
      <c r="DA8" s="485"/>
      <c r="DB8" s="485"/>
      <c r="DC8" s="485"/>
      <c r="DD8" s="485"/>
      <c r="DE8" s="485"/>
      <c r="DW8" s="446"/>
    </row>
    <row r="9" spans="1:133" s="447" customFormat="1" ht="13.5" customHeight="1" x14ac:dyDescent="0.15">
      <c r="A9" s="482">
        <f>IF($A5=$C$38,$Z$38,IF($A5=$Z$38,$C$38,IF($A5=$AG$38,BI40,IF($A5=$BI$38,$AG$38,IF($A5=$BQ$38,$CS$38,IF($A5=$CS$38,$BQ$38,IF($A5=$CZ$38,$DW$38,IF($A5=$DW$38,$CZ$38))))))))</f>
        <v>0</v>
      </c>
      <c r="D9" s="475"/>
      <c r="AL9" s="883" t="s">
        <v>112</v>
      </c>
      <c r="AM9" s="883"/>
      <c r="AN9" s="883"/>
      <c r="AO9" s="883"/>
      <c r="AP9" s="883"/>
      <c r="AQ9" s="883"/>
      <c r="AR9" s="883"/>
      <c r="AS9" s="883"/>
      <c r="AT9" s="884" t="str">
        <f>IF(L3="","",L3)</f>
        <v/>
      </c>
      <c r="AU9" s="884"/>
      <c r="AV9" s="884"/>
      <c r="AW9" s="884"/>
      <c r="AX9" s="884"/>
      <c r="AY9" s="884"/>
      <c r="AZ9" s="884"/>
      <c r="BA9" s="884"/>
      <c r="BB9" s="884"/>
      <c r="BC9" s="884"/>
      <c r="BD9" s="884"/>
      <c r="BE9" s="884"/>
      <c r="BF9" s="884"/>
      <c r="BG9" s="884"/>
      <c r="BH9" s="884"/>
      <c r="BI9" s="884"/>
      <c r="BJ9" s="884"/>
      <c r="BK9" s="884"/>
      <c r="BL9" s="884"/>
      <c r="BM9" s="884"/>
      <c r="BN9" s="884"/>
      <c r="BO9" s="884"/>
      <c r="BP9" s="884"/>
      <c r="BQ9" s="884"/>
      <c r="BR9" s="884"/>
      <c r="BS9" s="884"/>
      <c r="BT9" s="884"/>
      <c r="BU9" s="884"/>
      <c r="BV9" s="884"/>
      <c r="BW9" s="884"/>
      <c r="BX9" s="884"/>
      <c r="BY9" s="884"/>
      <c r="BZ9" s="884"/>
      <c r="CA9" s="884"/>
      <c r="CB9" s="884"/>
      <c r="CC9" s="884"/>
      <c r="CD9" s="884"/>
      <c r="CE9" s="884"/>
      <c r="CF9" s="884"/>
      <c r="CG9" s="884"/>
      <c r="CH9" s="884"/>
      <c r="CI9" s="884"/>
      <c r="DA9" s="805" t="s">
        <v>113</v>
      </c>
      <c r="DB9" s="805"/>
      <c r="DC9" s="805"/>
      <c r="DD9" s="805"/>
      <c r="DE9" s="805"/>
      <c r="DF9" s="805"/>
      <c r="DG9" s="805"/>
      <c r="DH9" s="805"/>
      <c r="DI9" s="805"/>
      <c r="DJ9" s="805"/>
      <c r="DK9" s="805"/>
      <c r="DL9" s="805"/>
      <c r="DM9" s="805"/>
      <c r="DN9" s="805"/>
      <c r="EB9" s="446"/>
    </row>
    <row r="10" spans="1:133" s="447" customFormat="1" ht="13.5" customHeight="1" x14ac:dyDescent="0.15">
      <c r="A10" s="482">
        <f>IF($A6=$C$38,$Z$38,IF($A6=$Z$38,$C$38,IF($A6=$AG$38,BI41,IF($A6=$BI$38,$AG$38,IF($A6=$BQ$38,$CS$38,IF($A6=$CS$38,$BQ$38,IF($A6=$CZ$38,$DW$38,IF($A6=$DW$38,$CZ$38))))))))</f>
        <v>0</v>
      </c>
      <c r="D10" s="475"/>
      <c r="AL10" s="883"/>
      <c r="AM10" s="883"/>
      <c r="AN10" s="883"/>
      <c r="AO10" s="883"/>
      <c r="AP10" s="883"/>
      <c r="AQ10" s="883"/>
      <c r="AR10" s="883"/>
      <c r="AS10" s="883"/>
      <c r="AT10" s="885"/>
      <c r="AU10" s="885"/>
      <c r="AV10" s="885"/>
      <c r="AW10" s="885"/>
      <c r="AX10" s="885"/>
      <c r="AY10" s="885"/>
      <c r="AZ10" s="885"/>
      <c r="BA10" s="885"/>
      <c r="BB10" s="885"/>
      <c r="BC10" s="885"/>
      <c r="BD10" s="885"/>
      <c r="BE10" s="885"/>
      <c r="BF10" s="885"/>
      <c r="BG10" s="885"/>
      <c r="BH10" s="885"/>
      <c r="BI10" s="885"/>
      <c r="BJ10" s="885"/>
      <c r="BK10" s="885"/>
      <c r="BL10" s="885"/>
      <c r="BM10" s="885"/>
      <c r="BN10" s="885"/>
      <c r="BO10" s="885"/>
      <c r="BP10" s="885"/>
      <c r="BQ10" s="885"/>
      <c r="BR10" s="885"/>
      <c r="BS10" s="885"/>
      <c r="BT10" s="885"/>
      <c r="BU10" s="885"/>
      <c r="BV10" s="885"/>
      <c r="BW10" s="885"/>
      <c r="BX10" s="885"/>
      <c r="BY10" s="885"/>
      <c r="BZ10" s="885"/>
      <c r="CA10" s="885"/>
      <c r="CB10" s="885"/>
      <c r="CC10" s="885"/>
      <c r="CD10" s="885"/>
      <c r="CE10" s="885"/>
      <c r="CF10" s="885"/>
      <c r="CG10" s="885"/>
      <c r="CH10" s="885"/>
      <c r="CI10" s="885"/>
      <c r="EB10" s="446"/>
    </row>
    <row r="11" spans="1:133" s="447" customFormat="1" ht="7.5" customHeight="1" x14ac:dyDescent="0.15">
      <c r="A11" s="447" t="str">
        <f>IF(BJ74=BP74,"",IF(BJ74&gt;BP74,AH76,CR76))</f>
        <v/>
      </c>
      <c r="D11" s="475"/>
      <c r="BN11" s="867"/>
      <c r="DF11" s="805" t="str">
        <f>IF(DH14=DN14,"",IF(DH14&gt;DN14,DA23,DO23))</f>
        <v/>
      </c>
      <c r="DG11" s="805"/>
      <c r="DH11" s="805"/>
      <c r="DI11" s="805"/>
      <c r="DJ11" s="805"/>
      <c r="DK11" s="805"/>
      <c r="DL11" s="805"/>
      <c r="DM11" s="805"/>
      <c r="DN11" s="805"/>
      <c r="DO11" s="805"/>
      <c r="DP11" s="805"/>
      <c r="DQ11" s="805"/>
      <c r="DR11" s="805"/>
      <c r="DS11" s="805"/>
      <c r="EB11" s="446"/>
    </row>
    <row r="12" spans="1:133" s="447" customFormat="1" ht="3.75" customHeight="1" x14ac:dyDescent="0.15">
      <c r="D12" s="475"/>
      <c r="BN12" s="867"/>
      <c r="EB12" s="446"/>
    </row>
    <row r="13" spans="1:133" s="447" customFormat="1" ht="13.5" customHeight="1" x14ac:dyDescent="0.15">
      <c r="D13" s="475"/>
      <c r="BJ13" s="873" t="str">
        <f>IF(BJ16="","",SUM(BJ16:BJ19))</f>
        <v/>
      </c>
      <c r="BK13" s="873"/>
      <c r="BL13" s="873"/>
      <c r="BM13" s="873"/>
      <c r="BN13" s="867"/>
      <c r="BP13" s="848" t="str">
        <f>IF(BP16="","",SUM(BP16:BP19))</f>
        <v/>
      </c>
      <c r="BQ13" s="848"/>
      <c r="BR13" s="848"/>
      <c r="BS13" s="848"/>
      <c r="CZ13" s="487"/>
      <c r="DA13" s="487"/>
      <c r="DB13" s="487"/>
      <c r="DC13" s="487"/>
      <c r="DD13" s="487"/>
      <c r="DE13" s="487"/>
      <c r="DF13" s="487"/>
      <c r="DG13" s="487"/>
      <c r="DH13" s="873" t="str">
        <f>IF(DH16="","",SUM(DH16:DH19))</f>
        <v/>
      </c>
      <c r="DI13" s="873"/>
      <c r="DJ13" s="873"/>
      <c r="DK13" s="873"/>
      <c r="DL13" s="886"/>
      <c r="DM13" s="487"/>
      <c r="DN13" s="848" t="str">
        <f>IF(DN16="","",SUM(DN16:DN19))</f>
        <v/>
      </c>
      <c r="DO13" s="848"/>
      <c r="DP13" s="848"/>
      <c r="DQ13" s="848"/>
      <c r="DR13" s="487"/>
      <c r="DS13" s="487"/>
      <c r="DT13" s="487"/>
      <c r="DU13" s="487"/>
      <c r="DV13" s="487"/>
      <c r="DW13" s="487"/>
      <c r="DX13" s="487"/>
      <c r="DY13" s="487"/>
      <c r="EB13" s="446"/>
    </row>
    <row r="14" spans="1:133" s="487" customFormat="1" ht="13.5" hidden="1" customHeight="1" x14ac:dyDescent="0.15">
      <c r="D14" s="488"/>
      <c r="BJ14" s="871">
        <f>SUM(BJ16:BJ23)</f>
        <v>0</v>
      </c>
      <c r="BK14" s="871"/>
      <c r="BL14" s="871"/>
      <c r="BM14" s="871"/>
      <c r="BN14" s="867"/>
      <c r="BP14" s="858">
        <f>SUM(BP16:BP23)</f>
        <v>0</v>
      </c>
      <c r="BQ14" s="858"/>
      <c r="BR14" s="858"/>
      <c r="BS14" s="858"/>
      <c r="CZ14" s="447"/>
      <c r="DA14" s="447"/>
      <c r="DB14" s="447"/>
      <c r="DC14" s="447"/>
      <c r="DD14" s="447"/>
      <c r="DE14" s="447"/>
      <c r="DF14" s="447"/>
      <c r="DG14" s="447"/>
      <c r="DH14" s="871">
        <f>SUM(DH16:DH23)</f>
        <v>0</v>
      </c>
      <c r="DI14" s="871"/>
      <c r="DJ14" s="871"/>
      <c r="DK14" s="871"/>
      <c r="DL14" s="886"/>
      <c r="DM14" s="447"/>
      <c r="DN14" s="858">
        <f>SUM(DN16:DN23)</f>
        <v>0</v>
      </c>
      <c r="DO14" s="858"/>
      <c r="DP14" s="858"/>
      <c r="DQ14" s="858"/>
      <c r="DR14" s="447"/>
      <c r="DS14" s="447"/>
      <c r="DT14" s="447"/>
      <c r="DU14" s="447"/>
      <c r="DV14" s="447"/>
      <c r="DW14" s="447"/>
      <c r="DX14" s="447"/>
      <c r="DY14" s="447"/>
      <c r="EB14" s="489"/>
    </row>
    <row r="15" spans="1:133" s="447" customFormat="1" ht="3.75" customHeight="1" thickBot="1" x14ac:dyDescent="0.2">
      <c r="A15" s="482"/>
      <c r="D15" s="475"/>
      <c r="AB15" s="290"/>
      <c r="AC15" s="290"/>
      <c r="AD15" s="290"/>
      <c r="AE15" s="290"/>
      <c r="AF15" s="290"/>
      <c r="AG15" s="290"/>
      <c r="AH15" s="491"/>
      <c r="AI15" s="491"/>
      <c r="AJ15" s="491"/>
      <c r="AK15" s="491"/>
      <c r="AL15" s="491"/>
      <c r="AM15" s="491"/>
      <c r="AN15" s="491"/>
      <c r="AO15" s="491"/>
      <c r="AP15" s="491"/>
      <c r="AQ15" s="491"/>
      <c r="AR15" s="491"/>
      <c r="AS15" s="491"/>
      <c r="AT15" s="491"/>
      <c r="AU15" s="491"/>
      <c r="AV15" s="491"/>
      <c r="AW15" s="491"/>
      <c r="AX15" s="491"/>
      <c r="AY15" s="491"/>
      <c r="AZ15" s="491"/>
      <c r="BA15" s="491"/>
      <c r="BB15" s="491"/>
      <c r="BC15" s="491"/>
      <c r="BD15" s="491"/>
      <c r="BE15" s="491"/>
      <c r="BF15" s="491"/>
      <c r="BG15" s="491"/>
      <c r="BH15" s="491"/>
      <c r="BI15" s="491"/>
      <c r="BJ15" s="491"/>
      <c r="BK15" s="491"/>
      <c r="BL15" s="491"/>
      <c r="BM15" s="491"/>
      <c r="BN15" s="872"/>
      <c r="BO15" s="492"/>
      <c r="BP15" s="491"/>
      <c r="BQ15" s="491"/>
      <c r="BR15" s="491"/>
      <c r="BS15" s="491"/>
      <c r="BT15" s="491"/>
      <c r="BU15" s="491"/>
      <c r="BV15" s="491"/>
      <c r="BW15" s="491"/>
      <c r="BX15" s="491"/>
      <c r="BY15" s="491"/>
      <c r="BZ15" s="491"/>
      <c r="CA15" s="491"/>
      <c r="CB15" s="491"/>
      <c r="CC15" s="491"/>
      <c r="CD15" s="491"/>
      <c r="CE15" s="491"/>
      <c r="CF15" s="491"/>
      <c r="CG15" s="491"/>
      <c r="CH15" s="491"/>
      <c r="CI15" s="491"/>
      <c r="CJ15" s="491"/>
      <c r="CK15" s="491"/>
      <c r="CL15" s="491"/>
      <c r="CM15" s="491"/>
      <c r="CN15" s="491"/>
      <c r="CO15" s="491"/>
      <c r="CP15" s="491"/>
      <c r="CQ15" s="491"/>
      <c r="CR15" s="491"/>
      <c r="CS15" s="491"/>
      <c r="CT15" s="491"/>
      <c r="CU15" s="491"/>
      <c r="CV15" s="290"/>
      <c r="CW15" s="290"/>
      <c r="CX15" s="290"/>
      <c r="CY15" s="290"/>
      <c r="DF15" s="851"/>
      <c r="DG15" s="851"/>
      <c r="DH15" s="851"/>
      <c r="DI15" s="851"/>
      <c r="DJ15" s="851"/>
      <c r="DK15" s="851"/>
      <c r="DL15" s="887"/>
      <c r="DM15" s="851"/>
      <c r="DN15" s="851"/>
      <c r="DO15" s="851"/>
      <c r="DP15" s="851"/>
      <c r="DQ15" s="851"/>
      <c r="DR15" s="851"/>
      <c r="DS15" s="851"/>
      <c r="EB15" s="446"/>
    </row>
    <row r="16" spans="1:133" s="447" customFormat="1" ht="13.5" customHeight="1" thickTop="1" x14ac:dyDescent="0.15">
      <c r="A16" s="482"/>
      <c r="D16" s="475"/>
      <c r="W16" s="532"/>
      <c r="X16" s="532"/>
      <c r="Y16" s="532"/>
      <c r="Z16" s="532"/>
      <c r="AC16" s="924"/>
      <c r="AD16" s="924"/>
      <c r="AE16" s="924"/>
      <c r="AF16" s="924"/>
      <c r="AG16" s="867"/>
      <c r="AH16" s="905"/>
      <c r="AI16" s="906"/>
      <c r="AJ16" s="906"/>
      <c r="AK16" s="906"/>
      <c r="AL16" s="906"/>
      <c r="AM16" s="906"/>
      <c r="AN16" s="906"/>
      <c r="AO16" s="906"/>
      <c r="AP16" s="906"/>
      <c r="AQ16" s="906"/>
      <c r="AR16" s="906"/>
      <c r="AS16" s="906"/>
      <c r="AT16" s="906"/>
      <c r="AU16" s="906"/>
      <c r="AV16" s="906"/>
      <c r="AW16" s="906"/>
      <c r="AX16" s="906"/>
      <c r="AY16" s="906"/>
      <c r="AZ16" s="906"/>
      <c r="BA16" s="906"/>
      <c r="BB16" s="906"/>
      <c r="BC16" s="906"/>
      <c r="BD16" s="906"/>
      <c r="BE16" s="906"/>
      <c r="BF16" s="906"/>
      <c r="BG16" s="906"/>
      <c r="BH16" s="906"/>
      <c r="BI16" s="906"/>
      <c r="BJ16" s="906"/>
      <c r="BK16" s="906"/>
      <c r="BL16" s="906"/>
      <c r="BM16" s="906"/>
      <c r="BN16" s="906"/>
      <c r="BO16" s="906"/>
      <c r="BP16" s="906"/>
      <c r="BQ16" s="906"/>
      <c r="BR16" s="906"/>
      <c r="BS16" s="906"/>
      <c r="BT16" s="906"/>
      <c r="BU16" s="906"/>
      <c r="BV16" s="906"/>
      <c r="BW16" s="906"/>
      <c r="BX16" s="906"/>
      <c r="BY16" s="906"/>
      <c r="BZ16" s="906"/>
      <c r="CA16" s="906"/>
      <c r="CB16" s="906"/>
      <c r="CC16" s="906"/>
      <c r="CD16" s="906"/>
      <c r="CE16" s="906"/>
      <c r="CF16" s="906"/>
      <c r="CG16" s="906"/>
      <c r="CH16" s="906"/>
      <c r="CI16" s="906"/>
      <c r="CJ16" s="906"/>
      <c r="CK16" s="906"/>
      <c r="CL16" s="906"/>
      <c r="CM16" s="906"/>
      <c r="CN16" s="906"/>
      <c r="CO16" s="906"/>
      <c r="CP16" s="906"/>
      <c r="CQ16" s="906"/>
      <c r="CR16" s="906"/>
      <c r="CS16" s="906"/>
      <c r="CT16" s="906"/>
      <c r="CU16" s="917"/>
      <c r="CV16" s="876"/>
      <c r="CW16" s="924"/>
      <c r="CX16" s="924"/>
      <c r="CY16" s="924"/>
      <c r="CZ16" s="924"/>
      <c r="DE16" s="878"/>
      <c r="DH16" s="920"/>
      <c r="DI16" s="920"/>
      <c r="DJ16" s="920"/>
      <c r="DK16" s="920"/>
      <c r="DL16" s="847"/>
      <c r="DM16" s="847"/>
      <c r="DN16" s="920"/>
      <c r="DO16" s="920"/>
      <c r="DP16" s="920"/>
      <c r="DQ16" s="920"/>
      <c r="DT16" s="879"/>
    </row>
    <row r="17" spans="1:128" s="447" customFormat="1" ht="13.5" customHeight="1" x14ac:dyDescent="0.15">
      <c r="A17" s="482"/>
      <c r="D17" s="475"/>
      <c r="W17" s="532"/>
      <c r="X17" s="532"/>
      <c r="Y17" s="532"/>
      <c r="Z17" s="532"/>
      <c r="AC17" s="924"/>
      <c r="AD17" s="924"/>
      <c r="AE17" s="924"/>
      <c r="AF17" s="924"/>
      <c r="AG17" s="867"/>
      <c r="AH17" s="876" t="s">
        <v>719</v>
      </c>
      <c r="AI17" s="805"/>
      <c r="AJ17" s="805"/>
      <c r="AK17" s="805"/>
      <c r="AL17" s="805"/>
      <c r="AM17" s="805"/>
      <c r="AN17" s="805"/>
      <c r="AO17" s="805"/>
      <c r="AP17" s="805"/>
      <c r="AQ17" s="805"/>
      <c r="AR17" s="805"/>
      <c r="AS17" s="805"/>
      <c r="AT17" s="805"/>
      <c r="AU17" s="805"/>
      <c r="AV17" s="805"/>
      <c r="AW17" s="805"/>
      <c r="AX17" s="805"/>
      <c r="AY17" s="805"/>
      <c r="AZ17" s="805"/>
      <c r="BA17" s="805"/>
      <c r="BB17" s="805"/>
      <c r="BC17" s="805"/>
      <c r="BD17" s="805"/>
      <c r="BE17" s="805"/>
      <c r="BF17" s="805"/>
      <c r="BG17" s="805"/>
      <c r="BH17" s="805"/>
      <c r="BI17" s="805"/>
      <c r="BJ17" s="805"/>
      <c r="BK17" s="805"/>
      <c r="BL17" s="805"/>
      <c r="BM17" s="805"/>
      <c r="BN17" s="805"/>
      <c r="BO17" s="805"/>
      <c r="BP17" s="805"/>
      <c r="BQ17" s="805"/>
      <c r="BR17" s="805"/>
      <c r="BS17" s="805"/>
      <c r="BT17" s="805"/>
      <c r="BU17" s="805"/>
      <c r="BV17" s="805"/>
      <c r="BW17" s="805"/>
      <c r="BX17" s="805"/>
      <c r="BY17" s="805"/>
      <c r="BZ17" s="805"/>
      <c r="CA17" s="805"/>
      <c r="CB17" s="805"/>
      <c r="CC17" s="805"/>
      <c r="CD17" s="805"/>
      <c r="CE17" s="805"/>
      <c r="CF17" s="805"/>
      <c r="CG17" s="805"/>
      <c r="CH17" s="805"/>
      <c r="CI17" s="805"/>
      <c r="CJ17" s="805"/>
      <c r="CK17" s="805"/>
      <c r="CL17" s="805"/>
      <c r="CM17" s="805"/>
      <c r="CN17" s="805"/>
      <c r="CO17" s="805"/>
      <c r="CP17" s="805"/>
      <c r="CQ17" s="805"/>
      <c r="CR17" s="805"/>
      <c r="CS17" s="805"/>
      <c r="CT17" s="805"/>
      <c r="CU17" s="867"/>
      <c r="CV17" s="876"/>
      <c r="CW17" s="924"/>
      <c r="CX17" s="924"/>
      <c r="CY17" s="924"/>
      <c r="CZ17" s="924"/>
      <c r="DE17" s="878"/>
      <c r="DH17" s="920"/>
      <c r="DI17" s="920"/>
      <c r="DJ17" s="920"/>
      <c r="DK17" s="920"/>
      <c r="DL17" s="847"/>
      <c r="DM17" s="847"/>
      <c r="DN17" s="920"/>
      <c r="DO17" s="920"/>
      <c r="DP17" s="920"/>
      <c r="DQ17" s="920"/>
      <c r="DT17" s="879"/>
    </row>
    <row r="18" spans="1:128" s="447" customFormat="1" ht="13.5" customHeight="1" x14ac:dyDescent="0.15">
      <c r="A18" s="482"/>
      <c r="D18" s="475"/>
      <c r="W18" s="532"/>
      <c r="X18" s="532"/>
      <c r="Y18" s="532"/>
      <c r="Z18" s="532"/>
      <c r="AC18" s="924"/>
      <c r="AD18" s="924"/>
      <c r="AE18" s="924"/>
      <c r="AF18" s="924"/>
      <c r="AG18" s="867"/>
      <c r="AH18" s="876"/>
      <c r="AI18" s="805"/>
      <c r="AJ18" s="805"/>
      <c r="AK18" s="805"/>
      <c r="AL18" s="805"/>
      <c r="AM18" s="805"/>
      <c r="AN18" s="805"/>
      <c r="AO18" s="805"/>
      <c r="AP18" s="805"/>
      <c r="AQ18" s="805"/>
      <c r="AR18" s="805"/>
      <c r="AS18" s="805"/>
      <c r="AT18" s="805"/>
      <c r="AU18" s="805"/>
      <c r="AV18" s="805"/>
      <c r="AW18" s="805"/>
      <c r="AX18" s="805"/>
      <c r="AY18" s="805"/>
      <c r="AZ18" s="805"/>
      <c r="BA18" s="805"/>
      <c r="BB18" s="805"/>
      <c r="BC18" s="805"/>
      <c r="BD18" s="805"/>
      <c r="BE18" s="805"/>
      <c r="BF18" s="805"/>
      <c r="BG18" s="805"/>
      <c r="BH18" s="805"/>
      <c r="BI18" s="805"/>
      <c r="BJ18" s="805"/>
      <c r="BK18" s="805"/>
      <c r="BL18" s="805"/>
      <c r="BM18" s="805"/>
      <c r="BN18" s="805"/>
      <c r="BO18" s="805"/>
      <c r="BP18" s="805"/>
      <c r="BQ18" s="805"/>
      <c r="BR18" s="805"/>
      <c r="BS18" s="805"/>
      <c r="BT18" s="805"/>
      <c r="BU18" s="805"/>
      <c r="BV18" s="805"/>
      <c r="BW18" s="805"/>
      <c r="BX18" s="805"/>
      <c r="BY18" s="805"/>
      <c r="BZ18" s="805"/>
      <c r="CA18" s="805"/>
      <c r="CB18" s="805"/>
      <c r="CC18" s="805"/>
      <c r="CD18" s="805"/>
      <c r="CE18" s="805"/>
      <c r="CF18" s="805"/>
      <c r="CG18" s="805"/>
      <c r="CH18" s="805"/>
      <c r="CI18" s="805"/>
      <c r="CJ18" s="805"/>
      <c r="CK18" s="805"/>
      <c r="CL18" s="805"/>
      <c r="CM18" s="805"/>
      <c r="CN18" s="805"/>
      <c r="CO18" s="805"/>
      <c r="CP18" s="805"/>
      <c r="CQ18" s="805"/>
      <c r="CR18" s="805"/>
      <c r="CS18" s="805"/>
      <c r="CT18" s="805"/>
      <c r="CU18" s="867"/>
      <c r="CV18" s="876"/>
      <c r="CW18" s="924"/>
      <c r="CX18" s="924"/>
      <c r="CY18" s="924"/>
      <c r="CZ18" s="924"/>
      <c r="DE18" s="878"/>
      <c r="DH18" s="920"/>
      <c r="DI18" s="920"/>
      <c r="DJ18" s="920"/>
      <c r="DK18" s="920"/>
      <c r="DL18" s="847"/>
      <c r="DM18" s="847"/>
      <c r="DN18" s="920"/>
      <c r="DO18" s="920"/>
      <c r="DP18" s="920"/>
      <c r="DQ18" s="920"/>
      <c r="DT18" s="879"/>
    </row>
    <row r="19" spans="1:128" s="447" customFormat="1" ht="13.5" customHeight="1" x14ac:dyDescent="0.15">
      <c r="A19" s="482"/>
      <c r="B19" s="258" t="str">
        <f>B44+2&amp;"日(月)"</f>
        <v>17日(月)</v>
      </c>
      <c r="D19" s="475"/>
      <c r="W19" s="532"/>
      <c r="X19" s="532"/>
      <c r="Y19" s="532"/>
      <c r="Z19" s="532"/>
      <c r="AC19" s="924"/>
      <c r="AD19" s="924"/>
      <c r="AE19" s="924"/>
      <c r="AF19" s="924"/>
      <c r="AG19" s="867"/>
      <c r="AH19" s="900">
        <v>0.5625</v>
      </c>
      <c r="AI19" s="805"/>
      <c r="AJ19" s="805"/>
      <c r="AK19" s="805"/>
      <c r="AL19" s="805"/>
      <c r="AM19" s="805"/>
      <c r="AN19" s="805"/>
      <c r="AO19" s="805"/>
      <c r="AP19" s="805"/>
      <c r="AQ19" s="805"/>
      <c r="AR19" s="805"/>
      <c r="AS19" s="805"/>
      <c r="AT19" s="805"/>
      <c r="AU19" s="805"/>
      <c r="AV19" s="805"/>
      <c r="AW19" s="805"/>
      <c r="AX19" s="805"/>
      <c r="AY19" s="805"/>
      <c r="AZ19" s="805"/>
      <c r="BA19" s="805"/>
      <c r="BB19" s="805"/>
      <c r="BC19" s="805"/>
      <c r="BD19" s="805"/>
      <c r="BE19" s="805"/>
      <c r="BF19" s="805"/>
      <c r="BG19" s="805"/>
      <c r="BH19" s="805"/>
      <c r="BI19" s="805"/>
      <c r="BJ19" s="805"/>
      <c r="BK19" s="805"/>
      <c r="BL19" s="805"/>
      <c r="BM19" s="805"/>
      <c r="BN19" s="805"/>
      <c r="BO19" s="805"/>
      <c r="BP19" s="805"/>
      <c r="BQ19" s="805"/>
      <c r="BR19" s="805"/>
      <c r="BS19" s="805"/>
      <c r="BT19" s="805"/>
      <c r="BU19" s="805"/>
      <c r="BV19" s="805"/>
      <c r="BW19" s="805"/>
      <c r="BX19" s="805"/>
      <c r="BY19" s="805"/>
      <c r="BZ19" s="805"/>
      <c r="CA19" s="805"/>
      <c r="CB19" s="805"/>
      <c r="CC19" s="805"/>
      <c r="CD19" s="805"/>
      <c r="CE19" s="805"/>
      <c r="CF19" s="805"/>
      <c r="CG19" s="805"/>
      <c r="CH19" s="805"/>
      <c r="CI19" s="805"/>
      <c r="CJ19" s="805"/>
      <c r="CK19" s="805"/>
      <c r="CL19" s="805"/>
      <c r="CM19" s="805"/>
      <c r="CN19" s="805"/>
      <c r="CO19" s="805"/>
      <c r="CP19" s="805"/>
      <c r="CQ19" s="805"/>
      <c r="CR19" s="805"/>
      <c r="CS19" s="805"/>
      <c r="CT19" s="805"/>
      <c r="CU19" s="867"/>
      <c r="CV19" s="876"/>
      <c r="CW19" s="924"/>
      <c r="CX19" s="924"/>
      <c r="CY19" s="924"/>
      <c r="CZ19" s="924"/>
      <c r="DE19" s="878"/>
      <c r="DH19" s="920"/>
      <c r="DI19" s="920"/>
      <c r="DJ19" s="920"/>
      <c r="DK19" s="920"/>
      <c r="DL19" s="847"/>
      <c r="DM19" s="847"/>
      <c r="DN19" s="920"/>
      <c r="DO19" s="920"/>
      <c r="DP19" s="920"/>
      <c r="DQ19" s="920"/>
      <c r="DT19" s="879"/>
    </row>
    <row r="20" spans="1:128" s="447" customFormat="1" ht="13.5" customHeight="1" x14ac:dyDescent="0.15">
      <c r="A20" s="482"/>
      <c r="D20" s="475"/>
      <c r="W20" s="532"/>
      <c r="X20" s="532"/>
      <c r="Y20" s="532"/>
      <c r="Z20" s="532"/>
      <c r="AC20" s="924"/>
      <c r="AD20" s="924"/>
      <c r="AE20" s="924"/>
      <c r="AF20" s="924"/>
      <c r="AG20" s="867"/>
      <c r="AH20" s="876"/>
      <c r="AI20" s="805"/>
      <c r="AJ20" s="805"/>
      <c r="AK20" s="805"/>
      <c r="AL20" s="805"/>
      <c r="AM20" s="805"/>
      <c r="AN20" s="805"/>
      <c r="AO20" s="805"/>
      <c r="AP20" s="805"/>
      <c r="AQ20" s="805"/>
      <c r="AR20" s="805"/>
      <c r="AS20" s="805"/>
      <c r="AT20" s="805"/>
      <c r="AU20" s="805"/>
      <c r="AV20" s="805"/>
      <c r="AW20" s="805"/>
      <c r="AX20" s="805"/>
      <c r="AY20" s="805"/>
      <c r="AZ20" s="805"/>
      <c r="BA20" s="805"/>
      <c r="BB20" s="805"/>
      <c r="BC20" s="805"/>
      <c r="BD20" s="805"/>
      <c r="BE20" s="805"/>
      <c r="BF20" s="805"/>
      <c r="BG20" s="805"/>
      <c r="BH20" s="805"/>
      <c r="BI20" s="805"/>
      <c r="BJ20" s="805"/>
      <c r="BK20" s="805"/>
      <c r="BL20" s="805"/>
      <c r="BM20" s="805"/>
      <c r="BN20" s="805"/>
      <c r="BO20" s="805"/>
      <c r="BP20" s="805"/>
      <c r="BQ20" s="805"/>
      <c r="BR20" s="805"/>
      <c r="BS20" s="805"/>
      <c r="BT20" s="805"/>
      <c r="BU20" s="805"/>
      <c r="BV20" s="805"/>
      <c r="BW20" s="805"/>
      <c r="BX20" s="805"/>
      <c r="BY20" s="805"/>
      <c r="BZ20" s="805"/>
      <c r="CA20" s="805"/>
      <c r="CB20" s="805"/>
      <c r="CC20" s="805"/>
      <c r="CD20" s="805"/>
      <c r="CE20" s="805"/>
      <c r="CF20" s="805"/>
      <c r="CG20" s="805"/>
      <c r="CH20" s="805"/>
      <c r="CI20" s="805"/>
      <c r="CJ20" s="805"/>
      <c r="CK20" s="805"/>
      <c r="CL20" s="805"/>
      <c r="CM20" s="805"/>
      <c r="CN20" s="805"/>
      <c r="CO20" s="805"/>
      <c r="CP20" s="805"/>
      <c r="CQ20" s="805"/>
      <c r="CR20" s="805"/>
      <c r="CS20" s="805"/>
      <c r="CT20" s="805"/>
      <c r="CU20" s="867"/>
      <c r="CV20" s="876"/>
      <c r="CW20" s="924"/>
      <c r="CX20" s="924"/>
      <c r="CY20" s="924"/>
      <c r="CZ20" s="924"/>
      <c r="DE20" s="878"/>
      <c r="DK20" s="805"/>
      <c r="DL20" s="805"/>
      <c r="DM20" s="805"/>
      <c r="DN20" s="805"/>
      <c r="DT20" s="879"/>
    </row>
    <row r="21" spans="1:128" s="447" customFormat="1" ht="13.5" customHeight="1" x14ac:dyDescent="0.15">
      <c r="A21" s="482"/>
      <c r="D21" s="475"/>
      <c r="AC21" s="924"/>
      <c r="AD21" s="924"/>
      <c r="AE21" s="924"/>
      <c r="AF21" s="924"/>
      <c r="AG21" s="867"/>
      <c r="BJ21" s="920"/>
      <c r="BK21" s="920"/>
      <c r="BL21" s="920"/>
      <c r="BM21" s="920"/>
      <c r="BN21" s="847"/>
      <c r="BO21" s="847"/>
      <c r="BP21" s="920"/>
      <c r="BQ21" s="920"/>
      <c r="BR21" s="920"/>
      <c r="BS21" s="920"/>
      <c r="CV21" s="876"/>
      <c r="CW21" s="924"/>
      <c r="CX21" s="924"/>
      <c r="CY21" s="924"/>
      <c r="CZ21" s="924"/>
      <c r="DE21" s="878"/>
      <c r="DH21" s="920"/>
      <c r="DI21" s="920"/>
      <c r="DJ21" s="920"/>
      <c r="DK21" s="920"/>
      <c r="DL21" s="847"/>
      <c r="DM21" s="847"/>
      <c r="DN21" s="920"/>
      <c r="DO21" s="920"/>
      <c r="DP21" s="920"/>
      <c r="DQ21" s="920"/>
      <c r="DT21" s="879"/>
    </row>
    <row r="22" spans="1:128" s="447" customFormat="1" ht="13.5" customHeight="1" x14ac:dyDescent="0.15">
      <c r="A22" s="482"/>
      <c r="D22" s="475"/>
      <c r="AG22" s="867"/>
      <c r="BM22" s="805"/>
      <c r="BN22" s="805"/>
      <c r="BO22" s="805"/>
      <c r="BP22" s="805"/>
      <c r="CV22" s="876"/>
      <c r="DE22" s="878"/>
      <c r="DT22" s="879"/>
    </row>
    <row r="23" spans="1:128" s="447" customFormat="1" ht="13.5" hidden="1" customHeight="1" x14ac:dyDescent="0.15">
      <c r="A23" s="482"/>
      <c r="D23" s="475"/>
      <c r="AG23" s="867"/>
      <c r="BJ23" s="805"/>
      <c r="BK23" s="805"/>
      <c r="BL23" s="805"/>
      <c r="BM23" s="805"/>
      <c r="BN23" s="847"/>
      <c r="BO23" s="847"/>
      <c r="BP23" s="805"/>
      <c r="BQ23" s="805"/>
      <c r="BR23" s="805"/>
      <c r="BS23" s="805"/>
      <c r="CV23" s="876"/>
      <c r="DA23" s="805"/>
      <c r="DB23" s="805"/>
      <c r="DC23" s="805"/>
      <c r="DD23" s="805"/>
      <c r="DE23" s="805"/>
      <c r="DF23" s="805"/>
      <c r="DG23" s="805"/>
      <c r="DH23" s="805"/>
      <c r="DI23" s="805"/>
      <c r="DJ23" s="805"/>
      <c r="DO23" s="805"/>
      <c r="DP23" s="805"/>
      <c r="DQ23" s="805"/>
      <c r="DR23" s="805"/>
      <c r="DS23" s="805"/>
      <c r="DT23" s="805"/>
      <c r="DU23" s="805"/>
      <c r="DV23" s="805"/>
      <c r="DW23" s="805"/>
      <c r="DX23" s="805"/>
    </row>
    <row r="24" spans="1:128" s="503" customFormat="1" ht="13.5" hidden="1" customHeight="1" x14ac:dyDescent="0.15">
      <c r="A24" s="502"/>
      <c r="D24" s="504"/>
      <c r="AA24" s="447"/>
      <c r="AG24" s="867"/>
      <c r="BM24" s="875"/>
      <c r="BN24" s="875"/>
      <c r="BO24" s="875"/>
      <c r="BP24" s="875"/>
      <c r="CV24" s="876"/>
      <c r="CY24" s="447"/>
    </row>
    <row r="25" spans="1:128" s="447" customFormat="1" ht="13.5" customHeight="1" x14ac:dyDescent="0.15">
      <c r="A25" s="482"/>
      <c r="D25" s="475"/>
      <c r="W25" s="805"/>
      <c r="X25" s="805"/>
      <c r="Y25" s="805"/>
      <c r="Z25" s="805"/>
      <c r="AC25" s="805"/>
      <c r="AD25" s="805"/>
      <c r="AE25" s="805"/>
      <c r="AF25" s="805"/>
      <c r="AG25" s="867"/>
      <c r="AI25" s="805"/>
      <c r="AJ25" s="805"/>
      <c r="AK25" s="805"/>
      <c r="AL25" s="805"/>
      <c r="CQ25" s="805"/>
      <c r="CR25" s="805"/>
      <c r="CS25" s="805"/>
      <c r="CT25" s="805"/>
      <c r="CV25" s="876"/>
      <c r="CW25" s="805"/>
      <c r="CX25" s="805"/>
      <c r="CY25" s="805"/>
      <c r="CZ25" s="805"/>
    </row>
    <row r="26" spans="1:128" s="487" customFormat="1" ht="13.5" hidden="1" customHeight="1" x14ac:dyDescent="0.15">
      <c r="A26" s="506"/>
      <c r="D26" s="488"/>
      <c r="W26" s="918"/>
      <c r="X26" s="918"/>
      <c r="Y26" s="918"/>
      <c r="Z26" s="918"/>
      <c r="AA26" s="447"/>
      <c r="AC26" s="918"/>
      <c r="AD26" s="918"/>
      <c r="AE26" s="918"/>
      <c r="AF26" s="918"/>
      <c r="AG26" s="867"/>
      <c r="AI26" s="918"/>
      <c r="AJ26" s="918"/>
      <c r="AK26" s="918"/>
      <c r="AL26" s="918"/>
      <c r="CQ26" s="918"/>
      <c r="CR26" s="918"/>
      <c r="CS26" s="918"/>
      <c r="CT26" s="918"/>
      <c r="CV26" s="876"/>
      <c r="CW26" s="918"/>
      <c r="CX26" s="918"/>
      <c r="CY26" s="918"/>
      <c r="CZ26" s="918"/>
    </row>
    <row r="27" spans="1:128" s="447" customFormat="1" ht="3.75" customHeight="1" thickBot="1" x14ac:dyDescent="0.2">
      <c r="A27" s="482"/>
      <c r="D27" s="475"/>
      <c r="P27" s="849"/>
      <c r="Q27" s="849"/>
      <c r="R27" s="849"/>
      <c r="S27" s="849"/>
      <c r="T27" s="849"/>
      <c r="U27" s="849"/>
      <c r="V27" s="849"/>
      <c r="W27" s="849"/>
      <c r="X27" s="849"/>
      <c r="Y27" s="849"/>
      <c r="Z27" s="849"/>
      <c r="AA27" s="849"/>
      <c r="AB27" s="849"/>
      <c r="AC27" s="849"/>
      <c r="AD27" s="849"/>
      <c r="AE27" s="849"/>
      <c r="AF27" s="849"/>
      <c r="AG27" s="872"/>
      <c r="AH27" s="850"/>
      <c r="AI27" s="851"/>
      <c r="AJ27" s="851"/>
      <c r="AK27" s="851"/>
      <c r="AL27" s="851"/>
      <c r="AM27" s="851"/>
      <c r="AN27" s="851"/>
      <c r="AO27" s="851"/>
      <c r="AP27" s="851"/>
      <c r="AQ27" s="851"/>
      <c r="AR27" s="851"/>
      <c r="AS27" s="851"/>
      <c r="AT27" s="851"/>
      <c r="AU27" s="851"/>
      <c r="AV27" s="851"/>
      <c r="CG27" s="851"/>
      <c r="CH27" s="851"/>
      <c r="CI27" s="851"/>
      <c r="CJ27" s="851"/>
      <c r="CK27" s="851"/>
      <c r="CL27" s="851"/>
      <c r="CM27" s="851"/>
      <c r="CN27" s="851"/>
      <c r="CO27" s="851"/>
      <c r="CP27" s="851"/>
      <c r="CQ27" s="851"/>
      <c r="CR27" s="851"/>
      <c r="CS27" s="851"/>
      <c r="CT27" s="851"/>
      <c r="CU27" s="872"/>
      <c r="CV27" s="850"/>
      <c r="CW27" s="849"/>
      <c r="CX27" s="849"/>
      <c r="CY27" s="849"/>
      <c r="CZ27" s="849"/>
      <c r="DA27" s="849"/>
      <c r="DB27" s="849"/>
      <c r="DC27" s="849"/>
      <c r="DD27" s="849"/>
      <c r="DE27" s="849"/>
      <c r="DF27" s="849"/>
      <c r="DG27" s="849"/>
      <c r="DH27" s="849"/>
      <c r="DI27" s="849"/>
      <c r="DJ27" s="849"/>
      <c r="DK27" s="849"/>
      <c r="DL27" s="849"/>
      <c r="DM27" s="849"/>
    </row>
    <row r="28" spans="1:128" s="447" customFormat="1" ht="13.5" customHeight="1" thickTop="1" x14ac:dyDescent="0.15">
      <c r="A28" s="482"/>
      <c r="D28" s="475"/>
      <c r="K28" s="534"/>
      <c r="L28" s="534"/>
      <c r="M28" s="534"/>
      <c r="N28" s="534"/>
      <c r="O28" s="928"/>
      <c r="P28" s="926"/>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8"/>
      <c r="AW28" s="876"/>
      <c r="AX28" s="924"/>
      <c r="AY28" s="924"/>
      <c r="AZ28" s="924"/>
      <c r="BA28" s="924"/>
      <c r="CB28" s="924"/>
      <c r="CC28" s="924"/>
      <c r="CD28" s="924"/>
      <c r="CE28" s="924"/>
      <c r="CF28" s="867"/>
      <c r="CG28" s="926"/>
      <c r="CH28" s="924"/>
      <c r="CI28" s="924"/>
      <c r="CJ28" s="924"/>
      <c r="CK28" s="924"/>
      <c r="CL28" s="924"/>
      <c r="CM28" s="924"/>
      <c r="CN28" s="924"/>
      <c r="CO28" s="924"/>
      <c r="CP28" s="924"/>
      <c r="CQ28" s="924"/>
      <c r="CR28" s="924"/>
      <c r="CS28" s="924"/>
      <c r="CT28" s="924"/>
      <c r="CU28" s="924"/>
      <c r="CV28" s="924"/>
      <c r="CW28" s="924"/>
      <c r="CX28" s="924"/>
      <c r="CY28" s="924"/>
      <c r="CZ28" s="924"/>
      <c r="DA28" s="924"/>
      <c r="DB28" s="924"/>
      <c r="DC28" s="924"/>
      <c r="DD28" s="924"/>
      <c r="DE28" s="924"/>
      <c r="DF28" s="924"/>
      <c r="DG28" s="924"/>
      <c r="DH28" s="924"/>
      <c r="DI28" s="924"/>
      <c r="DJ28" s="924"/>
      <c r="DK28" s="924"/>
      <c r="DL28" s="924"/>
      <c r="DM28" s="928"/>
      <c r="DN28" s="926"/>
      <c r="DO28" s="924"/>
      <c r="DP28" s="924"/>
      <c r="DQ28" s="924"/>
      <c r="DR28" s="924"/>
    </row>
    <row r="29" spans="1:128" s="447" customFormat="1" ht="13.5" customHeight="1" x14ac:dyDescent="0.15">
      <c r="A29" s="482"/>
      <c r="D29" s="475"/>
      <c r="K29" s="534"/>
      <c r="L29" s="534"/>
      <c r="M29" s="534"/>
      <c r="N29" s="534"/>
      <c r="O29" s="928"/>
      <c r="P29" s="876" t="s">
        <v>719</v>
      </c>
      <c r="Q29" s="805"/>
      <c r="R29" s="805"/>
      <c r="S29" s="805"/>
      <c r="T29" s="805"/>
      <c r="U29" s="805"/>
      <c r="V29" s="805"/>
      <c r="W29" s="805"/>
      <c r="X29" s="805"/>
      <c r="Y29" s="805"/>
      <c r="Z29" s="805"/>
      <c r="AA29" s="805"/>
      <c r="AB29" s="805"/>
      <c r="AC29" s="805"/>
      <c r="AD29" s="805"/>
      <c r="AE29" s="805"/>
      <c r="AF29" s="805"/>
      <c r="AG29" s="805"/>
      <c r="AH29" s="805"/>
      <c r="AI29" s="805"/>
      <c r="AJ29" s="805"/>
      <c r="AK29" s="805"/>
      <c r="AL29" s="805"/>
      <c r="AM29" s="805"/>
      <c r="AN29" s="805"/>
      <c r="AO29" s="805"/>
      <c r="AP29" s="805"/>
      <c r="AQ29" s="805"/>
      <c r="AR29" s="805"/>
      <c r="AS29" s="805"/>
      <c r="AT29" s="805"/>
      <c r="AU29" s="805"/>
      <c r="AV29" s="867"/>
      <c r="AW29" s="876"/>
      <c r="AX29" s="924"/>
      <c r="AY29" s="924"/>
      <c r="AZ29" s="924"/>
      <c r="BA29" s="924"/>
      <c r="CB29" s="924"/>
      <c r="CC29" s="924"/>
      <c r="CD29" s="924"/>
      <c r="CE29" s="924"/>
      <c r="CF29" s="867"/>
      <c r="CG29" s="876" t="s">
        <v>692</v>
      </c>
      <c r="CH29" s="805"/>
      <c r="CI29" s="805"/>
      <c r="CJ29" s="805"/>
      <c r="CK29" s="805"/>
      <c r="CL29" s="805"/>
      <c r="CM29" s="805"/>
      <c r="CN29" s="805"/>
      <c r="CO29" s="805"/>
      <c r="CP29" s="805"/>
      <c r="CQ29" s="805"/>
      <c r="CR29" s="805"/>
      <c r="CS29" s="805"/>
      <c r="CT29" s="805"/>
      <c r="CU29" s="805"/>
      <c r="CV29" s="805"/>
      <c r="CW29" s="805"/>
      <c r="CX29" s="805"/>
      <c r="CY29" s="805"/>
      <c r="CZ29" s="805"/>
      <c r="DA29" s="805"/>
      <c r="DB29" s="805"/>
      <c r="DC29" s="805"/>
      <c r="DD29" s="805"/>
      <c r="DE29" s="805"/>
      <c r="DF29" s="805"/>
      <c r="DG29" s="805"/>
      <c r="DH29" s="805"/>
      <c r="DI29" s="805"/>
      <c r="DJ29" s="805"/>
      <c r="DK29" s="805"/>
      <c r="DL29" s="805"/>
      <c r="DM29" s="867"/>
      <c r="DN29" s="926"/>
      <c r="DO29" s="924"/>
      <c r="DP29" s="924"/>
      <c r="DQ29" s="924"/>
      <c r="DR29" s="924"/>
    </row>
    <row r="30" spans="1:128" s="447" customFormat="1" ht="13.5" customHeight="1" x14ac:dyDescent="0.15">
      <c r="A30" s="482"/>
      <c r="D30" s="475"/>
      <c r="K30" s="534"/>
      <c r="L30" s="534"/>
      <c r="M30" s="534"/>
      <c r="N30" s="534"/>
      <c r="O30" s="928"/>
      <c r="P30" s="926"/>
      <c r="Q30" s="924"/>
      <c r="R30" s="924"/>
      <c r="S30" s="924"/>
      <c r="T30" s="924"/>
      <c r="U30" s="924"/>
      <c r="V30" s="924"/>
      <c r="W30" s="924"/>
      <c r="X30" s="924"/>
      <c r="Y30" s="924"/>
      <c r="Z30" s="924"/>
      <c r="AA30" s="924"/>
      <c r="AB30" s="924"/>
      <c r="AC30" s="924"/>
      <c r="AD30" s="924"/>
      <c r="AE30" s="924"/>
      <c r="AF30" s="924"/>
      <c r="AG30" s="924"/>
      <c r="AH30" s="924"/>
      <c r="AI30" s="924"/>
      <c r="AJ30" s="924"/>
      <c r="AK30" s="924"/>
      <c r="AL30" s="924"/>
      <c r="AM30" s="924"/>
      <c r="AN30" s="924"/>
      <c r="AO30" s="924"/>
      <c r="AP30" s="924"/>
      <c r="AQ30" s="924"/>
      <c r="AR30" s="924"/>
      <c r="AS30" s="924"/>
      <c r="AT30" s="924"/>
      <c r="AU30" s="924"/>
      <c r="AV30" s="928"/>
      <c r="AW30" s="876"/>
      <c r="AX30" s="924"/>
      <c r="AY30" s="924"/>
      <c r="AZ30" s="924"/>
      <c r="BA30" s="924"/>
      <c r="CB30" s="924"/>
      <c r="CC30" s="924"/>
      <c r="CD30" s="924"/>
      <c r="CE30" s="924"/>
      <c r="CF30" s="867"/>
      <c r="CG30" s="876"/>
      <c r="CH30" s="805"/>
      <c r="CI30" s="805"/>
      <c r="CJ30" s="805"/>
      <c r="CK30" s="805"/>
      <c r="CL30" s="805"/>
      <c r="CM30" s="805"/>
      <c r="CN30" s="805"/>
      <c r="CO30" s="805"/>
      <c r="CP30" s="805"/>
      <c r="CQ30" s="805"/>
      <c r="CR30" s="805"/>
      <c r="CS30" s="805"/>
      <c r="CT30" s="805"/>
      <c r="CU30" s="805"/>
      <c r="CV30" s="805"/>
      <c r="CW30" s="805"/>
      <c r="CX30" s="805"/>
      <c r="CY30" s="805"/>
      <c r="CZ30" s="805"/>
      <c r="DA30" s="805"/>
      <c r="DB30" s="805"/>
      <c r="DC30" s="805"/>
      <c r="DD30" s="805"/>
      <c r="DE30" s="805"/>
      <c r="DF30" s="805"/>
      <c r="DG30" s="805"/>
      <c r="DH30" s="805"/>
      <c r="DI30" s="805"/>
      <c r="DJ30" s="805"/>
      <c r="DK30" s="805"/>
      <c r="DL30" s="805"/>
      <c r="DM30" s="867"/>
      <c r="DN30" s="926"/>
      <c r="DO30" s="924"/>
      <c r="DP30" s="924"/>
      <c r="DQ30" s="924"/>
      <c r="DR30" s="924"/>
    </row>
    <row r="31" spans="1:128" s="447" customFormat="1" ht="13.5" customHeight="1" x14ac:dyDescent="0.15">
      <c r="A31" s="482"/>
      <c r="D31" s="475"/>
      <c r="K31" s="534"/>
      <c r="L31" s="534"/>
      <c r="M31" s="534"/>
      <c r="N31" s="534"/>
      <c r="O31" s="928"/>
      <c r="P31" s="900">
        <v>0.375</v>
      </c>
      <c r="Q31" s="805"/>
      <c r="R31" s="805"/>
      <c r="S31" s="805"/>
      <c r="T31" s="805"/>
      <c r="U31" s="805"/>
      <c r="V31" s="805"/>
      <c r="W31" s="805"/>
      <c r="X31" s="805"/>
      <c r="Y31" s="805"/>
      <c r="Z31" s="805"/>
      <c r="AA31" s="805"/>
      <c r="AB31" s="805"/>
      <c r="AC31" s="805"/>
      <c r="AD31" s="805"/>
      <c r="AE31" s="805"/>
      <c r="AF31" s="805"/>
      <c r="AG31" s="805"/>
      <c r="AH31" s="805"/>
      <c r="AI31" s="805"/>
      <c r="AJ31" s="805"/>
      <c r="AK31" s="805"/>
      <c r="AL31" s="805"/>
      <c r="AM31" s="805"/>
      <c r="AN31" s="805"/>
      <c r="AO31" s="805"/>
      <c r="AP31" s="805"/>
      <c r="AQ31" s="805"/>
      <c r="AR31" s="805"/>
      <c r="AS31" s="805"/>
      <c r="AT31" s="805"/>
      <c r="AU31" s="805"/>
      <c r="AV31" s="867"/>
      <c r="AW31" s="876"/>
      <c r="AX31" s="924"/>
      <c r="AY31" s="924"/>
      <c r="AZ31" s="924"/>
      <c r="BA31" s="924"/>
      <c r="CB31" s="924"/>
      <c r="CC31" s="924"/>
      <c r="CD31" s="924"/>
      <c r="CE31" s="924"/>
      <c r="CF31" s="867"/>
      <c r="CG31" s="900">
        <v>0.375</v>
      </c>
      <c r="CH31" s="805"/>
      <c r="CI31" s="805"/>
      <c r="CJ31" s="805"/>
      <c r="CK31" s="805"/>
      <c r="CL31" s="805"/>
      <c r="CM31" s="805"/>
      <c r="CN31" s="805"/>
      <c r="CO31" s="805"/>
      <c r="CP31" s="805"/>
      <c r="CQ31" s="805"/>
      <c r="CR31" s="805"/>
      <c r="CS31" s="805"/>
      <c r="CT31" s="805"/>
      <c r="CU31" s="805"/>
      <c r="CV31" s="805"/>
      <c r="CW31" s="805"/>
      <c r="CX31" s="805"/>
      <c r="CY31" s="805"/>
      <c r="CZ31" s="805"/>
      <c r="DA31" s="805"/>
      <c r="DB31" s="805"/>
      <c r="DC31" s="805"/>
      <c r="DD31" s="805"/>
      <c r="DE31" s="805"/>
      <c r="DF31" s="805"/>
      <c r="DG31" s="805"/>
      <c r="DH31" s="805"/>
      <c r="DI31" s="805"/>
      <c r="DJ31" s="805"/>
      <c r="DK31" s="805"/>
      <c r="DL31" s="805"/>
      <c r="DM31" s="867"/>
      <c r="DN31" s="926"/>
      <c r="DO31" s="924"/>
      <c r="DP31" s="924"/>
      <c r="DQ31" s="924"/>
      <c r="DR31" s="924"/>
    </row>
    <row r="32" spans="1:128" s="447" customFormat="1" ht="13.5" customHeight="1" x14ac:dyDescent="0.15">
      <c r="A32" s="482"/>
      <c r="D32" s="475"/>
      <c r="K32" s="534"/>
      <c r="L32" s="534"/>
      <c r="M32" s="534"/>
      <c r="N32" s="534"/>
      <c r="O32" s="928"/>
      <c r="P32" s="926"/>
      <c r="Q32" s="924"/>
      <c r="R32" s="924"/>
      <c r="S32" s="924"/>
      <c r="T32" s="924"/>
      <c r="U32" s="924"/>
      <c r="V32" s="924"/>
      <c r="W32" s="924"/>
      <c r="X32" s="924"/>
      <c r="Y32" s="924"/>
      <c r="Z32" s="924"/>
      <c r="AA32" s="924"/>
      <c r="AB32" s="924"/>
      <c r="AC32" s="924"/>
      <c r="AD32" s="924"/>
      <c r="AE32" s="924"/>
      <c r="AF32" s="924"/>
      <c r="AG32" s="924"/>
      <c r="AH32" s="924"/>
      <c r="AI32" s="924"/>
      <c r="AJ32" s="924"/>
      <c r="AK32" s="924"/>
      <c r="AL32" s="924"/>
      <c r="AM32" s="924"/>
      <c r="AN32" s="924"/>
      <c r="AO32" s="924"/>
      <c r="AP32" s="924"/>
      <c r="AQ32" s="924"/>
      <c r="AR32" s="924"/>
      <c r="AS32" s="924"/>
      <c r="AT32" s="924"/>
      <c r="AU32" s="924"/>
      <c r="AV32" s="928"/>
      <c r="AW32" s="876"/>
      <c r="AX32" s="924"/>
      <c r="AY32" s="924"/>
      <c r="AZ32" s="924"/>
      <c r="BA32" s="924"/>
      <c r="CB32" s="924"/>
      <c r="CC32" s="924"/>
      <c r="CD32" s="924"/>
      <c r="CE32" s="924"/>
      <c r="CF32" s="867"/>
      <c r="CG32" s="926"/>
      <c r="CH32" s="924"/>
      <c r="CI32" s="924"/>
      <c r="CJ32" s="924"/>
      <c r="CK32" s="924"/>
      <c r="CL32" s="924"/>
      <c r="CM32" s="924"/>
      <c r="CN32" s="924"/>
      <c r="CO32" s="924"/>
      <c r="CP32" s="924"/>
      <c r="CQ32" s="924"/>
      <c r="CR32" s="924"/>
      <c r="CS32" s="924"/>
      <c r="CT32" s="924"/>
      <c r="CU32" s="924"/>
      <c r="CV32" s="924"/>
      <c r="CW32" s="924"/>
      <c r="CX32" s="924"/>
      <c r="CY32" s="924"/>
      <c r="CZ32" s="924"/>
      <c r="DA32" s="924"/>
      <c r="DB32" s="924"/>
      <c r="DC32" s="924"/>
      <c r="DD32" s="924"/>
      <c r="DE32" s="924"/>
      <c r="DF32" s="924"/>
      <c r="DG32" s="924"/>
      <c r="DH32" s="924"/>
      <c r="DI32" s="924"/>
      <c r="DJ32" s="924"/>
      <c r="DK32" s="924"/>
      <c r="DL32" s="924"/>
      <c r="DM32" s="928"/>
      <c r="DN32" s="926"/>
      <c r="DO32" s="924"/>
      <c r="DP32" s="924"/>
      <c r="DQ32" s="924"/>
      <c r="DR32" s="924"/>
    </row>
    <row r="33" spans="1:130" s="447" customFormat="1" ht="13.5" customHeight="1" x14ac:dyDescent="0.15">
      <c r="A33" s="482"/>
      <c r="D33" s="475"/>
      <c r="K33" s="534"/>
      <c r="L33" s="534"/>
      <c r="M33" s="534"/>
      <c r="N33" s="534"/>
      <c r="O33" s="928"/>
      <c r="P33" s="532"/>
      <c r="Q33" s="532"/>
      <c r="W33" s="533"/>
      <c r="X33" s="533"/>
      <c r="Y33" s="533"/>
      <c r="Z33" s="533"/>
      <c r="AA33" s="496"/>
      <c r="AB33" s="496"/>
      <c r="AC33" s="920"/>
      <c r="AD33" s="920"/>
      <c r="AE33" s="920"/>
      <c r="AF33" s="920"/>
      <c r="AG33" s="847"/>
      <c r="AH33" s="847"/>
      <c r="AI33" s="920"/>
      <c r="AJ33" s="920"/>
      <c r="AK33" s="920"/>
      <c r="AL33" s="920"/>
      <c r="AW33" s="876"/>
      <c r="AX33" s="924"/>
      <c r="AY33" s="924"/>
      <c r="AZ33" s="924"/>
      <c r="BA33" s="924"/>
      <c r="CB33" s="924"/>
      <c r="CC33" s="924"/>
      <c r="CD33" s="924"/>
      <c r="CE33" s="924"/>
      <c r="CF33" s="867"/>
      <c r="CQ33" s="920"/>
      <c r="CR33" s="920"/>
      <c r="CS33" s="920"/>
      <c r="CT33" s="920"/>
      <c r="CU33" s="847"/>
      <c r="CV33" s="847"/>
      <c r="CW33" s="920"/>
      <c r="CX33" s="920"/>
      <c r="CY33" s="920"/>
      <c r="CZ33" s="920"/>
      <c r="DL33" s="532"/>
      <c r="DM33" s="532"/>
      <c r="DN33" s="926"/>
      <c r="DO33" s="924"/>
      <c r="DP33" s="924"/>
      <c r="DQ33" s="924"/>
      <c r="DR33" s="924"/>
    </row>
    <row r="34" spans="1:130" s="503" customFormat="1" ht="13.5" customHeight="1" x14ac:dyDescent="0.15">
      <c r="A34" s="258" t="str">
        <f>B44+1&amp;"日(日)"</f>
        <v>16日(日)</v>
      </c>
      <c r="B34" s="258" t="str">
        <f>B44+1&amp;"日(日)"</f>
        <v>16日(日)</v>
      </c>
      <c r="C34" s="258"/>
      <c r="D34" s="258"/>
      <c r="E34" s="258"/>
      <c r="F34" s="258"/>
      <c r="G34" s="258"/>
      <c r="H34" s="258"/>
      <c r="I34" s="258"/>
      <c r="J34" s="258"/>
      <c r="K34" s="258"/>
      <c r="L34" s="258"/>
      <c r="M34" s="258"/>
      <c r="N34" s="258"/>
      <c r="O34" s="928"/>
      <c r="R34" s="447"/>
      <c r="W34" s="533"/>
      <c r="X34" s="533"/>
      <c r="Y34" s="533"/>
      <c r="Z34" s="533"/>
      <c r="AA34" s="496"/>
      <c r="AB34" s="496"/>
      <c r="AF34" s="875"/>
      <c r="AG34" s="875"/>
      <c r="AH34" s="875"/>
      <c r="AI34" s="875"/>
      <c r="AW34" s="876"/>
      <c r="CF34" s="867"/>
      <c r="CT34" s="875"/>
      <c r="CU34" s="875"/>
      <c r="CV34" s="875"/>
      <c r="CW34" s="875"/>
      <c r="DK34" s="447"/>
      <c r="DN34" s="926"/>
    </row>
    <row r="35" spans="1:130" s="447" customFormat="1" ht="13.5" customHeight="1" x14ac:dyDescent="0.15">
      <c r="A35" s="482"/>
      <c r="D35" s="475"/>
      <c r="K35" s="805"/>
      <c r="L35" s="805"/>
      <c r="M35" s="805"/>
      <c r="N35" s="805"/>
      <c r="O35" s="928"/>
      <c r="Q35" s="805"/>
      <c r="R35" s="805"/>
      <c r="S35" s="805"/>
      <c r="T35" s="805"/>
      <c r="AR35" s="805"/>
      <c r="AS35" s="805"/>
      <c r="AT35" s="805"/>
      <c r="AU35" s="805"/>
      <c r="AW35" s="876"/>
      <c r="AX35" s="805"/>
      <c r="AY35" s="805"/>
      <c r="AZ35" s="805"/>
      <c r="BA35" s="805"/>
      <c r="CB35" s="805"/>
      <c r="CC35" s="805"/>
      <c r="CD35" s="805"/>
      <c r="CE35" s="805"/>
      <c r="CF35" s="867"/>
      <c r="CH35" s="805"/>
      <c r="CI35" s="805"/>
      <c r="CJ35" s="805"/>
      <c r="CK35" s="805"/>
      <c r="DI35" s="805"/>
      <c r="DJ35" s="805"/>
      <c r="DK35" s="805"/>
      <c r="DL35" s="805"/>
      <c r="DN35" s="926"/>
      <c r="DO35" s="805"/>
      <c r="DP35" s="805"/>
      <c r="DQ35" s="805"/>
      <c r="DR35" s="805"/>
    </row>
    <row r="36" spans="1:130" s="487" customFormat="1" ht="13.5" hidden="1" customHeight="1" x14ac:dyDescent="0.15">
      <c r="A36" s="506"/>
      <c r="D36" s="488"/>
      <c r="K36" s="918"/>
      <c r="L36" s="918"/>
      <c r="M36" s="918"/>
      <c r="N36" s="918"/>
      <c r="O36" s="928"/>
      <c r="Q36" s="918"/>
      <c r="R36" s="918"/>
      <c r="S36" s="918"/>
      <c r="T36" s="918"/>
      <c r="AR36" s="918"/>
      <c r="AS36" s="918"/>
      <c r="AT36" s="918"/>
      <c r="AU36" s="918"/>
      <c r="AW36" s="876"/>
      <c r="AX36" s="918"/>
      <c r="AY36" s="918"/>
      <c r="AZ36" s="918"/>
      <c r="BA36" s="918"/>
      <c r="CB36" s="918"/>
      <c r="CC36" s="918"/>
      <c r="CD36" s="918"/>
      <c r="CE36" s="918"/>
      <c r="CF36" s="867"/>
      <c r="CH36" s="918"/>
      <c r="CI36" s="918"/>
      <c r="CJ36" s="918"/>
      <c r="CK36" s="918"/>
      <c r="DI36" s="918"/>
      <c r="DJ36" s="918"/>
      <c r="DK36" s="918"/>
      <c r="DL36" s="918"/>
      <c r="DN36" s="926"/>
      <c r="DO36" s="918"/>
      <c r="DP36" s="918"/>
      <c r="DQ36" s="918"/>
      <c r="DR36" s="918"/>
    </row>
    <row r="37" spans="1:130" s="447" customFormat="1" ht="3.75" customHeight="1" thickBot="1" x14ac:dyDescent="0.2">
      <c r="A37" s="482"/>
      <c r="D37" s="475"/>
      <c r="H37" s="851"/>
      <c r="I37" s="851"/>
      <c r="J37" s="851"/>
      <c r="K37" s="851"/>
      <c r="L37" s="851"/>
      <c r="M37" s="851"/>
      <c r="N37" s="851"/>
      <c r="O37" s="929"/>
      <c r="P37" s="850"/>
      <c r="Q37" s="851"/>
      <c r="R37" s="851"/>
      <c r="S37" s="851"/>
      <c r="T37" s="851"/>
      <c r="U37" s="851"/>
      <c r="V37" s="851"/>
      <c r="W37" s="851"/>
      <c r="X37" s="851"/>
      <c r="AL37" s="851"/>
      <c r="AM37" s="851"/>
      <c r="AN37" s="851"/>
      <c r="AO37" s="851"/>
      <c r="AP37" s="851"/>
      <c r="AQ37" s="851"/>
      <c r="AR37" s="851"/>
      <c r="AS37" s="851"/>
      <c r="AT37" s="851"/>
      <c r="AU37" s="851"/>
      <c r="AV37" s="851"/>
      <c r="AW37" s="850"/>
      <c r="AX37" s="851"/>
      <c r="AY37" s="851"/>
      <c r="AZ37" s="851"/>
      <c r="BA37" s="851"/>
      <c r="BB37" s="851"/>
      <c r="BC37" s="851"/>
      <c r="BD37" s="851"/>
      <c r="BE37" s="851"/>
      <c r="BF37" s="851"/>
      <c r="BG37" s="851"/>
      <c r="BV37" s="851"/>
      <c r="BW37" s="851"/>
      <c r="BX37" s="851"/>
      <c r="BY37" s="851"/>
      <c r="BZ37" s="851"/>
      <c r="CA37" s="851"/>
      <c r="CB37" s="851"/>
      <c r="CC37" s="851"/>
      <c r="CD37" s="851"/>
      <c r="CE37" s="851"/>
      <c r="CF37" s="872"/>
      <c r="CG37" s="851"/>
      <c r="CH37" s="851"/>
      <c r="CI37" s="851"/>
      <c r="CJ37" s="851"/>
      <c r="CK37" s="851"/>
      <c r="CL37" s="851"/>
      <c r="CM37" s="851"/>
      <c r="CN37" s="851"/>
      <c r="CO37" s="851"/>
      <c r="CP37" s="851"/>
      <c r="CQ37" s="851"/>
      <c r="DE37" s="851"/>
      <c r="DF37" s="851"/>
      <c r="DG37" s="851"/>
      <c r="DH37" s="851"/>
      <c r="DI37" s="851"/>
      <c r="DJ37" s="851"/>
      <c r="DK37" s="851"/>
      <c r="DL37" s="851"/>
      <c r="DM37" s="872"/>
      <c r="DN37" s="927"/>
      <c r="DO37" s="851"/>
      <c r="DP37" s="851"/>
      <c r="DQ37" s="851"/>
      <c r="DR37" s="851"/>
      <c r="DS37" s="851"/>
      <c r="DT37" s="851"/>
      <c r="DU37" s="851"/>
    </row>
    <row r="38" spans="1:130" s="447" customFormat="1" ht="13.5" customHeight="1" thickTop="1" x14ac:dyDescent="0.15">
      <c r="A38" s="482"/>
      <c r="C38" s="534"/>
      <c r="D38" s="534"/>
      <c r="E38" s="534"/>
      <c r="F38" s="534"/>
      <c r="G38" s="867"/>
      <c r="H38" s="905"/>
      <c r="I38" s="906"/>
      <c r="J38" s="906"/>
      <c r="K38" s="906"/>
      <c r="L38" s="906"/>
      <c r="M38" s="906"/>
      <c r="N38" s="906"/>
      <c r="O38" s="906"/>
      <c r="P38" s="906"/>
      <c r="Q38" s="906"/>
      <c r="R38" s="906"/>
      <c r="S38" s="906"/>
      <c r="T38" s="906"/>
      <c r="U38" s="906"/>
      <c r="V38" s="906"/>
      <c r="W38" s="906"/>
      <c r="X38" s="907"/>
      <c r="Y38" s="879"/>
      <c r="Z38" s="924"/>
      <c r="AA38" s="924"/>
      <c r="AB38" s="924"/>
      <c r="AC38" s="924"/>
      <c r="AG38" s="924"/>
      <c r="AH38" s="924"/>
      <c r="AI38" s="924"/>
      <c r="AJ38" s="924"/>
      <c r="AK38" s="867"/>
      <c r="AL38" s="905"/>
      <c r="AM38" s="906"/>
      <c r="AN38" s="906"/>
      <c r="AO38" s="906"/>
      <c r="AP38" s="906"/>
      <c r="AQ38" s="906"/>
      <c r="AR38" s="906"/>
      <c r="AS38" s="906"/>
      <c r="AT38" s="906"/>
      <c r="AU38" s="906"/>
      <c r="AV38" s="906"/>
      <c r="AW38" s="906"/>
      <c r="AX38" s="906"/>
      <c r="AY38" s="906"/>
      <c r="AZ38" s="906"/>
      <c r="BA38" s="906"/>
      <c r="BB38" s="906"/>
      <c r="BC38" s="906"/>
      <c r="BD38" s="906"/>
      <c r="BE38" s="906"/>
      <c r="BF38" s="906"/>
      <c r="BG38" s="917"/>
      <c r="BH38" s="876"/>
      <c r="BI38" s="924"/>
      <c r="BJ38" s="924"/>
      <c r="BK38" s="924"/>
      <c r="BL38" s="924"/>
      <c r="BQ38" s="924"/>
      <c r="BR38" s="924"/>
      <c r="BS38" s="924"/>
      <c r="BT38" s="924"/>
      <c r="BU38" s="867"/>
      <c r="BV38" s="905"/>
      <c r="BW38" s="906"/>
      <c r="BX38" s="906"/>
      <c r="BY38" s="906"/>
      <c r="BZ38" s="906"/>
      <c r="CA38" s="906"/>
      <c r="CB38" s="906"/>
      <c r="CC38" s="906"/>
      <c r="CD38" s="906"/>
      <c r="CE38" s="906"/>
      <c r="CF38" s="906"/>
      <c r="CG38" s="906"/>
      <c r="CH38" s="906"/>
      <c r="CI38" s="906"/>
      <c r="CJ38" s="906"/>
      <c r="CK38" s="906"/>
      <c r="CL38" s="906"/>
      <c r="CM38" s="906"/>
      <c r="CN38" s="906"/>
      <c r="CO38" s="906"/>
      <c r="CP38" s="906"/>
      <c r="CQ38" s="917"/>
      <c r="CR38" s="876"/>
      <c r="CS38" s="924"/>
      <c r="CT38" s="924"/>
      <c r="CU38" s="924"/>
      <c r="CV38" s="924"/>
      <c r="CZ38" s="924"/>
      <c r="DA38" s="924"/>
      <c r="DB38" s="924"/>
      <c r="DC38" s="924"/>
      <c r="DD38" s="867"/>
      <c r="DE38" s="905"/>
      <c r="DF38" s="906"/>
      <c r="DG38" s="906"/>
      <c r="DH38" s="906"/>
      <c r="DI38" s="906"/>
      <c r="DJ38" s="906"/>
      <c r="DK38" s="906"/>
      <c r="DL38" s="906"/>
      <c r="DM38" s="906"/>
      <c r="DN38" s="906"/>
      <c r="DO38" s="906"/>
      <c r="DP38" s="906"/>
      <c r="DQ38" s="906"/>
      <c r="DR38" s="906"/>
      <c r="DS38" s="906"/>
      <c r="DT38" s="906"/>
      <c r="DU38" s="907"/>
      <c r="DV38" s="876"/>
      <c r="DW38" s="924"/>
      <c r="DX38" s="924"/>
      <c r="DY38" s="924"/>
      <c r="DZ38" s="924"/>
    </row>
    <row r="39" spans="1:130" s="447" customFormat="1" ht="13.5" customHeight="1" x14ac:dyDescent="0.15">
      <c r="A39" s="482"/>
      <c r="C39" s="534"/>
      <c r="D39" s="534"/>
      <c r="E39" s="534"/>
      <c r="F39" s="534"/>
      <c r="G39" s="867"/>
      <c r="H39" s="876" t="s">
        <v>124</v>
      </c>
      <c r="I39" s="805"/>
      <c r="J39" s="805"/>
      <c r="K39" s="805"/>
      <c r="L39" s="805"/>
      <c r="M39" s="805"/>
      <c r="N39" s="805"/>
      <c r="O39" s="805"/>
      <c r="P39" s="805"/>
      <c r="Q39" s="805"/>
      <c r="R39" s="805"/>
      <c r="S39" s="805"/>
      <c r="T39" s="805"/>
      <c r="U39" s="805"/>
      <c r="V39" s="805"/>
      <c r="W39" s="805"/>
      <c r="X39" s="878"/>
      <c r="Y39" s="879"/>
      <c r="Z39" s="924"/>
      <c r="AA39" s="924"/>
      <c r="AB39" s="924"/>
      <c r="AC39" s="924"/>
      <c r="AG39" s="924"/>
      <c r="AH39" s="924"/>
      <c r="AI39" s="924"/>
      <c r="AJ39" s="924"/>
      <c r="AK39" s="867"/>
      <c r="AL39" s="876" t="s">
        <v>723</v>
      </c>
      <c r="AM39" s="805"/>
      <c r="AN39" s="805"/>
      <c r="AO39" s="805"/>
      <c r="AP39" s="805"/>
      <c r="AQ39" s="805"/>
      <c r="AR39" s="805"/>
      <c r="AS39" s="805"/>
      <c r="AT39" s="805"/>
      <c r="AU39" s="805"/>
      <c r="AV39" s="805"/>
      <c r="AW39" s="805"/>
      <c r="AX39" s="805"/>
      <c r="AY39" s="805"/>
      <c r="AZ39" s="805"/>
      <c r="BA39" s="805"/>
      <c r="BB39" s="805"/>
      <c r="BC39" s="805"/>
      <c r="BD39" s="805"/>
      <c r="BE39" s="805"/>
      <c r="BF39" s="805"/>
      <c r="BG39" s="867"/>
      <c r="BH39" s="876"/>
      <c r="BI39" s="924"/>
      <c r="BJ39" s="924"/>
      <c r="BK39" s="924"/>
      <c r="BL39" s="924"/>
      <c r="BQ39" s="924"/>
      <c r="BR39" s="924"/>
      <c r="BS39" s="924"/>
      <c r="BT39" s="924"/>
      <c r="BU39" s="867"/>
      <c r="BV39" s="876" t="s">
        <v>723</v>
      </c>
      <c r="BW39" s="805"/>
      <c r="BX39" s="805"/>
      <c r="BY39" s="805"/>
      <c r="BZ39" s="805"/>
      <c r="CA39" s="805"/>
      <c r="CB39" s="805"/>
      <c r="CC39" s="805"/>
      <c r="CD39" s="805"/>
      <c r="CE39" s="805"/>
      <c r="CF39" s="805"/>
      <c r="CG39" s="805"/>
      <c r="CH39" s="805"/>
      <c r="CI39" s="805"/>
      <c r="CJ39" s="805"/>
      <c r="CK39" s="805"/>
      <c r="CL39" s="805"/>
      <c r="CM39" s="805"/>
      <c r="CN39" s="805"/>
      <c r="CO39" s="805"/>
      <c r="CP39" s="805"/>
      <c r="CQ39" s="867"/>
      <c r="CR39" s="876"/>
      <c r="CS39" s="924"/>
      <c r="CT39" s="924"/>
      <c r="CU39" s="924"/>
      <c r="CV39" s="924"/>
      <c r="CZ39" s="924"/>
      <c r="DA39" s="924"/>
      <c r="DB39" s="924"/>
      <c r="DC39" s="924"/>
      <c r="DD39" s="867"/>
      <c r="DE39" s="876" t="s">
        <v>704</v>
      </c>
      <c r="DF39" s="805"/>
      <c r="DG39" s="805"/>
      <c r="DH39" s="805"/>
      <c r="DI39" s="805"/>
      <c r="DJ39" s="805"/>
      <c r="DK39" s="805"/>
      <c r="DL39" s="805"/>
      <c r="DM39" s="805"/>
      <c r="DN39" s="805"/>
      <c r="DO39" s="805"/>
      <c r="DP39" s="805"/>
      <c r="DQ39" s="805"/>
      <c r="DR39" s="805"/>
      <c r="DS39" s="805"/>
      <c r="DT39" s="805"/>
      <c r="DU39" s="878"/>
      <c r="DV39" s="876"/>
      <c r="DW39" s="924"/>
      <c r="DX39" s="924"/>
      <c r="DY39" s="924"/>
      <c r="DZ39" s="924"/>
    </row>
    <row r="40" spans="1:130" s="447" customFormat="1" ht="13.5" customHeight="1" x14ac:dyDescent="0.15">
      <c r="A40" s="482"/>
      <c r="C40" s="534"/>
      <c r="D40" s="534"/>
      <c r="E40" s="534"/>
      <c r="F40" s="534"/>
      <c r="G40" s="867"/>
      <c r="H40" s="876"/>
      <c r="I40" s="805"/>
      <c r="J40" s="805"/>
      <c r="K40" s="805"/>
      <c r="L40" s="805"/>
      <c r="M40" s="805"/>
      <c r="N40" s="805"/>
      <c r="O40" s="805"/>
      <c r="P40" s="805"/>
      <c r="Q40" s="805"/>
      <c r="R40" s="805"/>
      <c r="S40" s="805"/>
      <c r="T40" s="805"/>
      <c r="U40" s="805"/>
      <c r="V40" s="805"/>
      <c r="W40" s="805"/>
      <c r="X40" s="878"/>
      <c r="Y40" s="879"/>
      <c r="Z40" s="924"/>
      <c r="AA40" s="924"/>
      <c r="AB40" s="924"/>
      <c r="AC40" s="924"/>
      <c r="AG40" s="924"/>
      <c r="AH40" s="924"/>
      <c r="AI40" s="924"/>
      <c r="AJ40" s="924"/>
      <c r="AK40" s="867"/>
      <c r="AL40" s="876"/>
      <c r="AM40" s="805"/>
      <c r="AN40" s="805"/>
      <c r="AO40" s="805"/>
      <c r="AP40" s="805"/>
      <c r="AQ40" s="805"/>
      <c r="AR40" s="805"/>
      <c r="AS40" s="805"/>
      <c r="AT40" s="805"/>
      <c r="AU40" s="805"/>
      <c r="AV40" s="805"/>
      <c r="AW40" s="805"/>
      <c r="AX40" s="805"/>
      <c r="AY40" s="805"/>
      <c r="AZ40" s="805"/>
      <c r="BA40" s="805"/>
      <c r="BB40" s="805"/>
      <c r="BC40" s="805"/>
      <c r="BD40" s="805"/>
      <c r="BE40" s="805"/>
      <c r="BF40" s="805"/>
      <c r="BG40" s="867"/>
      <c r="BH40" s="876"/>
      <c r="BI40" s="924"/>
      <c r="BJ40" s="924"/>
      <c r="BK40" s="924"/>
      <c r="BL40" s="924"/>
      <c r="BQ40" s="924"/>
      <c r="BR40" s="924"/>
      <c r="BS40" s="924"/>
      <c r="BT40" s="924"/>
      <c r="BU40" s="867"/>
      <c r="BV40" s="876"/>
      <c r="BW40" s="805"/>
      <c r="BX40" s="805"/>
      <c r="BY40" s="805"/>
      <c r="BZ40" s="805"/>
      <c r="CA40" s="805"/>
      <c r="CB40" s="805"/>
      <c r="CC40" s="805"/>
      <c r="CD40" s="805"/>
      <c r="CE40" s="805"/>
      <c r="CF40" s="805"/>
      <c r="CG40" s="805"/>
      <c r="CH40" s="805"/>
      <c r="CI40" s="805"/>
      <c r="CJ40" s="805"/>
      <c r="CK40" s="805"/>
      <c r="CL40" s="805"/>
      <c r="CM40" s="805"/>
      <c r="CN40" s="805"/>
      <c r="CO40" s="805"/>
      <c r="CP40" s="805"/>
      <c r="CQ40" s="867"/>
      <c r="CR40" s="876"/>
      <c r="CS40" s="924"/>
      <c r="CT40" s="924"/>
      <c r="CU40" s="924"/>
      <c r="CV40" s="924"/>
      <c r="CZ40" s="924"/>
      <c r="DA40" s="924"/>
      <c r="DB40" s="924"/>
      <c r="DC40" s="924"/>
      <c r="DD40" s="867"/>
      <c r="DE40" s="876"/>
      <c r="DF40" s="805"/>
      <c r="DG40" s="805"/>
      <c r="DH40" s="805"/>
      <c r="DI40" s="805"/>
      <c r="DJ40" s="805"/>
      <c r="DK40" s="805"/>
      <c r="DL40" s="805"/>
      <c r="DM40" s="805"/>
      <c r="DN40" s="805"/>
      <c r="DO40" s="805"/>
      <c r="DP40" s="805"/>
      <c r="DQ40" s="805"/>
      <c r="DR40" s="805"/>
      <c r="DS40" s="805"/>
      <c r="DT40" s="805"/>
      <c r="DU40" s="878"/>
      <c r="DV40" s="876"/>
      <c r="DW40" s="924"/>
      <c r="DX40" s="924"/>
      <c r="DY40" s="924"/>
      <c r="DZ40" s="924"/>
    </row>
    <row r="41" spans="1:130" s="447" customFormat="1" ht="13.5" customHeight="1" x14ac:dyDescent="0.15">
      <c r="A41" s="482"/>
      <c r="C41" s="534"/>
      <c r="D41" s="534"/>
      <c r="E41" s="534"/>
      <c r="F41" s="534"/>
      <c r="G41" s="867"/>
      <c r="H41" s="900">
        <v>0.39583333333333331</v>
      </c>
      <c r="I41" s="805"/>
      <c r="J41" s="805"/>
      <c r="K41" s="805"/>
      <c r="L41" s="805"/>
      <c r="M41" s="805"/>
      <c r="N41" s="805"/>
      <c r="O41" s="805"/>
      <c r="P41" s="805"/>
      <c r="Q41" s="805"/>
      <c r="R41" s="805"/>
      <c r="S41" s="805"/>
      <c r="T41" s="805"/>
      <c r="U41" s="805"/>
      <c r="V41" s="805"/>
      <c r="W41" s="805"/>
      <c r="X41" s="878"/>
      <c r="Y41" s="879"/>
      <c r="Z41" s="924"/>
      <c r="AA41" s="924"/>
      <c r="AB41" s="924"/>
      <c r="AC41" s="924"/>
      <c r="AG41" s="924"/>
      <c r="AH41" s="924"/>
      <c r="AI41" s="924"/>
      <c r="AJ41" s="924"/>
      <c r="AK41" s="867"/>
      <c r="AL41" s="900">
        <v>0.39583333333333331</v>
      </c>
      <c r="AM41" s="805"/>
      <c r="AN41" s="805"/>
      <c r="AO41" s="805"/>
      <c r="AP41" s="805"/>
      <c r="AQ41" s="805"/>
      <c r="AR41" s="805"/>
      <c r="AS41" s="805"/>
      <c r="AT41" s="805"/>
      <c r="AU41" s="805"/>
      <c r="AV41" s="805"/>
      <c r="AW41" s="805"/>
      <c r="AX41" s="805"/>
      <c r="AY41" s="805"/>
      <c r="AZ41" s="805"/>
      <c r="BA41" s="805"/>
      <c r="BB41" s="805"/>
      <c r="BC41" s="805"/>
      <c r="BD41" s="805"/>
      <c r="BE41" s="805"/>
      <c r="BF41" s="805"/>
      <c r="BG41" s="867"/>
      <c r="BH41" s="876"/>
      <c r="BI41" s="924"/>
      <c r="BJ41" s="924"/>
      <c r="BK41" s="924"/>
      <c r="BL41" s="924"/>
      <c r="BQ41" s="924"/>
      <c r="BR41" s="924"/>
      <c r="BS41" s="924"/>
      <c r="BT41" s="924"/>
      <c r="BU41" s="867"/>
      <c r="BV41" s="900">
        <v>0.4513888888888889</v>
      </c>
      <c r="BW41" s="805"/>
      <c r="BX41" s="805"/>
      <c r="BY41" s="805"/>
      <c r="BZ41" s="805"/>
      <c r="CA41" s="805"/>
      <c r="CB41" s="805"/>
      <c r="CC41" s="805"/>
      <c r="CD41" s="805"/>
      <c r="CE41" s="805"/>
      <c r="CF41" s="805"/>
      <c r="CG41" s="805"/>
      <c r="CH41" s="805"/>
      <c r="CI41" s="805"/>
      <c r="CJ41" s="805"/>
      <c r="CK41" s="805"/>
      <c r="CL41" s="805"/>
      <c r="CM41" s="805"/>
      <c r="CN41" s="805"/>
      <c r="CO41" s="805"/>
      <c r="CP41" s="805"/>
      <c r="CQ41" s="867"/>
      <c r="CR41" s="876"/>
      <c r="CS41" s="924"/>
      <c r="CT41" s="924"/>
      <c r="CU41" s="924"/>
      <c r="CV41" s="924"/>
      <c r="CZ41" s="924"/>
      <c r="DA41" s="924"/>
      <c r="DB41" s="924"/>
      <c r="DC41" s="924"/>
      <c r="DD41" s="867"/>
      <c r="DE41" s="900">
        <v>0.4513888888888889</v>
      </c>
      <c r="DF41" s="805"/>
      <c r="DG41" s="805"/>
      <c r="DH41" s="805"/>
      <c r="DI41" s="805"/>
      <c r="DJ41" s="805"/>
      <c r="DK41" s="805"/>
      <c r="DL41" s="805"/>
      <c r="DM41" s="805"/>
      <c r="DN41" s="805"/>
      <c r="DO41" s="805"/>
      <c r="DP41" s="805"/>
      <c r="DQ41" s="805"/>
      <c r="DR41" s="805"/>
      <c r="DS41" s="805"/>
      <c r="DT41" s="805"/>
      <c r="DU41" s="878"/>
      <c r="DV41" s="876"/>
      <c r="DW41" s="924"/>
      <c r="DX41" s="924"/>
      <c r="DY41" s="924"/>
      <c r="DZ41" s="924"/>
    </row>
    <row r="42" spans="1:130" s="447" customFormat="1" ht="13.5" customHeight="1" x14ac:dyDescent="0.15">
      <c r="A42" s="482"/>
      <c r="C42" s="534"/>
      <c r="D42" s="534"/>
      <c r="E42" s="534"/>
      <c r="F42" s="534"/>
      <c r="G42" s="867"/>
      <c r="H42" s="876"/>
      <c r="I42" s="805"/>
      <c r="J42" s="805"/>
      <c r="K42" s="805"/>
      <c r="L42" s="805"/>
      <c r="M42" s="805"/>
      <c r="N42" s="805"/>
      <c r="O42" s="805"/>
      <c r="P42" s="805"/>
      <c r="Q42" s="805"/>
      <c r="R42" s="805"/>
      <c r="S42" s="805"/>
      <c r="T42" s="805"/>
      <c r="U42" s="805"/>
      <c r="V42" s="805"/>
      <c r="W42" s="805"/>
      <c r="X42" s="878"/>
      <c r="Y42" s="879"/>
      <c r="Z42" s="924"/>
      <c r="AA42" s="924"/>
      <c r="AB42" s="924"/>
      <c r="AC42" s="924"/>
      <c r="AG42" s="924"/>
      <c r="AH42" s="924"/>
      <c r="AI42" s="924"/>
      <c r="AJ42" s="924"/>
      <c r="AK42" s="867"/>
      <c r="AL42" s="876"/>
      <c r="AM42" s="805"/>
      <c r="AN42" s="805"/>
      <c r="AO42" s="805"/>
      <c r="AP42" s="805"/>
      <c r="AQ42" s="805"/>
      <c r="AR42" s="805"/>
      <c r="AS42" s="805"/>
      <c r="AT42" s="805"/>
      <c r="AU42" s="805"/>
      <c r="AV42" s="805"/>
      <c r="AW42" s="805"/>
      <c r="AX42" s="805"/>
      <c r="AY42" s="805"/>
      <c r="AZ42" s="805"/>
      <c r="BA42" s="805"/>
      <c r="BB42" s="805"/>
      <c r="BC42" s="805"/>
      <c r="BD42" s="805"/>
      <c r="BE42" s="805"/>
      <c r="BF42" s="805"/>
      <c r="BG42" s="867"/>
      <c r="BH42" s="876"/>
      <c r="BI42" s="924"/>
      <c r="BJ42" s="924"/>
      <c r="BK42" s="924"/>
      <c r="BL42" s="924"/>
      <c r="BQ42" s="924"/>
      <c r="BR42" s="924"/>
      <c r="BS42" s="924"/>
      <c r="BT42" s="924"/>
      <c r="BU42" s="867"/>
      <c r="BV42" s="876"/>
      <c r="BW42" s="805"/>
      <c r="BX42" s="805"/>
      <c r="BY42" s="805"/>
      <c r="BZ42" s="805"/>
      <c r="CA42" s="805"/>
      <c r="CB42" s="805"/>
      <c r="CC42" s="805"/>
      <c r="CD42" s="805"/>
      <c r="CE42" s="805"/>
      <c r="CF42" s="805"/>
      <c r="CG42" s="805"/>
      <c r="CH42" s="805"/>
      <c r="CI42" s="805"/>
      <c r="CJ42" s="805"/>
      <c r="CK42" s="805"/>
      <c r="CL42" s="805"/>
      <c r="CM42" s="805"/>
      <c r="CN42" s="805"/>
      <c r="CO42" s="805"/>
      <c r="CP42" s="805"/>
      <c r="CQ42" s="867"/>
      <c r="CR42" s="876"/>
      <c r="CS42" s="924"/>
      <c r="CT42" s="924"/>
      <c r="CU42" s="924"/>
      <c r="CV42" s="924"/>
      <c r="CZ42" s="924"/>
      <c r="DA42" s="924"/>
      <c r="DB42" s="924"/>
      <c r="DC42" s="924"/>
      <c r="DD42" s="867"/>
      <c r="DE42" s="876"/>
      <c r="DF42" s="805"/>
      <c r="DG42" s="805"/>
      <c r="DH42" s="805"/>
      <c r="DI42" s="805"/>
      <c r="DJ42" s="805"/>
      <c r="DK42" s="805"/>
      <c r="DL42" s="805"/>
      <c r="DM42" s="805"/>
      <c r="DN42" s="805"/>
      <c r="DO42" s="805"/>
      <c r="DP42" s="805"/>
      <c r="DQ42" s="805"/>
      <c r="DR42" s="805"/>
      <c r="DS42" s="805"/>
      <c r="DT42" s="805"/>
      <c r="DU42" s="878"/>
      <c r="DV42" s="876"/>
      <c r="DW42" s="924"/>
      <c r="DX42" s="924"/>
      <c r="DY42" s="924"/>
      <c r="DZ42" s="924"/>
    </row>
    <row r="43" spans="1:130" s="447" customFormat="1" ht="13.5" customHeight="1" x14ac:dyDescent="0.15">
      <c r="A43" s="482"/>
      <c r="C43" s="534"/>
      <c r="D43" s="534"/>
      <c r="E43" s="534"/>
      <c r="F43" s="534"/>
      <c r="G43" s="867"/>
      <c r="K43" s="920"/>
      <c r="L43" s="920"/>
      <c r="M43" s="920"/>
      <c r="N43" s="920"/>
      <c r="O43" s="847"/>
      <c r="P43" s="847"/>
      <c r="Q43" s="920"/>
      <c r="R43" s="920"/>
      <c r="S43" s="920"/>
      <c r="T43" s="920"/>
      <c r="U43" s="532"/>
      <c r="V43" s="532"/>
      <c r="W43" s="532"/>
      <c r="Y43" s="879"/>
      <c r="Z43" s="924"/>
      <c r="AA43" s="924"/>
      <c r="AB43" s="924"/>
      <c r="AC43" s="924"/>
      <c r="AG43" s="924"/>
      <c r="AH43" s="924"/>
      <c r="AI43" s="924"/>
      <c r="AJ43" s="924"/>
      <c r="AK43" s="867"/>
      <c r="AR43" s="920"/>
      <c r="AS43" s="920"/>
      <c r="AT43" s="920"/>
      <c r="AU43" s="920"/>
      <c r="AV43" s="847"/>
      <c r="AW43" s="847"/>
      <c r="AX43" s="920"/>
      <c r="AY43" s="920"/>
      <c r="AZ43" s="920"/>
      <c r="BA43" s="920"/>
      <c r="BH43" s="876"/>
      <c r="BI43" s="924"/>
      <c r="BJ43" s="924"/>
      <c r="BK43" s="924"/>
      <c r="BL43" s="924"/>
      <c r="BQ43" s="924"/>
      <c r="BR43" s="924"/>
      <c r="BS43" s="924"/>
      <c r="BT43" s="924"/>
      <c r="BU43" s="867"/>
      <c r="CB43" s="920"/>
      <c r="CC43" s="920"/>
      <c r="CD43" s="920"/>
      <c r="CE43" s="920"/>
      <c r="CF43" s="847"/>
      <c r="CG43" s="847"/>
      <c r="CH43" s="920"/>
      <c r="CI43" s="920"/>
      <c r="CJ43" s="920"/>
      <c r="CK43" s="920"/>
      <c r="CR43" s="876"/>
      <c r="CS43" s="924"/>
      <c r="CT43" s="924"/>
      <c r="CU43" s="924"/>
      <c r="CV43" s="924"/>
      <c r="CZ43" s="924"/>
      <c r="DA43" s="924"/>
      <c r="DB43" s="924"/>
      <c r="DC43" s="924"/>
      <c r="DD43" s="867"/>
      <c r="DF43" s="533"/>
      <c r="DG43" s="533"/>
      <c r="DH43" s="533"/>
      <c r="DI43" s="920"/>
      <c r="DJ43" s="920"/>
      <c r="DK43" s="920"/>
      <c r="DL43" s="920"/>
      <c r="DM43" s="847"/>
      <c r="DN43" s="847"/>
      <c r="DO43" s="920"/>
      <c r="DP43" s="920"/>
      <c r="DQ43" s="920"/>
      <c r="DR43" s="920"/>
      <c r="DV43" s="876"/>
      <c r="DW43" s="924"/>
      <c r="DX43" s="924"/>
      <c r="DY43" s="924"/>
      <c r="DZ43" s="924"/>
    </row>
    <row r="44" spans="1:130" s="503" customFormat="1" ht="13.5" customHeight="1" x14ac:dyDescent="0.15">
      <c r="A44" s="502"/>
      <c r="B44" s="925">
        <f>EC4</f>
        <v>15</v>
      </c>
      <c r="C44" s="925"/>
      <c r="D44" s="925"/>
      <c r="E44" s="925"/>
      <c r="F44" s="925"/>
      <c r="G44" s="867"/>
      <c r="N44" s="875"/>
      <c r="O44" s="875"/>
      <c r="P44" s="875"/>
      <c r="Q44" s="875"/>
      <c r="Y44" s="879"/>
      <c r="AK44" s="867"/>
      <c r="AU44" s="875"/>
      <c r="AV44" s="875"/>
      <c r="AW44" s="875"/>
      <c r="AX44" s="875"/>
      <c r="BH44" s="876"/>
      <c r="BU44" s="867"/>
      <c r="CE44" s="875"/>
      <c r="CF44" s="875"/>
      <c r="CG44" s="875"/>
      <c r="CH44" s="875"/>
      <c r="CR44" s="876"/>
      <c r="DD44" s="867"/>
      <c r="DL44" s="875"/>
      <c r="DM44" s="875"/>
      <c r="DN44" s="875"/>
      <c r="DO44" s="875"/>
      <c r="DV44" s="876"/>
    </row>
    <row r="45" spans="1:130" s="447" customFormat="1" ht="13.5" customHeight="1" x14ac:dyDescent="0.15">
      <c r="A45" s="482"/>
      <c r="B45" s="258" t="s">
        <v>695</v>
      </c>
      <c r="C45" s="290"/>
      <c r="D45" s="290"/>
      <c r="E45" s="290"/>
      <c r="F45" s="290"/>
      <c r="G45" s="867"/>
      <c r="I45" s="805"/>
      <c r="J45" s="805"/>
      <c r="K45" s="805"/>
      <c r="L45" s="805"/>
      <c r="T45" s="805"/>
      <c r="U45" s="805"/>
      <c r="V45" s="805"/>
      <c r="W45" s="805"/>
      <c r="Y45" s="879"/>
      <c r="Z45" s="805"/>
      <c r="AA45" s="805"/>
      <c r="AB45" s="805"/>
      <c r="AC45" s="805"/>
      <c r="AG45" s="805"/>
      <c r="AH45" s="805"/>
      <c r="AI45" s="805"/>
      <c r="AJ45" s="805"/>
      <c r="AK45" s="867"/>
      <c r="AM45" s="805"/>
      <c r="AN45" s="805"/>
      <c r="AO45" s="805"/>
      <c r="AP45" s="805"/>
      <c r="BC45" s="805"/>
      <c r="BD45" s="805"/>
      <c r="BE45" s="805"/>
      <c r="BF45" s="805"/>
      <c r="BH45" s="876"/>
      <c r="BI45" s="805"/>
      <c r="BJ45" s="805"/>
      <c r="BK45" s="805"/>
      <c r="BL45" s="805"/>
      <c r="BQ45" s="805"/>
      <c r="BR45" s="805"/>
      <c r="BS45" s="805"/>
      <c r="BT45" s="805"/>
      <c r="BU45" s="867"/>
      <c r="BW45" s="805"/>
      <c r="BX45" s="805"/>
      <c r="BY45" s="805"/>
      <c r="BZ45" s="805"/>
      <c r="CM45" s="805"/>
      <c r="CN45" s="805"/>
      <c r="CO45" s="805"/>
      <c r="CP45" s="805"/>
      <c r="CR45" s="876"/>
      <c r="CS45" s="805"/>
      <c r="CT45" s="805"/>
      <c r="CU45" s="805"/>
      <c r="CV45" s="805"/>
      <c r="CZ45" s="805"/>
      <c r="DA45" s="805"/>
      <c r="DB45" s="805"/>
      <c r="DC45" s="805"/>
      <c r="DD45" s="867"/>
      <c r="DF45" s="805"/>
      <c r="DG45" s="805"/>
      <c r="DH45" s="805"/>
      <c r="DI45" s="805"/>
      <c r="DQ45" s="805"/>
      <c r="DR45" s="805"/>
      <c r="DS45" s="805"/>
      <c r="DT45" s="805"/>
      <c r="DV45" s="876"/>
      <c r="DW45" s="805"/>
      <c r="DX45" s="805"/>
      <c r="DY45" s="805"/>
      <c r="DZ45" s="805"/>
    </row>
    <row r="46" spans="1:130" s="487" customFormat="1" ht="13.5" hidden="1" customHeight="1" x14ac:dyDescent="0.15">
      <c r="A46" s="506"/>
      <c r="C46" s="918"/>
      <c r="D46" s="918"/>
      <c r="E46" s="918"/>
      <c r="F46" s="918"/>
      <c r="G46" s="867"/>
      <c r="I46" s="918"/>
      <c r="J46" s="918"/>
      <c r="K46" s="918"/>
      <c r="L46" s="918"/>
      <c r="T46" s="918"/>
      <c r="U46" s="918"/>
      <c r="V46" s="918"/>
      <c r="W46" s="918"/>
      <c r="Y46" s="879"/>
      <c r="Z46" s="918"/>
      <c r="AA46" s="918"/>
      <c r="AB46" s="918"/>
      <c r="AC46" s="918"/>
      <c r="AG46" s="918"/>
      <c r="AH46" s="918"/>
      <c r="AI46" s="918"/>
      <c r="AJ46" s="918"/>
      <c r="AK46" s="867"/>
      <c r="AM46" s="918"/>
      <c r="AN46" s="918"/>
      <c r="AO46" s="918"/>
      <c r="AP46" s="918"/>
      <c r="BC46" s="918"/>
      <c r="BD46" s="918"/>
      <c r="BE46" s="918"/>
      <c r="BF46" s="918"/>
      <c r="BH46" s="876"/>
      <c r="BI46" s="918"/>
      <c r="BJ46" s="918"/>
      <c r="BK46" s="918"/>
      <c r="BL46" s="918"/>
      <c r="BQ46" s="918"/>
      <c r="BR46" s="918"/>
      <c r="BS46" s="918"/>
      <c r="BT46" s="918"/>
      <c r="BU46" s="867"/>
      <c r="BW46" s="918"/>
      <c r="BX46" s="918"/>
      <c r="BY46" s="918"/>
      <c r="BZ46" s="918"/>
      <c r="CM46" s="918"/>
      <c r="CN46" s="918"/>
      <c r="CO46" s="918"/>
      <c r="CP46" s="918"/>
      <c r="CR46" s="876"/>
      <c r="CS46" s="918"/>
      <c r="CT46" s="918"/>
      <c r="CU46" s="918"/>
      <c r="CV46" s="918"/>
      <c r="CZ46" s="918"/>
      <c r="DA46" s="918"/>
      <c r="DB46" s="918"/>
      <c r="DC46" s="918"/>
      <c r="DD46" s="867"/>
      <c r="DF46" s="918"/>
      <c r="DG46" s="918"/>
      <c r="DH46" s="918"/>
      <c r="DI46" s="918"/>
      <c r="DQ46" s="918"/>
      <c r="DR46" s="918"/>
      <c r="DS46" s="918"/>
      <c r="DT46" s="918"/>
      <c r="DV46" s="876"/>
      <c r="DW46" s="918"/>
      <c r="DX46" s="918"/>
      <c r="DY46" s="918"/>
      <c r="DZ46" s="918"/>
    </row>
    <row r="47" spans="1:130" s="447" customFormat="1" ht="3.75" customHeight="1" thickBot="1" x14ac:dyDescent="0.2">
      <c r="A47" s="482"/>
      <c r="D47" s="851"/>
      <c r="E47" s="851"/>
      <c r="F47" s="851"/>
      <c r="G47" s="872"/>
      <c r="H47" s="851"/>
      <c r="I47" s="851"/>
      <c r="J47" s="851"/>
      <c r="K47" s="851"/>
      <c r="L47" s="851"/>
      <c r="V47" s="851"/>
      <c r="W47" s="851"/>
      <c r="X47" s="868"/>
      <c r="Y47" s="893"/>
      <c r="Z47" s="849"/>
      <c r="AA47" s="849"/>
      <c r="AH47" s="851"/>
      <c r="AI47" s="851"/>
      <c r="AJ47" s="851"/>
      <c r="AK47" s="872"/>
      <c r="AL47" s="851"/>
      <c r="AM47" s="851"/>
      <c r="AN47" s="851"/>
      <c r="AO47" s="851"/>
      <c r="AP47" s="851"/>
      <c r="BC47" s="851"/>
      <c r="BD47" s="851"/>
      <c r="BE47" s="851"/>
      <c r="BF47" s="851"/>
      <c r="BG47" s="851"/>
      <c r="BH47" s="850"/>
      <c r="BI47" s="851"/>
      <c r="BJ47" s="851"/>
      <c r="BK47" s="851"/>
      <c r="BR47" s="851"/>
      <c r="BS47" s="851"/>
      <c r="BT47" s="851"/>
      <c r="BU47" s="872"/>
      <c r="BV47" s="851"/>
      <c r="BW47" s="851"/>
      <c r="BX47" s="851"/>
      <c r="BY47" s="851"/>
      <c r="BZ47" s="851"/>
      <c r="CM47" s="851"/>
      <c r="CN47" s="851"/>
      <c r="CO47" s="851"/>
      <c r="CP47" s="851"/>
      <c r="CQ47" s="851"/>
      <c r="CR47" s="850"/>
      <c r="CS47" s="851"/>
      <c r="CT47" s="851"/>
      <c r="CU47" s="851"/>
      <c r="DB47" s="849"/>
      <c r="DC47" s="849"/>
      <c r="DD47" s="894"/>
      <c r="DE47" s="880"/>
      <c r="DF47" s="849"/>
      <c r="DG47" s="849"/>
      <c r="DQ47" s="851"/>
      <c r="DR47" s="851"/>
      <c r="DS47" s="851"/>
      <c r="DT47" s="851"/>
      <c r="DU47" s="851"/>
      <c r="DV47" s="850"/>
      <c r="DW47" s="851"/>
      <c r="DX47" s="851"/>
      <c r="DY47" s="851"/>
    </row>
    <row r="48" spans="1:130" s="447" customFormat="1" ht="13.5" customHeight="1" thickTop="1" x14ac:dyDescent="0.15">
      <c r="A48" s="482"/>
      <c r="C48" s="867"/>
      <c r="D48" s="908"/>
      <c r="E48" s="909"/>
      <c r="F48" s="909"/>
      <c r="G48" s="909"/>
      <c r="H48" s="909"/>
      <c r="I48" s="909"/>
      <c r="J48" s="909"/>
      <c r="K48" s="909"/>
      <c r="L48" s="910"/>
      <c r="M48" s="876"/>
      <c r="N48" s="924"/>
      <c r="O48" s="924"/>
      <c r="P48" s="924"/>
      <c r="Q48" s="924"/>
      <c r="T48" s="533"/>
      <c r="U48" s="878"/>
      <c r="V48" s="919"/>
      <c r="W48" s="920"/>
      <c r="X48" s="920"/>
      <c r="Y48" s="920"/>
      <c r="Z48" s="920"/>
      <c r="AA48" s="921"/>
      <c r="AB48" s="879"/>
      <c r="AC48" s="532"/>
      <c r="AG48" s="867"/>
      <c r="AH48" s="908"/>
      <c r="AI48" s="909"/>
      <c r="AJ48" s="909"/>
      <c r="AK48" s="909"/>
      <c r="AL48" s="909"/>
      <c r="AM48" s="909"/>
      <c r="AN48" s="909"/>
      <c r="AO48" s="909"/>
      <c r="AP48" s="910"/>
      <c r="AQ48" s="876"/>
      <c r="AR48" s="924"/>
      <c r="AS48" s="924"/>
      <c r="AT48" s="924"/>
      <c r="AU48" s="924"/>
      <c r="AX48" s="924"/>
      <c r="AY48" s="924"/>
      <c r="AZ48" s="924"/>
      <c r="BA48" s="924"/>
      <c r="BB48" s="867"/>
      <c r="BC48" s="908"/>
      <c r="BD48" s="909"/>
      <c r="BE48" s="909"/>
      <c r="BF48" s="909"/>
      <c r="BG48" s="909"/>
      <c r="BH48" s="909"/>
      <c r="BI48" s="909"/>
      <c r="BJ48" s="909"/>
      <c r="BK48" s="910"/>
      <c r="BL48" s="876"/>
      <c r="BQ48" s="867"/>
      <c r="BR48" s="908"/>
      <c r="BS48" s="909"/>
      <c r="BT48" s="909"/>
      <c r="BU48" s="909"/>
      <c r="BV48" s="909"/>
      <c r="BW48" s="909"/>
      <c r="BX48" s="909"/>
      <c r="BY48" s="909"/>
      <c r="BZ48" s="910"/>
      <c r="CA48" s="876"/>
      <c r="CB48" s="924"/>
      <c r="CC48" s="924"/>
      <c r="CD48" s="924"/>
      <c r="CE48" s="924"/>
      <c r="CH48" s="924"/>
      <c r="CI48" s="924"/>
      <c r="CJ48" s="924"/>
      <c r="CK48" s="924"/>
      <c r="CL48" s="867"/>
      <c r="CM48" s="908"/>
      <c r="CN48" s="909"/>
      <c r="CO48" s="909"/>
      <c r="CP48" s="909"/>
      <c r="CQ48" s="909"/>
      <c r="CR48" s="909"/>
      <c r="CS48" s="909"/>
      <c r="CT48" s="909"/>
      <c r="CU48" s="910"/>
      <c r="CV48" s="876"/>
      <c r="DA48" s="878"/>
      <c r="DB48" s="919"/>
      <c r="DC48" s="920"/>
      <c r="DD48" s="920"/>
      <c r="DE48" s="920"/>
      <c r="DF48" s="920"/>
      <c r="DG48" s="921"/>
      <c r="DH48" s="879"/>
      <c r="DI48" s="532"/>
      <c r="DL48" s="924"/>
      <c r="DM48" s="924"/>
      <c r="DN48" s="924"/>
      <c r="DO48" s="924"/>
      <c r="DP48" s="867"/>
      <c r="DQ48" s="908"/>
      <c r="DR48" s="909"/>
      <c r="DS48" s="909"/>
      <c r="DT48" s="909"/>
      <c r="DU48" s="909"/>
      <c r="DV48" s="909"/>
      <c r="DW48" s="909"/>
      <c r="DX48" s="909"/>
      <c r="DY48" s="910"/>
      <c r="DZ48" s="876"/>
    </row>
    <row r="49" spans="1:130" s="447" customFormat="1" ht="13.5" customHeight="1" x14ac:dyDescent="0.15">
      <c r="A49" s="482"/>
      <c r="C49" s="867"/>
      <c r="D49" s="911" t="s">
        <v>126</v>
      </c>
      <c r="E49" s="912"/>
      <c r="F49" s="912"/>
      <c r="G49" s="912"/>
      <c r="H49" s="912"/>
      <c r="I49" s="912"/>
      <c r="J49" s="912"/>
      <c r="K49" s="912"/>
      <c r="L49" s="913"/>
      <c r="M49" s="876"/>
      <c r="N49" s="924"/>
      <c r="O49" s="924"/>
      <c r="P49" s="924"/>
      <c r="Q49" s="924"/>
      <c r="T49" s="533"/>
      <c r="U49" s="878"/>
      <c r="V49" s="919" t="s">
        <v>127</v>
      </c>
      <c r="W49" s="920"/>
      <c r="X49" s="920"/>
      <c r="Y49" s="920"/>
      <c r="Z49" s="920"/>
      <c r="AA49" s="921"/>
      <c r="AB49" s="879"/>
      <c r="AC49" s="532"/>
      <c r="AG49" s="867"/>
      <c r="AH49" s="911" t="s">
        <v>128</v>
      </c>
      <c r="AI49" s="912"/>
      <c r="AJ49" s="912"/>
      <c r="AK49" s="912"/>
      <c r="AL49" s="912"/>
      <c r="AM49" s="912"/>
      <c r="AN49" s="912"/>
      <c r="AO49" s="912"/>
      <c r="AP49" s="913"/>
      <c r="AQ49" s="876"/>
      <c r="AR49" s="924"/>
      <c r="AS49" s="924"/>
      <c r="AT49" s="924"/>
      <c r="AU49" s="924"/>
      <c r="AX49" s="924"/>
      <c r="AY49" s="924"/>
      <c r="AZ49" s="924"/>
      <c r="BA49" s="924"/>
      <c r="BB49" s="867"/>
      <c r="BC49" s="911" t="s">
        <v>129</v>
      </c>
      <c r="BD49" s="912"/>
      <c r="BE49" s="912"/>
      <c r="BF49" s="912"/>
      <c r="BG49" s="912"/>
      <c r="BH49" s="912"/>
      <c r="BI49" s="912"/>
      <c r="BJ49" s="912"/>
      <c r="BK49" s="913"/>
      <c r="BL49" s="876"/>
      <c r="BQ49" s="867"/>
      <c r="BR49" s="911" t="s">
        <v>130</v>
      </c>
      <c r="BS49" s="912"/>
      <c r="BT49" s="912"/>
      <c r="BU49" s="912"/>
      <c r="BV49" s="912"/>
      <c r="BW49" s="912"/>
      <c r="BX49" s="912"/>
      <c r="BY49" s="912"/>
      <c r="BZ49" s="913"/>
      <c r="CA49" s="876"/>
      <c r="CB49" s="924"/>
      <c r="CC49" s="924"/>
      <c r="CD49" s="924"/>
      <c r="CE49" s="924"/>
      <c r="CH49" s="924"/>
      <c r="CI49" s="924"/>
      <c r="CJ49" s="924"/>
      <c r="CK49" s="924"/>
      <c r="CL49" s="867"/>
      <c r="CM49" s="911" t="s">
        <v>131</v>
      </c>
      <c r="CN49" s="912"/>
      <c r="CO49" s="912"/>
      <c r="CP49" s="912"/>
      <c r="CQ49" s="912"/>
      <c r="CR49" s="912"/>
      <c r="CS49" s="912"/>
      <c r="CT49" s="912"/>
      <c r="CU49" s="913"/>
      <c r="CV49" s="876"/>
      <c r="DA49" s="878"/>
      <c r="DB49" s="919" t="s">
        <v>132</v>
      </c>
      <c r="DC49" s="920"/>
      <c r="DD49" s="920"/>
      <c r="DE49" s="920"/>
      <c r="DF49" s="920"/>
      <c r="DG49" s="921"/>
      <c r="DH49" s="879"/>
      <c r="DI49" s="532"/>
      <c r="DL49" s="924"/>
      <c r="DM49" s="924"/>
      <c r="DN49" s="924"/>
      <c r="DO49" s="924"/>
      <c r="DP49" s="867"/>
      <c r="DQ49" s="911" t="s">
        <v>133</v>
      </c>
      <c r="DR49" s="912"/>
      <c r="DS49" s="912"/>
      <c r="DT49" s="912"/>
      <c r="DU49" s="912"/>
      <c r="DV49" s="912"/>
      <c r="DW49" s="912"/>
      <c r="DX49" s="912"/>
      <c r="DY49" s="913"/>
      <c r="DZ49" s="876"/>
    </row>
    <row r="50" spans="1:130" s="447" customFormat="1" ht="13.5" customHeight="1" x14ac:dyDescent="0.15">
      <c r="A50" s="482"/>
      <c r="C50" s="867"/>
      <c r="D50" s="911"/>
      <c r="E50" s="912"/>
      <c r="F50" s="912"/>
      <c r="G50" s="912"/>
      <c r="H50" s="912"/>
      <c r="I50" s="912"/>
      <c r="J50" s="912"/>
      <c r="K50" s="912"/>
      <c r="L50" s="913"/>
      <c r="M50" s="876"/>
      <c r="N50" s="924"/>
      <c r="O50" s="924"/>
      <c r="P50" s="924"/>
      <c r="Q50" s="924"/>
      <c r="T50" s="533"/>
      <c r="U50" s="878"/>
      <c r="V50" s="919"/>
      <c r="W50" s="920"/>
      <c r="X50" s="920"/>
      <c r="Y50" s="920"/>
      <c r="Z50" s="920"/>
      <c r="AA50" s="921"/>
      <c r="AB50" s="879"/>
      <c r="AC50" s="532"/>
      <c r="AG50" s="867"/>
      <c r="AH50" s="911"/>
      <c r="AI50" s="912"/>
      <c r="AJ50" s="912"/>
      <c r="AK50" s="912"/>
      <c r="AL50" s="912"/>
      <c r="AM50" s="912"/>
      <c r="AN50" s="912"/>
      <c r="AO50" s="912"/>
      <c r="AP50" s="913"/>
      <c r="AQ50" s="876"/>
      <c r="AR50" s="924"/>
      <c r="AS50" s="924"/>
      <c r="AT50" s="924"/>
      <c r="AU50" s="924"/>
      <c r="AX50" s="924"/>
      <c r="AY50" s="924"/>
      <c r="AZ50" s="924"/>
      <c r="BA50" s="924"/>
      <c r="BB50" s="867"/>
      <c r="BC50" s="911"/>
      <c r="BD50" s="912"/>
      <c r="BE50" s="912"/>
      <c r="BF50" s="912"/>
      <c r="BG50" s="912"/>
      <c r="BH50" s="912"/>
      <c r="BI50" s="912"/>
      <c r="BJ50" s="912"/>
      <c r="BK50" s="913"/>
      <c r="BL50" s="876"/>
      <c r="BQ50" s="867"/>
      <c r="BR50" s="911"/>
      <c r="BS50" s="912"/>
      <c r="BT50" s="912"/>
      <c r="BU50" s="912"/>
      <c r="BV50" s="912"/>
      <c r="BW50" s="912"/>
      <c r="BX50" s="912"/>
      <c r="BY50" s="912"/>
      <c r="BZ50" s="913"/>
      <c r="CA50" s="876"/>
      <c r="CB50" s="924"/>
      <c r="CC50" s="924"/>
      <c r="CD50" s="924"/>
      <c r="CE50" s="924"/>
      <c r="CH50" s="924"/>
      <c r="CI50" s="924"/>
      <c r="CJ50" s="924"/>
      <c r="CK50" s="924"/>
      <c r="CL50" s="867"/>
      <c r="CM50" s="911"/>
      <c r="CN50" s="912"/>
      <c r="CO50" s="912"/>
      <c r="CP50" s="912"/>
      <c r="CQ50" s="912"/>
      <c r="CR50" s="912"/>
      <c r="CS50" s="912"/>
      <c r="CT50" s="912"/>
      <c r="CU50" s="913"/>
      <c r="CV50" s="876"/>
      <c r="CZ50" s="496"/>
      <c r="DA50" s="878"/>
      <c r="DB50" s="919"/>
      <c r="DC50" s="920"/>
      <c r="DD50" s="920"/>
      <c r="DE50" s="920"/>
      <c r="DF50" s="920"/>
      <c r="DG50" s="921"/>
      <c r="DH50" s="879"/>
      <c r="DI50" s="532"/>
      <c r="DL50" s="924"/>
      <c r="DM50" s="924"/>
      <c r="DN50" s="924"/>
      <c r="DO50" s="924"/>
      <c r="DP50" s="867"/>
      <c r="DQ50" s="911"/>
      <c r="DR50" s="912"/>
      <c r="DS50" s="912"/>
      <c r="DT50" s="912"/>
      <c r="DU50" s="912"/>
      <c r="DV50" s="912"/>
      <c r="DW50" s="912"/>
      <c r="DX50" s="912"/>
      <c r="DY50" s="913"/>
      <c r="DZ50" s="876"/>
    </row>
    <row r="51" spans="1:130" s="447" customFormat="1" ht="13.5" customHeight="1" x14ac:dyDescent="0.15">
      <c r="A51" s="482"/>
      <c r="C51" s="867"/>
      <c r="D51" s="911" t="s">
        <v>135</v>
      </c>
      <c r="E51" s="912"/>
      <c r="F51" s="912"/>
      <c r="G51" s="912"/>
      <c r="H51" s="912"/>
      <c r="I51" s="912"/>
      <c r="J51" s="912"/>
      <c r="K51" s="912"/>
      <c r="L51" s="913"/>
      <c r="M51" s="876"/>
      <c r="N51" s="924"/>
      <c r="O51" s="924"/>
      <c r="P51" s="924"/>
      <c r="Q51" s="924"/>
      <c r="T51" s="533"/>
      <c r="U51" s="878"/>
      <c r="V51" s="919" t="s">
        <v>136</v>
      </c>
      <c r="W51" s="920"/>
      <c r="X51" s="920"/>
      <c r="Y51" s="920"/>
      <c r="Z51" s="920"/>
      <c r="AA51" s="921"/>
      <c r="AB51" s="879"/>
      <c r="AC51" s="532"/>
      <c r="AG51" s="867"/>
      <c r="AH51" s="911" t="s">
        <v>69</v>
      </c>
      <c r="AI51" s="912"/>
      <c r="AJ51" s="912"/>
      <c r="AK51" s="912"/>
      <c r="AL51" s="912"/>
      <c r="AM51" s="912"/>
      <c r="AN51" s="912"/>
      <c r="AO51" s="912"/>
      <c r="AP51" s="913"/>
      <c r="AQ51" s="876"/>
      <c r="AR51" s="924"/>
      <c r="AS51" s="924"/>
      <c r="AT51" s="924"/>
      <c r="AU51" s="924"/>
      <c r="AX51" s="924"/>
      <c r="AY51" s="924"/>
      <c r="AZ51" s="924"/>
      <c r="BA51" s="924"/>
      <c r="BB51" s="867"/>
      <c r="BC51" s="911" t="s">
        <v>722</v>
      </c>
      <c r="BD51" s="912"/>
      <c r="BE51" s="912"/>
      <c r="BF51" s="912"/>
      <c r="BG51" s="912"/>
      <c r="BH51" s="912"/>
      <c r="BI51" s="912"/>
      <c r="BJ51" s="912"/>
      <c r="BK51" s="913"/>
      <c r="BL51" s="876"/>
      <c r="BQ51" s="867"/>
      <c r="BR51" s="911" t="s">
        <v>136</v>
      </c>
      <c r="BS51" s="912"/>
      <c r="BT51" s="912"/>
      <c r="BU51" s="912"/>
      <c r="BV51" s="912"/>
      <c r="BW51" s="912"/>
      <c r="BX51" s="912"/>
      <c r="BY51" s="912"/>
      <c r="BZ51" s="913"/>
      <c r="CA51" s="876"/>
      <c r="CB51" s="924"/>
      <c r="CC51" s="924"/>
      <c r="CD51" s="924"/>
      <c r="CE51" s="924"/>
      <c r="CH51" s="924"/>
      <c r="CI51" s="924"/>
      <c r="CJ51" s="924"/>
      <c r="CK51" s="924"/>
      <c r="CL51" s="867"/>
      <c r="CM51" s="911" t="s">
        <v>135</v>
      </c>
      <c r="CN51" s="912"/>
      <c r="CO51" s="912"/>
      <c r="CP51" s="912"/>
      <c r="CQ51" s="912"/>
      <c r="CR51" s="912"/>
      <c r="CS51" s="912"/>
      <c r="CT51" s="912"/>
      <c r="CU51" s="913"/>
      <c r="CV51" s="876"/>
      <c r="CZ51" s="496"/>
      <c r="DA51" s="878"/>
      <c r="DB51" s="919" t="s">
        <v>722</v>
      </c>
      <c r="DC51" s="920"/>
      <c r="DD51" s="920"/>
      <c r="DE51" s="920"/>
      <c r="DF51" s="920"/>
      <c r="DG51" s="921"/>
      <c r="DH51" s="879"/>
      <c r="DI51" s="532"/>
      <c r="DL51" s="924"/>
      <c r="DM51" s="924"/>
      <c r="DN51" s="924"/>
      <c r="DO51" s="924"/>
      <c r="DP51" s="867"/>
      <c r="DQ51" s="911" t="s">
        <v>69</v>
      </c>
      <c r="DR51" s="912"/>
      <c r="DS51" s="912"/>
      <c r="DT51" s="912"/>
      <c r="DU51" s="912"/>
      <c r="DV51" s="912"/>
      <c r="DW51" s="912"/>
      <c r="DX51" s="912"/>
      <c r="DY51" s="913"/>
      <c r="DZ51" s="876"/>
    </row>
    <row r="52" spans="1:130" s="447" customFormat="1" ht="13.5" customHeight="1" x14ac:dyDescent="0.15">
      <c r="A52" s="482"/>
      <c r="C52" s="867"/>
      <c r="D52" s="537"/>
      <c r="E52" s="538"/>
      <c r="F52" s="538"/>
      <c r="G52" s="538"/>
      <c r="H52" s="538"/>
      <c r="I52" s="538"/>
      <c r="J52" s="538"/>
      <c r="K52" s="538"/>
      <c r="L52" s="539"/>
      <c r="M52" s="876"/>
      <c r="N52" s="924"/>
      <c r="O52" s="924"/>
      <c r="P52" s="924"/>
      <c r="Q52" s="924"/>
      <c r="T52" s="533"/>
      <c r="U52" s="878"/>
      <c r="V52" s="535"/>
      <c r="W52" s="533"/>
      <c r="X52" s="533"/>
      <c r="Y52" s="533"/>
      <c r="Z52" s="533"/>
      <c r="AA52" s="536"/>
      <c r="AB52" s="879"/>
      <c r="AC52" s="532"/>
      <c r="AG52" s="867"/>
      <c r="AH52" s="537"/>
      <c r="AI52" s="538"/>
      <c r="AJ52" s="538"/>
      <c r="AK52" s="538"/>
      <c r="AL52" s="538"/>
      <c r="AM52" s="538"/>
      <c r="AN52" s="538"/>
      <c r="AO52" s="538"/>
      <c r="AP52" s="539"/>
      <c r="AQ52" s="876"/>
      <c r="AR52" s="924"/>
      <c r="AS52" s="924"/>
      <c r="AT52" s="924"/>
      <c r="AU52" s="924"/>
      <c r="AX52" s="924"/>
      <c r="AY52" s="924"/>
      <c r="AZ52" s="924"/>
      <c r="BA52" s="924"/>
      <c r="BB52" s="867"/>
      <c r="BC52" s="537"/>
      <c r="BD52" s="538"/>
      <c r="BE52" s="538"/>
      <c r="BF52" s="538"/>
      <c r="BG52" s="538"/>
      <c r="BH52" s="538"/>
      <c r="BI52" s="538"/>
      <c r="BJ52" s="538"/>
      <c r="BK52" s="539"/>
      <c r="BL52" s="876"/>
      <c r="BQ52" s="867"/>
      <c r="BR52" s="537"/>
      <c r="BS52" s="538"/>
      <c r="BT52" s="538"/>
      <c r="BU52" s="538"/>
      <c r="BV52" s="538"/>
      <c r="BW52" s="538"/>
      <c r="BX52" s="538"/>
      <c r="BY52" s="538"/>
      <c r="BZ52" s="539"/>
      <c r="CA52" s="876"/>
      <c r="CB52" s="924"/>
      <c r="CC52" s="924"/>
      <c r="CD52" s="924"/>
      <c r="CE52" s="924"/>
      <c r="CH52" s="924"/>
      <c r="CI52" s="924"/>
      <c r="CJ52" s="924"/>
      <c r="CK52" s="924"/>
      <c r="CL52" s="867"/>
      <c r="CM52" s="537"/>
      <c r="CN52" s="538"/>
      <c r="CO52" s="538"/>
      <c r="CP52" s="538"/>
      <c r="CQ52" s="538"/>
      <c r="CR52" s="538"/>
      <c r="CS52" s="538"/>
      <c r="CT52" s="538"/>
      <c r="CU52" s="539"/>
      <c r="CV52" s="876"/>
      <c r="CZ52" s="496"/>
      <c r="DA52" s="878"/>
      <c r="DB52" s="535"/>
      <c r="DC52" s="533"/>
      <c r="DD52" s="533"/>
      <c r="DE52" s="533"/>
      <c r="DF52" s="533"/>
      <c r="DG52" s="536"/>
      <c r="DH52" s="879"/>
      <c r="DI52" s="532"/>
      <c r="DL52" s="924"/>
      <c r="DM52" s="924"/>
      <c r="DN52" s="924"/>
      <c r="DO52" s="924"/>
      <c r="DP52" s="867"/>
      <c r="DQ52" s="537"/>
      <c r="DR52" s="538"/>
      <c r="DS52" s="538"/>
      <c r="DT52" s="538"/>
      <c r="DU52" s="538"/>
      <c r="DV52" s="538"/>
      <c r="DW52" s="538"/>
      <c r="DX52" s="538"/>
      <c r="DY52" s="539"/>
      <c r="DZ52" s="876"/>
    </row>
    <row r="53" spans="1:130" s="447" customFormat="1" ht="13.5" customHeight="1" x14ac:dyDescent="0.15">
      <c r="A53" s="482"/>
      <c r="C53" s="867"/>
      <c r="D53" s="914">
        <v>0.54166666666666663</v>
      </c>
      <c r="E53" s="915"/>
      <c r="F53" s="915"/>
      <c r="G53" s="915"/>
      <c r="H53" s="915"/>
      <c r="I53" s="915"/>
      <c r="J53" s="915"/>
      <c r="K53" s="915"/>
      <c r="L53" s="916"/>
      <c r="M53" s="876"/>
      <c r="N53" s="924"/>
      <c r="O53" s="924"/>
      <c r="P53" s="924"/>
      <c r="Q53" s="924"/>
      <c r="U53" s="878"/>
      <c r="V53" s="901">
        <v>0.4861111111111111</v>
      </c>
      <c r="W53" s="805"/>
      <c r="X53" s="805"/>
      <c r="Y53" s="805"/>
      <c r="Z53" s="805"/>
      <c r="AA53" s="878"/>
      <c r="AB53" s="879"/>
      <c r="AC53" s="532"/>
      <c r="AG53" s="867"/>
      <c r="AH53" s="914">
        <v>0.59722222222222221</v>
      </c>
      <c r="AI53" s="915"/>
      <c r="AJ53" s="915"/>
      <c r="AK53" s="915"/>
      <c r="AL53" s="915"/>
      <c r="AM53" s="915"/>
      <c r="AN53" s="915"/>
      <c r="AO53" s="915"/>
      <c r="AP53" s="916"/>
      <c r="AQ53" s="876"/>
      <c r="AR53" s="924"/>
      <c r="AS53" s="924"/>
      <c r="AT53" s="924"/>
      <c r="AU53" s="924"/>
      <c r="AX53" s="924"/>
      <c r="AY53" s="924"/>
      <c r="AZ53" s="924"/>
      <c r="BA53" s="924"/>
      <c r="BB53" s="867"/>
      <c r="BC53" s="914">
        <v>0.54166666666666663</v>
      </c>
      <c r="BD53" s="915"/>
      <c r="BE53" s="915"/>
      <c r="BF53" s="915"/>
      <c r="BG53" s="915"/>
      <c r="BH53" s="915"/>
      <c r="BI53" s="915"/>
      <c r="BJ53" s="915"/>
      <c r="BK53" s="916"/>
      <c r="BL53" s="876"/>
      <c r="BQ53" s="867"/>
      <c r="BR53" s="914">
        <v>0.54166666666666663</v>
      </c>
      <c r="BS53" s="915"/>
      <c r="BT53" s="915"/>
      <c r="BU53" s="915"/>
      <c r="BV53" s="915"/>
      <c r="BW53" s="915"/>
      <c r="BX53" s="915"/>
      <c r="BY53" s="915"/>
      <c r="BZ53" s="916"/>
      <c r="CA53" s="876"/>
      <c r="CB53" s="924"/>
      <c r="CC53" s="924"/>
      <c r="CD53" s="924"/>
      <c r="CE53" s="924"/>
      <c r="CH53" s="924"/>
      <c r="CI53" s="924"/>
      <c r="CJ53" s="924"/>
      <c r="CK53" s="924"/>
      <c r="CL53" s="867"/>
      <c r="CM53" s="914">
        <v>0.59722222222222221</v>
      </c>
      <c r="CN53" s="915"/>
      <c r="CO53" s="915"/>
      <c r="CP53" s="915"/>
      <c r="CQ53" s="915"/>
      <c r="CR53" s="915"/>
      <c r="CS53" s="915"/>
      <c r="CT53" s="915"/>
      <c r="CU53" s="916"/>
      <c r="CV53" s="876"/>
      <c r="DA53" s="878"/>
      <c r="DB53" s="901">
        <v>0.4861111111111111</v>
      </c>
      <c r="DC53" s="805"/>
      <c r="DD53" s="805"/>
      <c r="DE53" s="805"/>
      <c r="DF53" s="805"/>
      <c r="DG53" s="878"/>
      <c r="DH53" s="879"/>
      <c r="DI53" s="532"/>
      <c r="DL53" s="924"/>
      <c r="DM53" s="924"/>
      <c r="DN53" s="924"/>
      <c r="DO53" s="924"/>
      <c r="DP53" s="867"/>
      <c r="DQ53" s="914">
        <v>0.54166666666666663</v>
      </c>
      <c r="DR53" s="915"/>
      <c r="DS53" s="915"/>
      <c r="DT53" s="915"/>
      <c r="DU53" s="915"/>
      <c r="DV53" s="915"/>
      <c r="DW53" s="915"/>
      <c r="DX53" s="915"/>
      <c r="DY53" s="916"/>
      <c r="DZ53" s="876"/>
    </row>
    <row r="54" spans="1:130" s="503" customFormat="1" ht="13.5" customHeight="1" x14ac:dyDescent="0.15">
      <c r="A54" s="502"/>
      <c r="C54" s="867"/>
      <c r="D54" s="504"/>
      <c r="F54" s="875"/>
      <c r="G54" s="875"/>
      <c r="H54" s="875"/>
      <c r="I54" s="875"/>
      <c r="M54" s="876"/>
      <c r="U54" s="878"/>
      <c r="W54" s="875"/>
      <c r="X54" s="875"/>
      <c r="Y54" s="875"/>
      <c r="Z54" s="875"/>
      <c r="AB54" s="879"/>
      <c r="AG54" s="867"/>
      <c r="AH54" s="504"/>
      <c r="AJ54" s="875"/>
      <c r="AK54" s="875"/>
      <c r="AL54" s="875"/>
      <c r="AM54" s="875"/>
      <c r="AQ54" s="876"/>
      <c r="BB54" s="867"/>
      <c r="BF54" s="875"/>
      <c r="BG54" s="875"/>
      <c r="BH54" s="875"/>
      <c r="BI54" s="875"/>
      <c r="BL54" s="876"/>
      <c r="BQ54" s="867"/>
      <c r="BR54" s="504"/>
      <c r="BT54" s="875"/>
      <c r="BU54" s="875"/>
      <c r="BV54" s="875"/>
      <c r="BW54" s="875"/>
      <c r="CA54" s="876"/>
      <c r="CL54" s="867"/>
      <c r="CP54" s="875"/>
      <c r="CQ54" s="875"/>
      <c r="CR54" s="875"/>
      <c r="CS54" s="875"/>
      <c r="CV54" s="876"/>
      <c r="DA54" s="878"/>
      <c r="DC54" s="875"/>
      <c r="DD54" s="875"/>
      <c r="DE54" s="875"/>
      <c r="DF54" s="875"/>
      <c r="DH54" s="879"/>
      <c r="DP54" s="867"/>
      <c r="DT54" s="875"/>
      <c r="DU54" s="875"/>
      <c r="DV54" s="875"/>
      <c r="DW54" s="875"/>
      <c r="DZ54" s="876"/>
    </row>
    <row r="55" spans="1:130" s="447" customFormat="1" ht="13.5" customHeight="1" x14ac:dyDescent="0.15">
      <c r="A55" s="482"/>
      <c r="C55" s="867"/>
      <c r="D55" s="475"/>
      <c r="H55" s="805"/>
      <c r="I55" s="805"/>
      <c r="J55" s="805"/>
      <c r="K55" s="805"/>
      <c r="M55" s="876"/>
      <c r="N55" s="805"/>
      <c r="O55" s="805"/>
      <c r="P55" s="805"/>
      <c r="Q55" s="805"/>
      <c r="U55" s="878"/>
      <c r="AB55" s="879"/>
      <c r="AG55" s="867"/>
      <c r="AH55" s="475"/>
      <c r="AL55" s="805"/>
      <c r="AM55" s="805"/>
      <c r="AN55" s="805"/>
      <c r="AO55" s="805"/>
      <c r="AQ55" s="876"/>
      <c r="AR55" s="805"/>
      <c r="AS55" s="805"/>
      <c r="AT55" s="805"/>
      <c r="AU55" s="805"/>
      <c r="AX55" s="805"/>
      <c r="AY55" s="805"/>
      <c r="AZ55" s="805"/>
      <c r="BA55" s="805"/>
      <c r="BB55" s="867"/>
      <c r="BD55" s="805"/>
      <c r="BE55" s="805"/>
      <c r="BF55" s="805"/>
      <c r="BG55" s="805"/>
      <c r="BL55" s="876"/>
      <c r="BQ55" s="867"/>
      <c r="BR55" s="475"/>
      <c r="BV55" s="805"/>
      <c r="BW55" s="805"/>
      <c r="BX55" s="805"/>
      <c r="BY55" s="805"/>
      <c r="CA55" s="876"/>
      <c r="CB55" s="805"/>
      <c r="CC55" s="805"/>
      <c r="CD55" s="805"/>
      <c r="CE55" s="805"/>
      <c r="CH55" s="805"/>
      <c r="CI55" s="805"/>
      <c r="CJ55" s="805"/>
      <c r="CK55" s="805"/>
      <c r="CL55" s="867"/>
      <c r="CN55" s="805"/>
      <c r="CO55" s="805"/>
      <c r="CP55" s="805"/>
      <c r="CQ55" s="805"/>
      <c r="CV55" s="876"/>
      <c r="DA55" s="878"/>
      <c r="DH55" s="879"/>
      <c r="DL55" s="805"/>
      <c r="DM55" s="805"/>
      <c r="DN55" s="805"/>
      <c r="DO55" s="805"/>
      <c r="DP55" s="867"/>
      <c r="DR55" s="805"/>
      <c r="DS55" s="805"/>
      <c r="DT55" s="805"/>
      <c r="DU55" s="805"/>
      <c r="DZ55" s="876"/>
    </row>
    <row r="56" spans="1:130" s="487" customFormat="1" ht="13.5" hidden="1" customHeight="1" x14ac:dyDescent="0.15">
      <c r="A56" s="506"/>
      <c r="C56" s="867"/>
      <c r="D56" s="488"/>
      <c r="H56" s="918"/>
      <c r="I56" s="918"/>
      <c r="J56" s="918"/>
      <c r="K56" s="918"/>
      <c r="M56" s="876"/>
      <c r="N56" s="918"/>
      <c r="O56" s="918"/>
      <c r="P56" s="918"/>
      <c r="Q56" s="918"/>
      <c r="U56" s="878"/>
      <c r="Y56" s="447"/>
      <c r="AB56" s="879"/>
      <c r="AG56" s="867"/>
      <c r="AH56" s="488"/>
      <c r="AL56" s="918"/>
      <c r="AM56" s="918"/>
      <c r="AN56" s="918"/>
      <c r="AO56" s="918"/>
      <c r="AQ56" s="876"/>
      <c r="AR56" s="918"/>
      <c r="AS56" s="918"/>
      <c r="AT56" s="918"/>
      <c r="AU56" s="918"/>
      <c r="AX56" s="918"/>
      <c r="AY56" s="918"/>
      <c r="AZ56" s="918"/>
      <c r="BA56" s="918"/>
      <c r="BB56" s="867"/>
      <c r="BD56" s="918"/>
      <c r="BE56" s="918"/>
      <c r="BF56" s="918"/>
      <c r="BG56" s="918"/>
      <c r="BL56" s="876"/>
      <c r="BQ56" s="867"/>
      <c r="BR56" s="488"/>
      <c r="BV56" s="918"/>
      <c r="BW56" s="918"/>
      <c r="BX56" s="918"/>
      <c r="BY56" s="918"/>
      <c r="CA56" s="876"/>
      <c r="CB56" s="918"/>
      <c r="CC56" s="918"/>
      <c r="CD56" s="918"/>
      <c r="CE56" s="918"/>
      <c r="CH56" s="918"/>
      <c r="CI56" s="918"/>
      <c r="CJ56" s="918"/>
      <c r="CK56" s="918"/>
      <c r="CL56" s="867"/>
      <c r="CN56" s="918"/>
      <c r="CO56" s="918"/>
      <c r="CP56" s="918"/>
      <c r="CQ56" s="918"/>
      <c r="CV56" s="876"/>
      <c r="DA56" s="878"/>
      <c r="DE56" s="447"/>
      <c r="DH56" s="879"/>
      <c r="DL56" s="918"/>
      <c r="DM56" s="918"/>
      <c r="DN56" s="918"/>
      <c r="DO56" s="918"/>
      <c r="DP56" s="867"/>
      <c r="DR56" s="918"/>
      <c r="DS56" s="918"/>
      <c r="DT56" s="918"/>
      <c r="DU56" s="918"/>
      <c r="DZ56" s="876"/>
    </row>
    <row r="57" spans="1:130" s="447" customFormat="1" ht="3.75" customHeight="1" thickBot="1" x14ac:dyDescent="0.2">
      <c r="A57" s="482"/>
      <c r="C57" s="867"/>
      <c r="D57" s="475"/>
      <c r="J57" s="851"/>
      <c r="K57" s="851"/>
      <c r="L57" s="851"/>
      <c r="M57" s="850"/>
      <c r="N57" s="851"/>
      <c r="O57" s="851"/>
      <c r="U57" s="878"/>
      <c r="AB57" s="879"/>
      <c r="AG57" s="867"/>
      <c r="AH57" s="475"/>
      <c r="AN57" s="851"/>
      <c r="AO57" s="851"/>
      <c r="AP57" s="851"/>
      <c r="AQ57" s="850"/>
      <c r="AR57" s="851"/>
      <c r="AS57" s="851"/>
      <c r="AZ57" s="851"/>
      <c r="BA57" s="851"/>
      <c r="BB57" s="872"/>
      <c r="BC57" s="851"/>
      <c r="BD57" s="851"/>
      <c r="BE57" s="851"/>
      <c r="BL57" s="876"/>
      <c r="BQ57" s="867"/>
      <c r="BR57" s="475"/>
      <c r="BX57" s="851"/>
      <c r="BY57" s="851"/>
      <c r="BZ57" s="851"/>
      <c r="CA57" s="850"/>
      <c r="CB57" s="851"/>
      <c r="CC57" s="851"/>
      <c r="CJ57" s="851"/>
      <c r="CK57" s="851"/>
      <c r="CL57" s="872"/>
      <c r="CM57" s="851"/>
      <c r="CN57" s="851"/>
      <c r="CO57" s="851"/>
      <c r="CV57" s="876"/>
      <c r="DA57" s="878"/>
      <c r="DH57" s="879"/>
      <c r="DN57" s="851"/>
      <c r="DO57" s="851"/>
      <c r="DP57" s="872"/>
      <c r="DQ57" s="851"/>
      <c r="DR57" s="851"/>
      <c r="DS57" s="851"/>
      <c r="DZ57" s="876"/>
    </row>
    <row r="58" spans="1:130" s="447" customFormat="1" ht="13.5" customHeight="1" thickTop="1" x14ac:dyDescent="0.15">
      <c r="A58" s="482"/>
      <c r="C58" s="867"/>
      <c r="D58" s="475"/>
      <c r="I58" s="867"/>
      <c r="J58" s="919"/>
      <c r="K58" s="920"/>
      <c r="L58" s="920"/>
      <c r="M58" s="920"/>
      <c r="N58" s="920"/>
      <c r="O58" s="921"/>
      <c r="P58" s="876"/>
      <c r="U58" s="878"/>
      <c r="V58" s="920"/>
      <c r="W58" s="920"/>
      <c r="X58" s="805"/>
      <c r="Y58" s="805"/>
      <c r="Z58" s="920"/>
      <c r="AA58" s="920"/>
      <c r="AB58" s="879"/>
      <c r="AG58" s="867"/>
      <c r="AM58" s="867"/>
      <c r="AN58" s="919"/>
      <c r="AO58" s="920"/>
      <c r="AP58" s="920"/>
      <c r="AQ58" s="920"/>
      <c r="AR58" s="920"/>
      <c r="AS58" s="921"/>
      <c r="AT58" s="876"/>
      <c r="AY58" s="867"/>
      <c r="AZ58" s="919"/>
      <c r="BA58" s="920"/>
      <c r="BB58" s="920"/>
      <c r="BC58" s="920"/>
      <c r="BD58" s="920"/>
      <c r="BE58" s="921"/>
      <c r="BF58" s="876"/>
      <c r="BL58" s="876"/>
      <c r="BQ58" s="867"/>
      <c r="BW58" s="867"/>
      <c r="BX58" s="919"/>
      <c r="BY58" s="920"/>
      <c r="BZ58" s="920"/>
      <c r="CA58" s="920"/>
      <c r="CB58" s="920"/>
      <c r="CC58" s="921"/>
      <c r="CD58" s="876"/>
      <c r="CI58" s="867"/>
      <c r="CJ58" s="919"/>
      <c r="CK58" s="920"/>
      <c r="CL58" s="920"/>
      <c r="CM58" s="920"/>
      <c r="CN58" s="920"/>
      <c r="CO58" s="921"/>
      <c r="CP58" s="876"/>
      <c r="CV58" s="876"/>
      <c r="DA58" s="878"/>
      <c r="DB58" s="920"/>
      <c r="DC58" s="920"/>
      <c r="DD58" s="805"/>
      <c r="DE58" s="805"/>
      <c r="DF58" s="920"/>
      <c r="DG58" s="920"/>
      <c r="DH58" s="879"/>
      <c r="DM58" s="867"/>
      <c r="DN58" s="919"/>
      <c r="DO58" s="920"/>
      <c r="DP58" s="920"/>
      <c r="DQ58" s="920"/>
      <c r="DR58" s="920"/>
      <c r="DS58" s="921"/>
      <c r="DT58" s="876"/>
      <c r="DZ58" s="876"/>
    </row>
    <row r="59" spans="1:130" s="447" customFormat="1" ht="13.5" customHeight="1" x14ac:dyDescent="0.15">
      <c r="A59" s="482"/>
      <c r="C59" s="867"/>
      <c r="D59" s="475"/>
      <c r="I59" s="867"/>
      <c r="J59" s="919" t="s">
        <v>135</v>
      </c>
      <c r="K59" s="920"/>
      <c r="L59" s="920"/>
      <c r="M59" s="920"/>
      <c r="N59" s="920"/>
      <c r="O59" s="921"/>
      <c r="P59" s="876"/>
      <c r="U59" s="878"/>
      <c r="V59" s="920"/>
      <c r="W59" s="920"/>
      <c r="X59" s="805"/>
      <c r="Y59" s="805"/>
      <c r="Z59" s="920"/>
      <c r="AA59" s="920"/>
      <c r="AB59" s="879"/>
      <c r="AG59" s="867"/>
      <c r="AM59" s="867"/>
      <c r="AN59" s="919" t="s">
        <v>69</v>
      </c>
      <c r="AO59" s="920"/>
      <c r="AP59" s="920"/>
      <c r="AQ59" s="920"/>
      <c r="AR59" s="920"/>
      <c r="AS59" s="921"/>
      <c r="AT59" s="876"/>
      <c r="AY59" s="867"/>
      <c r="AZ59" s="919" t="s">
        <v>722</v>
      </c>
      <c r="BA59" s="920"/>
      <c r="BB59" s="920"/>
      <c r="BC59" s="920"/>
      <c r="BD59" s="920"/>
      <c r="BE59" s="921"/>
      <c r="BF59" s="876"/>
      <c r="BL59" s="876"/>
      <c r="BQ59" s="867"/>
      <c r="BW59" s="867"/>
      <c r="BX59" s="919" t="s">
        <v>136</v>
      </c>
      <c r="BY59" s="920"/>
      <c r="BZ59" s="920"/>
      <c r="CA59" s="920"/>
      <c r="CB59" s="920"/>
      <c r="CC59" s="921"/>
      <c r="CD59" s="876"/>
      <c r="CI59" s="867"/>
      <c r="CJ59" s="919" t="s">
        <v>135</v>
      </c>
      <c r="CK59" s="920"/>
      <c r="CL59" s="920"/>
      <c r="CM59" s="920"/>
      <c r="CN59" s="920"/>
      <c r="CO59" s="921"/>
      <c r="CP59" s="876"/>
      <c r="CV59" s="876"/>
      <c r="DA59" s="878"/>
      <c r="DB59" s="920"/>
      <c r="DC59" s="920"/>
      <c r="DD59" s="805"/>
      <c r="DE59" s="805"/>
      <c r="DF59" s="920"/>
      <c r="DG59" s="920"/>
      <c r="DH59" s="879"/>
      <c r="DM59" s="867"/>
      <c r="DN59" s="919" t="s">
        <v>69</v>
      </c>
      <c r="DO59" s="920"/>
      <c r="DP59" s="920"/>
      <c r="DQ59" s="920"/>
      <c r="DR59" s="920"/>
      <c r="DS59" s="921"/>
      <c r="DT59" s="876"/>
      <c r="DZ59" s="876"/>
    </row>
    <row r="60" spans="1:130" s="447" customFormat="1" ht="13.5" customHeight="1" x14ac:dyDescent="0.15">
      <c r="A60" s="482"/>
      <c r="C60" s="867"/>
      <c r="D60" s="475"/>
      <c r="I60" s="867"/>
      <c r="J60" s="535"/>
      <c r="K60" s="533"/>
      <c r="L60" s="533"/>
      <c r="M60" s="533"/>
      <c r="N60" s="533"/>
      <c r="O60" s="536"/>
      <c r="P60" s="876"/>
      <c r="U60" s="878"/>
      <c r="V60" s="533"/>
      <c r="W60" s="533"/>
      <c r="Z60" s="533"/>
      <c r="AA60" s="533"/>
      <c r="AB60" s="879"/>
      <c r="AG60" s="867"/>
      <c r="AM60" s="867"/>
      <c r="AN60" s="535"/>
      <c r="AO60" s="533"/>
      <c r="AP60" s="533"/>
      <c r="AQ60" s="533"/>
      <c r="AR60" s="533"/>
      <c r="AS60" s="536"/>
      <c r="AT60" s="876"/>
      <c r="AY60" s="867"/>
      <c r="AZ60" s="535"/>
      <c r="BA60" s="533"/>
      <c r="BB60" s="533"/>
      <c r="BC60" s="533"/>
      <c r="BD60" s="533"/>
      <c r="BE60" s="536"/>
      <c r="BF60" s="876"/>
      <c r="BL60" s="876"/>
      <c r="BQ60" s="867"/>
      <c r="BW60" s="867"/>
      <c r="BX60" s="535"/>
      <c r="BY60" s="533"/>
      <c r="BZ60" s="533"/>
      <c r="CA60" s="533"/>
      <c r="CB60" s="533"/>
      <c r="CC60" s="536"/>
      <c r="CD60" s="876"/>
      <c r="CI60" s="867"/>
      <c r="CJ60" s="535"/>
      <c r="CK60" s="533"/>
      <c r="CL60" s="533"/>
      <c r="CM60" s="533"/>
      <c r="CN60" s="533"/>
      <c r="CO60" s="536"/>
      <c r="CP60" s="876"/>
      <c r="CV60" s="876"/>
      <c r="DA60" s="878"/>
      <c r="DB60" s="533"/>
      <c r="DC60" s="533"/>
      <c r="DF60" s="533"/>
      <c r="DG60" s="533"/>
      <c r="DH60" s="879"/>
      <c r="DM60" s="867"/>
      <c r="DN60" s="535"/>
      <c r="DO60" s="533"/>
      <c r="DP60" s="533"/>
      <c r="DQ60" s="533"/>
      <c r="DR60" s="533"/>
      <c r="DS60" s="536"/>
      <c r="DT60" s="876"/>
      <c r="DZ60" s="876"/>
    </row>
    <row r="61" spans="1:130" s="447" customFormat="1" ht="13.5" customHeight="1" x14ac:dyDescent="0.15">
      <c r="A61" s="482"/>
      <c r="C61" s="867"/>
      <c r="D61" s="475"/>
      <c r="I61" s="867"/>
      <c r="J61" s="922">
        <v>0.375</v>
      </c>
      <c r="K61" s="920"/>
      <c r="L61" s="920"/>
      <c r="M61" s="920"/>
      <c r="N61" s="920"/>
      <c r="O61" s="921"/>
      <c r="P61" s="876"/>
      <c r="U61" s="878"/>
      <c r="V61" s="920"/>
      <c r="W61" s="920"/>
      <c r="X61" s="847"/>
      <c r="Y61" s="847"/>
      <c r="Z61" s="920"/>
      <c r="AA61" s="920"/>
      <c r="AB61" s="879"/>
      <c r="AG61" s="867"/>
      <c r="AM61" s="867"/>
      <c r="AN61" s="922">
        <v>0.43055555555555558</v>
      </c>
      <c r="AO61" s="920"/>
      <c r="AP61" s="920"/>
      <c r="AQ61" s="920"/>
      <c r="AR61" s="920"/>
      <c r="AS61" s="921"/>
      <c r="AT61" s="876"/>
      <c r="AY61" s="867"/>
      <c r="AZ61" s="922">
        <v>0.375</v>
      </c>
      <c r="BA61" s="920"/>
      <c r="BB61" s="920"/>
      <c r="BC61" s="920"/>
      <c r="BD61" s="920"/>
      <c r="BE61" s="921"/>
      <c r="BF61" s="876"/>
      <c r="BL61" s="876"/>
      <c r="BQ61" s="867"/>
      <c r="BW61" s="867"/>
      <c r="BX61" s="922">
        <v>0.375</v>
      </c>
      <c r="BY61" s="920"/>
      <c r="BZ61" s="920"/>
      <c r="CA61" s="920"/>
      <c r="CB61" s="920"/>
      <c r="CC61" s="921"/>
      <c r="CD61" s="876"/>
      <c r="CI61" s="867"/>
      <c r="CJ61" s="922">
        <v>0.43055555555555558</v>
      </c>
      <c r="CK61" s="920"/>
      <c r="CL61" s="920"/>
      <c r="CM61" s="920"/>
      <c r="CN61" s="920"/>
      <c r="CO61" s="921"/>
      <c r="CP61" s="876"/>
      <c r="CV61" s="876"/>
      <c r="DA61" s="878"/>
      <c r="DB61" s="920"/>
      <c r="DC61" s="920"/>
      <c r="DD61" s="847"/>
      <c r="DE61" s="847"/>
      <c r="DF61" s="920"/>
      <c r="DG61" s="920"/>
      <c r="DH61" s="879"/>
      <c r="DM61" s="867"/>
      <c r="DN61" s="922">
        <v>0.375</v>
      </c>
      <c r="DO61" s="920"/>
      <c r="DP61" s="920"/>
      <c r="DQ61" s="920"/>
      <c r="DR61" s="920"/>
      <c r="DS61" s="921"/>
      <c r="DT61" s="876"/>
      <c r="DZ61" s="876"/>
    </row>
    <row r="62" spans="1:130" s="447" customFormat="1" ht="13.5" customHeight="1" x14ac:dyDescent="0.15">
      <c r="A62" s="482"/>
      <c r="C62" s="867"/>
      <c r="D62" s="475"/>
      <c r="I62" s="867"/>
      <c r="J62" s="879"/>
      <c r="K62" s="805"/>
      <c r="L62" s="805"/>
      <c r="M62" s="805"/>
      <c r="N62" s="805"/>
      <c r="O62" s="878"/>
      <c r="P62" s="876"/>
      <c r="U62" s="878"/>
      <c r="W62" s="805"/>
      <c r="X62" s="805"/>
      <c r="Y62" s="805"/>
      <c r="Z62" s="805"/>
      <c r="AB62" s="879"/>
      <c r="AG62" s="867"/>
      <c r="AM62" s="867"/>
      <c r="AN62" s="879"/>
      <c r="AO62" s="805"/>
      <c r="AP62" s="805"/>
      <c r="AQ62" s="805"/>
      <c r="AR62" s="805"/>
      <c r="AS62" s="878"/>
      <c r="AT62" s="876"/>
      <c r="AY62" s="867"/>
      <c r="AZ62" s="879"/>
      <c r="BA62" s="805"/>
      <c r="BB62" s="805"/>
      <c r="BC62" s="805"/>
      <c r="BD62" s="805"/>
      <c r="BE62" s="878"/>
      <c r="BF62" s="876"/>
      <c r="BL62" s="876"/>
      <c r="BQ62" s="867"/>
      <c r="BW62" s="867"/>
      <c r="BX62" s="879"/>
      <c r="BY62" s="805"/>
      <c r="BZ62" s="805"/>
      <c r="CA62" s="805"/>
      <c r="CB62" s="805"/>
      <c r="CC62" s="878"/>
      <c r="CD62" s="876"/>
      <c r="CI62" s="867"/>
      <c r="CJ62" s="879"/>
      <c r="CK62" s="805"/>
      <c r="CL62" s="805"/>
      <c r="CM62" s="805"/>
      <c r="CN62" s="805"/>
      <c r="CO62" s="878"/>
      <c r="CP62" s="876"/>
      <c r="CV62" s="876"/>
      <c r="DA62" s="878"/>
      <c r="DC62" s="805"/>
      <c r="DD62" s="805"/>
      <c r="DE62" s="805"/>
      <c r="DF62" s="805"/>
      <c r="DH62" s="879"/>
      <c r="DM62" s="867"/>
      <c r="DN62" s="879"/>
      <c r="DO62" s="805"/>
      <c r="DP62" s="805"/>
      <c r="DQ62" s="805"/>
      <c r="DR62" s="805"/>
      <c r="DS62" s="878"/>
      <c r="DT62" s="876"/>
      <c r="DZ62" s="876"/>
    </row>
    <row r="63" spans="1:130" s="447" customFormat="1" ht="13.5" customHeight="1" x14ac:dyDescent="0.15">
      <c r="A63" s="482"/>
      <c r="C63" s="867"/>
      <c r="D63" s="475"/>
      <c r="I63" s="867"/>
      <c r="J63" s="920"/>
      <c r="K63" s="920"/>
      <c r="L63" s="847"/>
      <c r="M63" s="847"/>
      <c r="N63" s="920"/>
      <c r="O63" s="920"/>
      <c r="P63" s="876"/>
      <c r="U63" s="878"/>
      <c r="V63" s="920"/>
      <c r="W63" s="920"/>
      <c r="X63" s="847"/>
      <c r="Y63" s="847"/>
      <c r="Z63" s="920"/>
      <c r="AA63" s="920"/>
      <c r="AB63" s="879"/>
      <c r="AG63" s="867"/>
      <c r="AM63" s="867"/>
      <c r="AN63" s="920"/>
      <c r="AO63" s="920"/>
      <c r="AP63" s="847"/>
      <c r="AQ63" s="847"/>
      <c r="AR63" s="920"/>
      <c r="AS63" s="920"/>
      <c r="AT63" s="876"/>
      <c r="AY63" s="867"/>
      <c r="AZ63" s="920"/>
      <c r="BA63" s="920"/>
      <c r="BB63" s="847"/>
      <c r="BC63" s="847"/>
      <c r="BD63" s="920"/>
      <c r="BE63" s="920"/>
      <c r="BF63" s="876"/>
      <c r="BL63" s="876"/>
      <c r="BQ63" s="867"/>
      <c r="BW63" s="867"/>
      <c r="BX63" s="920"/>
      <c r="BY63" s="920"/>
      <c r="BZ63" s="847"/>
      <c r="CA63" s="847"/>
      <c r="CB63" s="920"/>
      <c r="CC63" s="920"/>
      <c r="CD63" s="876"/>
      <c r="CI63" s="867"/>
      <c r="CJ63" s="920"/>
      <c r="CK63" s="920"/>
      <c r="CL63" s="847"/>
      <c r="CM63" s="847"/>
      <c r="CN63" s="920"/>
      <c r="CO63" s="920"/>
      <c r="CP63" s="876"/>
      <c r="CV63" s="876"/>
      <c r="DA63" s="878"/>
      <c r="DB63" s="920"/>
      <c r="DC63" s="920"/>
      <c r="DD63" s="847"/>
      <c r="DE63" s="847"/>
      <c r="DF63" s="920"/>
      <c r="DG63" s="920"/>
      <c r="DH63" s="879"/>
      <c r="DM63" s="867"/>
      <c r="DN63" s="920"/>
      <c r="DO63" s="920"/>
      <c r="DP63" s="847"/>
      <c r="DQ63" s="847"/>
      <c r="DR63" s="920"/>
      <c r="DS63" s="920"/>
      <c r="DT63" s="876"/>
      <c r="DZ63" s="876"/>
    </row>
    <row r="64" spans="1:130" s="503" customFormat="1" ht="13.5" customHeight="1" x14ac:dyDescent="0.15">
      <c r="A64" s="502"/>
      <c r="C64" s="867"/>
      <c r="D64" s="504"/>
      <c r="I64" s="867"/>
      <c r="K64" s="875"/>
      <c r="L64" s="875"/>
      <c r="M64" s="875"/>
      <c r="N64" s="875"/>
      <c r="P64" s="876"/>
      <c r="U64" s="878"/>
      <c r="W64" s="875"/>
      <c r="X64" s="875"/>
      <c r="Y64" s="875"/>
      <c r="Z64" s="875"/>
      <c r="AB64" s="879"/>
      <c r="AG64" s="867"/>
      <c r="AM64" s="867"/>
      <c r="AO64" s="875"/>
      <c r="AP64" s="875"/>
      <c r="AQ64" s="875"/>
      <c r="AR64" s="875"/>
      <c r="AT64" s="876"/>
      <c r="AY64" s="867"/>
      <c r="BA64" s="875"/>
      <c r="BB64" s="875"/>
      <c r="BC64" s="875"/>
      <c r="BD64" s="875"/>
      <c r="BF64" s="876"/>
      <c r="BL64" s="876"/>
      <c r="BQ64" s="867"/>
      <c r="BW64" s="867"/>
      <c r="BY64" s="875"/>
      <c r="BZ64" s="875"/>
      <c r="CA64" s="875"/>
      <c r="CB64" s="875"/>
      <c r="CD64" s="876"/>
      <c r="CI64" s="867"/>
      <c r="CK64" s="875"/>
      <c r="CL64" s="875"/>
      <c r="CM64" s="875"/>
      <c r="CN64" s="875"/>
      <c r="CP64" s="876"/>
      <c r="CV64" s="876"/>
      <c r="DA64" s="878"/>
      <c r="DC64" s="875"/>
      <c r="DD64" s="875"/>
      <c r="DE64" s="875"/>
      <c r="DF64" s="875"/>
      <c r="DH64" s="879"/>
      <c r="DM64" s="867"/>
      <c r="DO64" s="875"/>
      <c r="DP64" s="875"/>
      <c r="DQ64" s="875"/>
      <c r="DR64" s="875"/>
      <c r="DT64" s="876"/>
      <c r="DZ64" s="876"/>
    </row>
    <row r="65" spans="2:142" s="496" customFormat="1" ht="13.5" customHeight="1" x14ac:dyDescent="0.15">
      <c r="B65" s="847">
        <f>1</f>
        <v>1</v>
      </c>
      <c r="C65" s="847"/>
      <c r="D65" s="847"/>
      <c r="E65" s="847"/>
      <c r="H65" s="847">
        <f>B65+1</f>
        <v>2</v>
      </c>
      <c r="I65" s="847"/>
      <c r="J65" s="847"/>
      <c r="K65" s="847"/>
      <c r="N65" s="847">
        <f>H65+1</f>
        <v>3</v>
      </c>
      <c r="O65" s="847"/>
      <c r="P65" s="847"/>
      <c r="Q65" s="847"/>
      <c r="T65" s="847">
        <f>N65+1</f>
        <v>4</v>
      </c>
      <c r="U65" s="847"/>
      <c r="V65" s="847"/>
      <c r="W65" s="847"/>
      <c r="Z65" s="847">
        <f>T65+1</f>
        <v>5</v>
      </c>
      <c r="AA65" s="847"/>
      <c r="AB65" s="847"/>
      <c r="AC65" s="847"/>
      <c r="AF65" s="847">
        <f>Z65+1</f>
        <v>6</v>
      </c>
      <c r="AG65" s="847"/>
      <c r="AH65" s="847"/>
      <c r="AI65" s="847"/>
      <c r="AL65" s="847">
        <f>AF65+1</f>
        <v>7</v>
      </c>
      <c r="AM65" s="847"/>
      <c r="AN65" s="847"/>
      <c r="AO65" s="847"/>
      <c r="AR65" s="847">
        <f>AL65+1</f>
        <v>8</v>
      </c>
      <c r="AS65" s="847"/>
      <c r="AT65" s="847"/>
      <c r="AU65" s="847"/>
      <c r="AX65" s="847">
        <f>AR65+1</f>
        <v>9</v>
      </c>
      <c r="AY65" s="847"/>
      <c r="AZ65" s="847"/>
      <c r="BA65" s="847"/>
      <c r="BD65" s="847">
        <f>AX65+1</f>
        <v>10</v>
      </c>
      <c r="BE65" s="847"/>
      <c r="BF65" s="847"/>
      <c r="BG65" s="847"/>
      <c r="BJ65" s="847">
        <f>BD65+1</f>
        <v>11</v>
      </c>
      <c r="BK65" s="847"/>
      <c r="BL65" s="847"/>
      <c r="BM65" s="847"/>
      <c r="BP65" s="847">
        <f>BJ65+1</f>
        <v>12</v>
      </c>
      <c r="BQ65" s="847"/>
      <c r="BR65" s="847"/>
      <c r="BS65" s="847"/>
      <c r="BV65" s="847">
        <f>BP65+1</f>
        <v>13</v>
      </c>
      <c r="BW65" s="847"/>
      <c r="BX65" s="847"/>
      <c r="BY65" s="847"/>
      <c r="CB65" s="847">
        <f>BV65+1</f>
        <v>14</v>
      </c>
      <c r="CC65" s="847"/>
      <c r="CD65" s="847"/>
      <c r="CE65" s="847"/>
      <c r="CH65" s="847">
        <f>CB65+1</f>
        <v>15</v>
      </c>
      <c r="CI65" s="847"/>
      <c r="CJ65" s="847"/>
      <c r="CK65" s="847"/>
      <c r="CN65" s="847">
        <f>CH65+1</f>
        <v>16</v>
      </c>
      <c r="CO65" s="847"/>
      <c r="CP65" s="847"/>
      <c r="CQ65" s="847"/>
      <c r="CT65" s="847">
        <f>CN65+1</f>
        <v>17</v>
      </c>
      <c r="CU65" s="847"/>
      <c r="CV65" s="847"/>
      <c r="CW65" s="847"/>
      <c r="CZ65" s="847">
        <f>CT65+1</f>
        <v>18</v>
      </c>
      <c r="DA65" s="847"/>
      <c r="DB65" s="847"/>
      <c r="DC65" s="847"/>
      <c r="DF65" s="847">
        <f>CZ65+1</f>
        <v>19</v>
      </c>
      <c r="DG65" s="847"/>
      <c r="DH65" s="847"/>
      <c r="DI65" s="847"/>
      <c r="DL65" s="847">
        <f>DF65+1</f>
        <v>20</v>
      </c>
      <c r="DM65" s="847"/>
      <c r="DN65" s="847"/>
      <c r="DO65" s="847"/>
      <c r="DR65" s="847">
        <f>DL65+1</f>
        <v>21</v>
      </c>
      <c r="DS65" s="847"/>
      <c r="DT65" s="847"/>
      <c r="DU65" s="847"/>
      <c r="DX65" s="847">
        <f>DR65+1</f>
        <v>22</v>
      </c>
      <c r="DY65" s="847"/>
      <c r="DZ65" s="847"/>
      <c r="EA65" s="847"/>
      <c r="EB65" s="516"/>
    </row>
    <row r="66" spans="2:142" s="530" customFormat="1" ht="105" customHeight="1" x14ac:dyDescent="0.15">
      <c r="B66" s="861" t="str">
        <f>IF(ISERROR(MATCH(B65,予選学校名!$B$3:$B$32,0))=TRUE,B65,INDEX(予選学校名!$B$3:$F$32,MATCH(B65,予選学校名!$B$3:$B$32,0),2))</f>
        <v>星稜</v>
      </c>
      <c r="C66" s="862"/>
      <c r="D66" s="862"/>
      <c r="E66" s="863"/>
      <c r="F66" s="528"/>
      <c r="G66" s="528"/>
      <c r="H66" s="861" t="str">
        <f>IF(ISERROR(MATCH(H65,予選学校名!$B$3:$B$32,0))=TRUE,H65,INDEX(予選学校名!$B$3:$F$32,MATCH(H65,予選学校名!$B$3:$B$32,0),2))</f>
        <v>港</v>
      </c>
      <c r="I66" s="862"/>
      <c r="J66" s="862"/>
      <c r="K66" s="863"/>
      <c r="L66" s="528"/>
      <c r="M66" s="528"/>
      <c r="N66" s="861" t="str">
        <f>IF(ISERROR(MATCH(N65,予選学校名!$B$3:$B$32,0))=TRUE,N65,INDEX(予選学校名!$B$3:$F$32,MATCH(N65,予選学校名!$B$3:$B$32,0),2))</f>
        <v>津幡</v>
      </c>
      <c r="O66" s="862"/>
      <c r="P66" s="862"/>
      <c r="Q66" s="863"/>
      <c r="R66" s="528"/>
      <c r="S66" s="528"/>
      <c r="T66" s="861" t="str">
        <f>IF(ISERROR(MATCH(T65,予選学校名!$B$3:$B$32,0))=TRUE,T65,INDEX(予選学校名!$B$3:$F$32,MATCH(T65,予選学校名!$B$3:$B$32,0),2))</f>
        <v>長田</v>
      </c>
      <c r="U66" s="862"/>
      <c r="V66" s="862"/>
      <c r="W66" s="863"/>
      <c r="X66" s="528"/>
      <c r="Y66" s="528"/>
      <c r="Z66" s="861" t="str">
        <f>IF(ISERROR(MATCH(Z65,予選学校名!$B$3:$B$32,0))=TRUE,Z65,INDEX(予選学校名!$B$3:$F$32,MATCH(Z65,予選学校名!$B$3:$B$32,0),2))</f>
        <v>野田</v>
      </c>
      <c r="AA66" s="862"/>
      <c r="AB66" s="862"/>
      <c r="AC66" s="863"/>
      <c r="AD66" s="528"/>
      <c r="AE66" s="528"/>
      <c r="AF66" s="861" t="str">
        <f>IF(ISERROR(MATCH(AF65,予選学校名!$B$3:$B$32,0))=TRUE,AF65,INDEX(予選学校名!$B$3:$F$32,MATCH(AF65,予選学校名!$B$3:$B$32,0),2))</f>
        <v>兼六</v>
      </c>
      <c r="AG66" s="862"/>
      <c r="AH66" s="862"/>
      <c r="AI66" s="863"/>
      <c r="AJ66" s="528"/>
      <c r="AK66" s="528"/>
      <c r="AL66" s="861" t="str">
        <f>IF(ISERROR(MATCH(AL65,予選学校名!$B$3:$B$32,0))=TRUE,AL65,INDEX(予選学校名!$B$3:$F$32,MATCH(AL65,予選学校名!$B$3:$B$32,0),2))</f>
        <v>高岡</v>
      </c>
      <c r="AM66" s="862"/>
      <c r="AN66" s="862"/>
      <c r="AO66" s="863"/>
      <c r="AP66" s="528"/>
      <c r="AQ66" s="528"/>
      <c r="AR66" s="861" t="str">
        <f>IF(ISERROR(MATCH(AR65,予選学校名!$B$3:$B$32,0))=TRUE,AR65,INDEX(予選学校名!$B$3:$F$32,MATCH(AR65,予選学校名!$B$3:$B$32,0),2))</f>
        <v>森本</v>
      </c>
      <c r="AS66" s="862"/>
      <c r="AT66" s="862"/>
      <c r="AU66" s="863"/>
      <c r="AV66" s="528"/>
      <c r="AW66" s="528"/>
      <c r="AX66" s="861" t="str">
        <f>IF(ISERROR(MATCH(AX65,予選学校名!$B$3:$B$32,0))=TRUE,AX65,INDEX(予選学校名!$B$3:$F$32,MATCH(AX65,予選学校名!$B$3:$B$32,0),2))</f>
        <v>泉･高尾台</v>
      </c>
      <c r="AY66" s="862"/>
      <c r="AZ66" s="862"/>
      <c r="BA66" s="863"/>
      <c r="BB66" s="528"/>
      <c r="BC66" s="528"/>
      <c r="BD66" s="861" t="str">
        <f>IF(ISERROR(MATCH(BD65,予選学校名!$B$3:$B$32,0))=TRUE,BD65,INDEX(予選学校名!$B$3:$F$32,MATCH(BD65,予選学校名!$B$3:$B$32,0),2))</f>
        <v>城南</v>
      </c>
      <c r="BE66" s="862"/>
      <c r="BF66" s="862"/>
      <c r="BG66" s="863"/>
      <c r="BH66" s="528"/>
      <c r="BI66" s="528"/>
      <c r="BJ66" s="861" t="str">
        <f>IF(ISERROR(MATCH(BJ65,予選学校名!$B$3:$B$32,0))=TRUE,BJ65,INDEX(予選学校名!$B$3:$F$32,MATCH(BJ65,予選学校名!$B$3:$B$32,0),2))</f>
        <v>浅野川</v>
      </c>
      <c r="BK66" s="862"/>
      <c r="BL66" s="862"/>
      <c r="BM66" s="863"/>
      <c r="BN66" s="528"/>
      <c r="BO66" s="528"/>
      <c r="BP66" s="861" t="str">
        <f>IF(ISERROR(MATCH(BP65,予選学校名!$B$3:$B$32,0))=TRUE,BP65,INDEX(予選学校名!$B$3:$F$32,MATCH(BP65,予選学校名!$B$3:$B$32,0),2))</f>
        <v>学院附属</v>
      </c>
      <c r="BQ66" s="862"/>
      <c r="BR66" s="862"/>
      <c r="BS66" s="863"/>
      <c r="BT66" s="528"/>
      <c r="BU66" s="528"/>
      <c r="BV66" s="861" t="str">
        <f>IF(ISERROR(MATCH(BV65,予選学校名!$B$3:$B$32,0))=TRUE,BV65,INDEX(予選学校名!$B$3:$F$32,MATCH(BV65,予選学校名!$B$3:$B$32,0),2))</f>
        <v>大徳</v>
      </c>
      <c r="BW66" s="862"/>
      <c r="BX66" s="862"/>
      <c r="BY66" s="863"/>
      <c r="BZ66" s="528"/>
      <c r="CA66" s="528"/>
      <c r="CB66" s="861" t="str">
        <f>IF(ISERROR(MATCH(CB65,予選学校名!$B$3:$B$32,0))=TRUE,CB65,INDEX(予選学校名!$B$3:$F$32,MATCH(CB65,予選学校名!$B$3:$B$32,0),2))</f>
        <v>錦丘･緑</v>
      </c>
      <c r="CC66" s="862"/>
      <c r="CD66" s="862"/>
      <c r="CE66" s="863"/>
      <c r="CF66" s="528"/>
      <c r="CG66" s="528"/>
      <c r="CH66" s="861" t="str">
        <f>IF(ISERROR(MATCH(CH65,予選学校名!$B$3:$B$32,0))=TRUE,CH65,INDEX(予選学校名!$B$3:$F$32,MATCH(CH65,予選学校名!$B$3:$B$32,0),2))</f>
        <v>金大附属</v>
      </c>
      <c r="CI66" s="862"/>
      <c r="CJ66" s="862"/>
      <c r="CK66" s="863"/>
      <c r="CL66" s="528"/>
      <c r="CM66" s="528"/>
      <c r="CN66" s="861" t="str">
        <f>IF(ISERROR(MATCH(CN65,予選学校名!$B$3:$B$32,0))=TRUE,CN65,INDEX(予選学校名!$B$3:$F$32,MATCH(CN65,予選学校名!$B$3:$B$32,0),2))</f>
        <v>内灘</v>
      </c>
      <c r="CO66" s="862"/>
      <c r="CP66" s="862"/>
      <c r="CQ66" s="863"/>
      <c r="CR66" s="528"/>
      <c r="CS66" s="528"/>
      <c r="CT66" s="861" t="str">
        <f>IF(ISERROR(MATCH(CT65,予選学校名!$B$3:$B$32,0))=TRUE,CT65,INDEX(予選学校名!$B$3:$F$32,MATCH(CT65,予選学校名!$B$3:$B$32,0),2))</f>
        <v>清泉</v>
      </c>
      <c r="CU66" s="862"/>
      <c r="CV66" s="862"/>
      <c r="CW66" s="863"/>
      <c r="CX66" s="528"/>
      <c r="CY66" s="528"/>
      <c r="CZ66" s="861" t="str">
        <f>IF(ISERROR(MATCH(CZ65,予選学校名!$B$3:$B$32,0))=TRUE,CZ65,INDEX(予選学校名!$B$3:$F$32,MATCH(CZ65,予選学校名!$B$3:$B$32,0),2))</f>
        <v>西南部</v>
      </c>
      <c r="DA66" s="874"/>
      <c r="DB66" s="874"/>
      <c r="DC66" s="874"/>
      <c r="DD66" s="529"/>
      <c r="DE66" s="528"/>
      <c r="DF66" s="861" t="str">
        <f>IF(ISERROR(MATCH(DF65,予選学校名!$B$3:$B$32,0))=TRUE,DF65,INDEX(予選学校名!$B$3:$F$32,MATCH(DF65,予選学校名!$B$3:$B$32,0),2))</f>
        <v>金石</v>
      </c>
      <c r="DG66" s="862"/>
      <c r="DH66" s="862"/>
      <c r="DI66" s="863"/>
      <c r="DJ66" s="528"/>
      <c r="DK66" s="528"/>
      <c r="DL66" s="861" t="str">
        <f>IF(ISERROR(MATCH(DL65,予選学校名!$B$3:$B$32,0))=TRUE,DL65,INDEX(予選学校名!$B$3:$F$32,MATCH(DL65,予選学校名!$B$3:$B$32,0),2))</f>
        <v>紫錦台</v>
      </c>
      <c r="DM66" s="862"/>
      <c r="DN66" s="862"/>
      <c r="DO66" s="863"/>
      <c r="DR66" s="861" t="str">
        <f>IF(ISERROR(MATCH(DR65,予選学校名!$B$3:$B$32,0))=TRUE,DR65,INDEX(予選学校名!$B$3:$F$32,MATCH(DR65,予選学校名!$B$3:$B$32,0),2))</f>
        <v>北鳴</v>
      </c>
      <c r="DS66" s="862"/>
      <c r="DT66" s="862"/>
      <c r="DU66" s="863"/>
      <c r="DV66" s="528"/>
      <c r="DW66" s="528"/>
      <c r="DX66" s="861" t="str">
        <f>IF(ISERROR(MATCH(DX65,予選学校名!$B$3:$B$32,0))=TRUE,DX65,INDEX(予選学校名!$B$3:$F$32,MATCH(DX65,予選学校名!$B$3:$B$32,0),2))</f>
        <v>津幡南</v>
      </c>
      <c r="DY66" s="862"/>
      <c r="DZ66" s="862"/>
      <c r="EA66" s="863"/>
    </row>
    <row r="67" spans="2:142" ht="13.5" customHeight="1" x14ac:dyDescent="0.15"/>
    <row r="68" spans="2:142" ht="13.5" customHeight="1" x14ac:dyDescent="0.15">
      <c r="EB68" s="475"/>
      <c r="EL68" s="270"/>
    </row>
    <row r="69" spans="2:142" s="447" customFormat="1" ht="13.5" customHeight="1" x14ac:dyDescent="0.15">
      <c r="N69" s="475"/>
      <c r="W69" s="897" t="s">
        <v>691</v>
      </c>
      <c r="X69" s="898"/>
      <c r="Y69" s="898"/>
      <c r="Z69" s="898"/>
      <c r="AA69" s="898"/>
      <c r="AB69" s="898"/>
      <c r="AC69" s="898"/>
      <c r="AD69" s="898"/>
      <c r="AE69" s="898"/>
      <c r="AF69" s="898"/>
      <c r="AG69" s="898"/>
      <c r="AH69" s="898"/>
      <c r="AI69" s="898"/>
      <c r="AJ69" s="898"/>
      <c r="AK69" s="898"/>
      <c r="AL69" s="899"/>
      <c r="AT69" s="883"/>
      <c r="AU69" s="883"/>
      <c r="AV69" s="883"/>
      <c r="AW69" s="883"/>
      <c r="AY69" s="540"/>
      <c r="AZ69" s="540"/>
      <c r="BA69" s="540"/>
      <c r="BB69" s="540"/>
      <c r="BC69" s="540"/>
      <c r="BD69" s="540"/>
      <c r="BE69" s="540"/>
      <c r="BF69" s="540"/>
      <c r="BG69" s="540"/>
      <c r="BH69" s="831" t="str">
        <f>IF(A11="","",A11)</f>
        <v/>
      </c>
      <c r="BI69" s="831"/>
      <c r="BJ69" s="831"/>
      <c r="BK69" s="831"/>
      <c r="BL69" s="831"/>
      <c r="BM69" s="831"/>
      <c r="BN69" s="831"/>
      <c r="BO69" s="831"/>
      <c r="BP69" s="831"/>
      <c r="BQ69" s="831"/>
      <c r="BR69" s="831"/>
      <c r="BS69" s="831"/>
      <c r="BT69" s="831"/>
      <c r="BU69" s="831"/>
      <c r="BV69" s="540"/>
      <c r="BW69" s="540"/>
      <c r="BX69" s="540"/>
      <c r="BY69" s="540"/>
      <c r="BZ69" s="540"/>
      <c r="CA69" s="540"/>
      <c r="CB69" s="540"/>
      <c r="CC69" s="540"/>
      <c r="CD69" s="540"/>
      <c r="CE69" s="540"/>
      <c r="CS69" s="290"/>
      <c r="CT69" s="290"/>
      <c r="CU69" s="290"/>
      <c r="CV69" s="290"/>
      <c r="CW69" s="290"/>
      <c r="CX69" s="290"/>
      <c r="CY69" s="290"/>
      <c r="CZ69" s="290"/>
      <c r="DA69" s="290"/>
      <c r="DB69" s="290"/>
      <c r="DC69" s="290"/>
      <c r="DD69" s="290"/>
      <c r="DE69" s="290"/>
      <c r="DQ69" s="475"/>
      <c r="DR69" s="290"/>
      <c r="DS69" s="290"/>
      <c r="DT69" s="290"/>
      <c r="DU69" s="290"/>
      <c r="DV69" s="290"/>
      <c r="DW69" s="290"/>
      <c r="DX69" s="290"/>
      <c r="EL69" s="446"/>
    </row>
    <row r="70" spans="2:142" s="447" customFormat="1" ht="13.5" customHeight="1" x14ac:dyDescent="0.15">
      <c r="N70" s="475"/>
      <c r="AT70" s="883"/>
      <c r="AU70" s="883"/>
      <c r="AV70" s="883"/>
      <c r="AW70" s="883"/>
      <c r="AX70" s="540"/>
      <c r="AY70" s="540"/>
      <c r="AZ70" s="540"/>
      <c r="BA70" s="540"/>
      <c r="BB70" s="540"/>
      <c r="BC70" s="540"/>
      <c r="BD70" s="540"/>
      <c r="BE70" s="540"/>
      <c r="BF70" s="540"/>
      <c r="BG70" s="540"/>
      <c r="BH70" s="831"/>
      <c r="BI70" s="831"/>
      <c r="BJ70" s="831"/>
      <c r="BK70" s="831"/>
      <c r="BL70" s="831"/>
      <c r="BM70" s="831"/>
      <c r="BN70" s="831"/>
      <c r="BO70" s="831"/>
      <c r="BP70" s="831"/>
      <c r="BQ70" s="831"/>
      <c r="BR70" s="831"/>
      <c r="BS70" s="831"/>
      <c r="BT70" s="831"/>
      <c r="BU70" s="831"/>
      <c r="BV70" s="540"/>
      <c r="BW70" s="540"/>
      <c r="BX70" s="540"/>
      <c r="BY70" s="540"/>
      <c r="BZ70" s="540"/>
      <c r="CA70" s="540"/>
      <c r="CB70" s="540"/>
      <c r="CC70" s="540"/>
      <c r="CD70" s="540"/>
      <c r="CE70" s="540"/>
      <c r="DQ70" s="475"/>
      <c r="EL70" s="446"/>
    </row>
    <row r="71" spans="2:142" s="447" customFormat="1" ht="13.5" hidden="1" customHeight="1" x14ac:dyDescent="0.15">
      <c r="N71" s="475"/>
      <c r="BN71" s="867"/>
      <c r="CY71" s="290"/>
      <c r="CZ71" s="290"/>
      <c r="DA71" s="290"/>
      <c r="DB71" s="290"/>
      <c r="DC71" s="290"/>
      <c r="DD71" s="290"/>
      <c r="DE71" s="290"/>
      <c r="DF71" s="290"/>
      <c r="DG71" s="290"/>
      <c r="DH71" s="290"/>
      <c r="DI71" s="290"/>
      <c r="DJ71" s="290"/>
      <c r="DQ71" s="475"/>
      <c r="DR71" s="290"/>
      <c r="DS71" s="290"/>
      <c r="DT71" s="290"/>
      <c r="DU71" s="290"/>
      <c r="DV71" s="290"/>
      <c r="DW71" s="290"/>
      <c r="DX71" s="290"/>
      <c r="DY71" s="290"/>
      <c r="DZ71" s="290"/>
      <c r="EA71" s="290"/>
      <c r="EB71" s="290"/>
      <c r="EC71" s="290"/>
      <c r="EL71" s="446"/>
    </row>
    <row r="72" spans="2:142" s="447" customFormat="1" ht="3.75" customHeight="1" x14ac:dyDescent="0.15">
      <c r="N72" s="475"/>
      <c r="BN72" s="867"/>
      <c r="EL72" s="446"/>
    </row>
    <row r="73" spans="2:142" s="447" customFormat="1" ht="13.5" customHeight="1" x14ac:dyDescent="0.15">
      <c r="N73" s="475"/>
      <c r="BJ73" s="873" t="str">
        <f>IF(BJ76="","",SUM(BJ76:BJ79))</f>
        <v/>
      </c>
      <c r="BK73" s="873"/>
      <c r="BL73" s="873"/>
      <c r="BM73" s="873"/>
      <c r="BN73" s="867"/>
      <c r="BP73" s="848" t="str">
        <f>IF(BP76="","",SUM(BP76:BP79))</f>
        <v/>
      </c>
      <c r="BQ73" s="848"/>
      <c r="BR73" s="848"/>
      <c r="BS73" s="848"/>
      <c r="CR73" s="487"/>
      <c r="CS73" s="487"/>
      <c r="CT73" s="487"/>
      <c r="CU73" s="487"/>
      <c r="CV73" s="487"/>
      <c r="CW73" s="487"/>
      <c r="CX73" s="487"/>
      <c r="CY73" s="290"/>
      <c r="CZ73" s="290"/>
      <c r="DA73" s="290"/>
      <c r="DB73" s="290"/>
      <c r="DC73" s="507"/>
      <c r="DD73" s="487"/>
      <c r="DE73" s="290"/>
      <c r="DF73" s="290"/>
      <c r="DG73" s="290"/>
      <c r="DH73" s="290"/>
      <c r="DI73" s="487"/>
      <c r="DJ73" s="487"/>
      <c r="DK73" s="487"/>
      <c r="DL73" s="487"/>
      <c r="DM73" s="487"/>
      <c r="DN73" s="487"/>
      <c r="DO73" s="487"/>
      <c r="DR73" s="290"/>
      <c r="DS73" s="290"/>
      <c r="DT73" s="290"/>
      <c r="DU73" s="290"/>
      <c r="DV73" s="507"/>
      <c r="DW73" s="487"/>
      <c r="DX73" s="290"/>
      <c r="DY73" s="290"/>
      <c r="DZ73" s="290"/>
      <c r="EA73" s="290"/>
      <c r="EB73" s="487"/>
      <c r="EC73" s="487"/>
      <c r="ED73" s="487"/>
      <c r="EE73" s="487"/>
      <c r="EF73" s="487"/>
      <c r="EG73" s="487"/>
      <c r="EH73" s="487"/>
      <c r="EI73" s="487"/>
      <c r="EL73" s="446"/>
    </row>
    <row r="74" spans="2:142" s="487" customFormat="1" ht="13.5" hidden="1" customHeight="1" x14ac:dyDescent="0.15">
      <c r="N74" s="488"/>
      <c r="BJ74" s="871">
        <f>SUM(BJ76:BJ83)</f>
        <v>0</v>
      </c>
      <c r="BK74" s="871"/>
      <c r="BL74" s="871"/>
      <c r="BM74" s="871"/>
      <c r="BN74" s="867"/>
      <c r="BP74" s="858">
        <f>SUM(BP76:BP83)</f>
        <v>0</v>
      </c>
      <c r="BQ74" s="858"/>
      <c r="BR74" s="858"/>
      <c r="BS74" s="858"/>
      <c r="CR74" s="447"/>
      <c r="CS74" s="447"/>
      <c r="CT74" s="447"/>
      <c r="CU74" s="447"/>
      <c r="CV74" s="447"/>
      <c r="CW74" s="447"/>
      <c r="CX74" s="447"/>
      <c r="CY74" s="507"/>
      <c r="CZ74" s="507"/>
      <c r="DA74" s="507"/>
      <c r="DB74" s="507"/>
      <c r="DC74" s="507"/>
      <c r="DD74" s="447"/>
      <c r="DE74" s="507"/>
      <c r="DF74" s="507"/>
      <c r="DG74" s="507"/>
      <c r="DH74" s="507"/>
      <c r="DI74" s="447"/>
      <c r="DJ74" s="447"/>
      <c r="DK74" s="447"/>
      <c r="DL74" s="447"/>
      <c r="DM74" s="447"/>
      <c r="DN74" s="447"/>
      <c r="DO74" s="447"/>
      <c r="DQ74" s="447"/>
      <c r="DR74" s="507"/>
      <c r="DS74" s="507"/>
      <c r="DT74" s="507"/>
      <c r="DU74" s="507"/>
      <c r="DV74" s="507"/>
      <c r="DW74" s="447"/>
      <c r="DX74" s="507"/>
      <c r="DY74" s="507"/>
      <c r="DZ74" s="507"/>
      <c r="EA74" s="507"/>
      <c r="EB74" s="447"/>
      <c r="EC74" s="447"/>
      <c r="ED74" s="447"/>
      <c r="EE74" s="447"/>
      <c r="EF74" s="447"/>
      <c r="EG74" s="447"/>
      <c r="EH74" s="447"/>
      <c r="EI74" s="447"/>
      <c r="EL74" s="489"/>
    </row>
    <row r="75" spans="2:142" s="447" customFormat="1" ht="3.75" customHeight="1" thickBot="1" x14ac:dyDescent="0.2">
      <c r="K75" s="482"/>
      <c r="N75" s="475"/>
      <c r="AK75" s="290"/>
      <c r="AL75" s="290"/>
      <c r="AM75" s="849"/>
      <c r="AN75" s="849"/>
      <c r="AO75" s="849"/>
      <c r="AP75" s="849"/>
      <c r="AQ75" s="849"/>
      <c r="AR75" s="849"/>
      <c r="AS75" s="849"/>
      <c r="AT75" s="849"/>
      <c r="AU75" s="849"/>
      <c r="AV75" s="849"/>
      <c r="AW75" s="849"/>
      <c r="AX75" s="849"/>
      <c r="AY75" s="849"/>
      <c r="AZ75" s="849"/>
      <c r="BA75" s="849"/>
      <c r="BB75" s="849"/>
      <c r="BC75" s="849"/>
      <c r="BD75" s="849"/>
      <c r="BE75" s="849"/>
      <c r="BF75" s="849"/>
      <c r="BG75" s="849"/>
      <c r="BH75" s="849"/>
      <c r="BI75" s="849"/>
      <c r="BJ75" s="849"/>
      <c r="BK75" s="849"/>
      <c r="BL75" s="849"/>
      <c r="BM75" s="849"/>
      <c r="BN75" s="872"/>
      <c r="BO75" s="850"/>
      <c r="BP75" s="851"/>
      <c r="BQ75" s="851"/>
      <c r="BR75" s="851"/>
      <c r="BS75" s="851"/>
      <c r="BT75" s="851"/>
      <c r="BU75" s="851"/>
      <c r="BV75" s="851"/>
      <c r="BW75" s="851"/>
      <c r="BX75" s="851"/>
      <c r="BY75" s="851"/>
      <c r="BZ75" s="851"/>
      <c r="CA75" s="851"/>
      <c r="CB75" s="851"/>
      <c r="CC75" s="851"/>
      <c r="CD75" s="851"/>
      <c r="CE75" s="851"/>
      <c r="CF75" s="851"/>
      <c r="CG75" s="851"/>
      <c r="CH75" s="851"/>
      <c r="CI75" s="851"/>
      <c r="CJ75" s="851"/>
      <c r="CK75" s="851"/>
      <c r="CL75" s="851"/>
      <c r="CM75" s="851"/>
      <c r="CN75" s="851"/>
      <c r="CO75" s="851"/>
      <c r="CP75" s="851"/>
      <c r="CQ75" s="290"/>
      <c r="CY75" s="290"/>
      <c r="CZ75" s="290"/>
      <c r="DA75" s="290"/>
      <c r="DB75" s="290"/>
      <c r="DC75" s="507"/>
      <c r="DD75" s="290"/>
      <c r="DE75" s="290"/>
      <c r="DF75" s="290"/>
      <c r="DG75" s="290"/>
      <c r="DH75" s="290"/>
      <c r="DI75" s="290"/>
      <c r="DJ75" s="290"/>
      <c r="DR75" s="290"/>
      <c r="DS75" s="290"/>
      <c r="DT75" s="290"/>
      <c r="DU75" s="290"/>
      <c r="DV75" s="507"/>
      <c r="DW75" s="290"/>
      <c r="DX75" s="290"/>
      <c r="DY75" s="290"/>
      <c r="DZ75" s="290"/>
      <c r="EA75" s="290"/>
      <c r="EB75" s="290"/>
      <c r="EC75" s="290"/>
      <c r="EL75" s="446"/>
    </row>
    <row r="76" spans="2:142" s="447" customFormat="1" ht="13.5" customHeight="1" thickTop="1" x14ac:dyDescent="0.15">
      <c r="K76" s="482"/>
      <c r="N76" s="475"/>
      <c r="AH76" s="805"/>
      <c r="AI76" s="805"/>
      <c r="AJ76" s="805"/>
      <c r="AK76" s="805"/>
      <c r="AL76" s="878"/>
      <c r="AM76" s="879"/>
      <c r="AN76" s="805"/>
      <c r="AO76" s="805"/>
      <c r="AP76" s="805"/>
      <c r="AQ76" s="805"/>
      <c r="AR76" s="805"/>
      <c r="AS76" s="805"/>
      <c r="AT76" s="805"/>
      <c r="AU76" s="805"/>
      <c r="AV76" s="805"/>
      <c r="AW76" s="805"/>
      <c r="AX76" s="805"/>
      <c r="AY76" s="805"/>
      <c r="AZ76" s="805"/>
      <c r="BA76" s="805"/>
      <c r="BB76" s="805"/>
      <c r="BC76" s="805"/>
      <c r="BD76" s="805"/>
      <c r="BE76" s="805"/>
      <c r="BF76" s="805"/>
      <c r="BG76" s="805"/>
      <c r="BH76" s="805"/>
      <c r="BI76" s="805"/>
      <c r="BJ76" s="805"/>
      <c r="BK76" s="805"/>
      <c r="BL76" s="805"/>
      <c r="BM76" s="805"/>
      <c r="BN76" s="805"/>
      <c r="BO76" s="805"/>
      <c r="BP76" s="805"/>
      <c r="BQ76" s="805"/>
      <c r="BR76" s="805"/>
      <c r="BS76" s="805"/>
      <c r="BT76" s="805"/>
      <c r="BU76" s="805"/>
      <c r="BV76" s="805"/>
      <c r="BW76" s="805"/>
      <c r="BX76" s="805"/>
      <c r="BY76" s="805"/>
      <c r="BZ76" s="805"/>
      <c r="CA76" s="805"/>
      <c r="CB76" s="805"/>
      <c r="CC76" s="805"/>
      <c r="CD76" s="805"/>
      <c r="CE76" s="805"/>
      <c r="CF76" s="805"/>
      <c r="CG76" s="805"/>
      <c r="CH76" s="805"/>
      <c r="CI76" s="805"/>
      <c r="CJ76" s="805"/>
      <c r="CK76" s="805"/>
      <c r="CL76" s="805"/>
      <c r="CM76" s="805"/>
      <c r="CN76" s="805"/>
      <c r="CO76" s="805"/>
      <c r="CP76" s="878"/>
      <c r="CQ76" s="879"/>
      <c r="CR76" s="805"/>
      <c r="CS76" s="805"/>
      <c r="CT76" s="805"/>
      <c r="CU76" s="805"/>
      <c r="CY76" s="533"/>
      <c r="CZ76" s="533"/>
      <c r="DA76" s="533"/>
      <c r="DB76" s="533"/>
      <c r="DC76" s="496"/>
      <c r="DD76" s="496"/>
      <c r="DE76" s="533"/>
      <c r="DF76" s="533"/>
      <c r="DG76" s="533"/>
      <c r="DH76" s="533"/>
      <c r="DR76" s="533"/>
      <c r="DS76" s="533"/>
      <c r="DT76" s="533"/>
      <c r="DU76" s="533"/>
      <c r="DV76" s="496"/>
      <c r="DW76" s="496"/>
      <c r="DX76" s="533"/>
      <c r="DY76" s="533"/>
      <c r="DZ76" s="533"/>
      <c r="EA76" s="533"/>
    </row>
    <row r="77" spans="2:142" s="447" customFormat="1" ht="13.5" customHeight="1" x14ac:dyDescent="0.15">
      <c r="K77" s="482"/>
      <c r="N77" s="475"/>
      <c r="AH77" s="805"/>
      <c r="AI77" s="805"/>
      <c r="AJ77" s="805"/>
      <c r="AK77" s="805"/>
      <c r="AL77" s="878"/>
      <c r="AM77" s="879" t="s">
        <v>693</v>
      </c>
      <c r="AN77" s="805"/>
      <c r="AO77" s="805"/>
      <c r="AP77" s="805"/>
      <c r="AQ77" s="805"/>
      <c r="AR77" s="805"/>
      <c r="AS77" s="805"/>
      <c r="AT77" s="805"/>
      <c r="AU77" s="805"/>
      <c r="AV77" s="805"/>
      <c r="AW77" s="805"/>
      <c r="AX77" s="805"/>
      <c r="AY77" s="805"/>
      <c r="AZ77" s="805"/>
      <c r="BA77" s="805"/>
      <c r="BB77" s="805"/>
      <c r="BC77" s="805"/>
      <c r="BD77" s="805"/>
      <c r="BE77" s="805"/>
      <c r="BF77" s="805"/>
      <c r="BG77" s="805"/>
      <c r="BH77" s="805"/>
      <c r="BI77" s="805"/>
      <c r="BJ77" s="805"/>
      <c r="BK77" s="805"/>
      <c r="BL77" s="805"/>
      <c r="BM77" s="805"/>
      <c r="BN77" s="805"/>
      <c r="BO77" s="805"/>
      <c r="BP77" s="805"/>
      <c r="BQ77" s="805"/>
      <c r="BR77" s="805"/>
      <c r="BS77" s="805"/>
      <c r="BT77" s="805"/>
      <c r="BU77" s="805"/>
      <c r="BV77" s="805"/>
      <c r="BW77" s="805"/>
      <c r="BX77" s="805"/>
      <c r="BY77" s="805"/>
      <c r="BZ77" s="805"/>
      <c r="CA77" s="805"/>
      <c r="CB77" s="805"/>
      <c r="CC77" s="805"/>
      <c r="CD77" s="805"/>
      <c r="CE77" s="805"/>
      <c r="CF77" s="805"/>
      <c r="CG77" s="805"/>
      <c r="CH77" s="805"/>
      <c r="CI77" s="805"/>
      <c r="CJ77" s="805"/>
      <c r="CK77" s="805"/>
      <c r="CL77" s="805"/>
      <c r="CM77" s="805"/>
      <c r="CN77" s="805"/>
      <c r="CO77" s="805"/>
      <c r="CP77" s="878"/>
      <c r="CQ77" s="879"/>
      <c r="CR77" s="805"/>
      <c r="CS77" s="805"/>
      <c r="CT77" s="805"/>
      <c r="CU77" s="805"/>
      <c r="CY77" s="533"/>
      <c r="CZ77" s="533"/>
      <c r="DA77" s="533"/>
      <c r="DB77" s="533"/>
      <c r="DC77" s="496"/>
      <c r="DD77" s="496"/>
      <c r="DE77" s="533"/>
      <c r="DF77" s="533"/>
      <c r="DG77" s="533"/>
      <c r="DH77" s="533"/>
      <c r="DR77" s="533"/>
      <c r="DS77" s="533"/>
      <c r="DT77" s="533"/>
      <c r="DU77" s="533"/>
      <c r="DV77" s="496"/>
      <c r="DW77" s="496"/>
      <c r="DX77" s="533"/>
      <c r="DY77" s="533"/>
      <c r="DZ77" s="533"/>
      <c r="EA77" s="533"/>
    </row>
    <row r="78" spans="2:142" s="447" customFormat="1" ht="13.5" customHeight="1" x14ac:dyDescent="0.15">
      <c r="K78" s="482"/>
      <c r="N78" s="475"/>
      <c r="AH78" s="805"/>
      <c r="AI78" s="805"/>
      <c r="AJ78" s="805"/>
      <c r="AK78" s="805"/>
      <c r="AL78" s="878"/>
      <c r="AM78" s="879"/>
      <c r="AN78" s="805"/>
      <c r="AO78" s="805"/>
      <c r="AP78" s="805"/>
      <c r="AQ78" s="805"/>
      <c r="AR78" s="805"/>
      <c r="AS78" s="805"/>
      <c r="AT78" s="805"/>
      <c r="AU78" s="805"/>
      <c r="AV78" s="805"/>
      <c r="AW78" s="805"/>
      <c r="AX78" s="805"/>
      <c r="AY78" s="805"/>
      <c r="AZ78" s="805"/>
      <c r="BA78" s="805"/>
      <c r="BB78" s="805"/>
      <c r="BC78" s="805"/>
      <c r="BD78" s="805"/>
      <c r="BE78" s="805"/>
      <c r="BF78" s="805"/>
      <c r="BG78" s="805"/>
      <c r="BH78" s="805"/>
      <c r="BI78" s="805"/>
      <c r="BJ78" s="805"/>
      <c r="BK78" s="805"/>
      <c r="BL78" s="805"/>
      <c r="BM78" s="805"/>
      <c r="BN78" s="805"/>
      <c r="BO78" s="805"/>
      <c r="BP78" s="805"/>
      <c r="BQ78" s="805"/>
      <c r="BR78" s="805"/>
      <c r="BS78" s="805"/>
      <c r="BT78" s="805"/>
      <c r="BU78" s="805"/>
      <c r="BV78" s="805"/>
      <c r="BW78" s="805"/>
      <c r="BX78" s="805"/>
      <c r="BY78" s="805"/>
      <c r="BZ78" s="805"/>
      <c r="CA78" s="805"/>
      <c r="CB78" s="805"/>
      <c r="CC78" s="805"/>
      <c r="CD78" s="805"/>
      <c r="CE78" s="805"/>
      <c r="CF78" s="805"/>
      <c r="CG78" s="805"/>
      <c r="CH78" s="805"/>
      <c r="CI78" s="805"/>
      <c r="CJ78" s="805"/>
      <c r="CK78" s="805"/>
      <c r="CL78" s="805"/>
      <c r="CM78" s="805"/>
      <c r="CN78" s="805"/>
      <c r="CO78" s="805"/>
      <c r="CP78" s="878"/>
      <c r="CQ78" s="879"/>
      <c r="CR78" s="805"/>
      <c r="CS78" s="805"/>
      <c r="CT78" s="805"/>
      <c r="CU78" s="805"/>
      <c r="CY78" s="533"/>
      <c r="CZ78" s="533"/>
      <c r="DA78" s="533"/>
      <c r="DB78" s="533"/>
      <c r="DC78" s="496"/>
      <c r="DD78" s="496"/>
      <c r="DE78" s="533"/>
      <c r="DF78" s="533"/>
      <c r="DG78" s="533"/>
      <c r="DH78" s="533"/>
      <c r="DR78" s="533"/>
      <c r="DS78" s="533"/>
      <c r="DT78" s="533"/>
      <c r="DU78" s="533"/>
      <c r="DV78" s="496"/>
      <c r="DW78" s="496"/>
      <c r="DX78" s="533"/>
      <c r="DY78" s="533"/>
      <c r="DZ78" s="533"/>
      <c r="EA78" s="533"/>
    </row>
    <row r="79" spans="2:142" s="447" customFormat="1" ht="13.5" customHeight="1" x14ac:dyDescent="0.15">
      <c r="B79" s="258" t="str">
        <f>B19</f>
        <v>17日(月)</v>
      </c>
      <c r="K79" s="482"/>
      <c r="N79" s="475"/>
      <c r="AH79" s="805"/>
      <c r="AI79" s="805"/>
      <c r="AJ79" s="805"/>
      <c r="AK79" s="805"/>
      <c r="AL79" s="878"/>
      <c r="AM79" s="901">
        <v>0.58333333333333337</v>
      </c>
      <c r="AN79" s="805"/>
      <c r="AO79" s="805"/>
      <c r="AP79" s="805"/>
      <c r="AQ79" s="805"/>
      <c r="AR79" s="805"/>
      <c r="AS79" s="805"/>
      <c r="AT79" s="805"/>
      <c r="AU79" s="805"/>
      <c r="AV79" s="805"/>
      <c r="AW79" s="805"/>
      <c r="AX79" s="805"/>
      <c r="AY79" s="805"/>
      <c r="AZ79" s="805"/>
      <c r="BA79" s="805"/>
      <c r="BB79" s="805"/>
      <c r="BC79" s="805"/>
      <c r="BD79" s="805"/>
      <c r="BE79" s="805"/>
      <c r="BF79" s="805"/>
      <c r="BG79" s="805"/>
      <c r="BH79" s="805"/>
      <c r="BI79" s="805"/>
      <c r="BJ79" s="805"/>
      <c r="BK79" s="805"/>
      <c r="BL79" s="805"/>
      <c r="BM79" s="805"/>
      <c r="BN79" s="805"/>
      <c r="BO79" s="805"/>
      <c r="BP79" s="805"/>
      <c r="BQ79" s="805"/>
      <c r="BR79" s="805"/>
      <c r="BS79" s="805"/>
      <c r="BT79" s="805"/>
      <c r="BU79" s="805"/>
      <c r="BV79" s="805"/>
      <c r="BW79" s="805"/>
      <c r="BX79" s="805"/>
      <c r="BY79" s="805"/>
      <c r="BZ79" s="805"/>
      <c r="CA79" s="805"/>
      <c r="CB79" s="805"/>
      <c r="CC79" s="805"/>
      <c r="CD79" s="805"/>
      <c r="CE79" s="805"/>
      <c r="CF79" s="805"/>
      <c r="CG79" s="805"/>
      <c r="CH79" s="805"/>
      <c r="CI79" s="805"/>
      <c r="CJ79" s="805"/>
      <c r="CK79" s="805"/>
      <c r="CL79" s="805"/>
      <c r="CM79" s="805"/>
      <c r="CN79" s="805"/>
      <c r="CO79" s="805"/>
      <c r="CP79" s="878"/>
      <c r="CQ79" s="879"/>
      <c r="CR79" s="805"/>
      <c r="CS79" s="805"/>
      <c r="CT79" s="805"/>
      <c r="CU79" s="805"/>
      <c r="CY79" s="533"/>
      <c r="CZ79" s="533"/>
      <c r="DA79" s="533"/>
      <c r="DB79" s="533"/>
      <c r="DC79" s="496"/>
      <c r="DD79" s="496"/>
      <c r="DE79" s="533"/>
      <c r="DF79" s="533"/>
      <c r="DG79" s="533"/>
      <c r="DH79" s="533"/>
      <c r="DR79" s="533"/>
      <c r="DS79" s="533"/>
      <c r="DT79" s="533"/>
      <c r="DU79" s="533"/>
      <c r="DV79" s="496"/>
      <c r="DW79" s="496"/>
      <c r="DX79" s="533"/>
      <c r="DY79" s="533"/>
      <c r="DZ79" s="533"/>
      <c r="EA79" s="533"/>
    </row>
    <row r="80" spans="2:142" s="447" customFormat="1" ht="13.5" customHeight="1" x14ac:dyDescent="0.15">
      <c r="K80" s="482"/>
      <c r="N80" s="475"/>
      <c r="AH80" s="805"/>
      <c r="AI80" s="805"/>
      <c r="AJ80" s="805"/>
      <c r="AK80" s="805"/>
      <c r="AL80" s="878"/>
      <c r="AM80" s="879"/>
      <c r="AN80" s="805"/>
      <c r="AO80" s="805"/>
      <c r="AP80" s="805"/>
      <c r="AQ80" s="805"/>
      <c r="AR80" s="805"/>
      <c r="AS80" s="805"/>
      <c r="AT80" s="805"/>
      <c r="AU80" s="805"/>
      <c r="AV80" s="805"/>
      <c r="AW80" s="805"/>
      <c r="AX80" s="805"/>
      <c r="AY80" s="805"/>
      <c r="AZ80" s="805"/>
      <c r="BA80" s="805"/>
      <c r="BB80" s="805"/>
      <c r="BC80" s="805"/>
      <c r="BD80" s="805"/>
      <c r="BE80" s="805"/>
      <c r="BF80" s="805"/>
      <c r="BG80" s="805"/>
      <c r="BH80" s="805"/>
      <c r="BI80" s="805"/>
      <c r="BJ80" s="805"/>
      <c r="BK80" s="805"/>
      <c r="BL80" s="805"/>
      <c r="BM80" s="805"/>
      <c r="BN80" s="805"/>
      <c r="BO80" s="805"/>
      <c r="BP80" s="805"/>
      <c r="BQ80" s="805"/>
      <c r="BR80" s="805"/>
      <c r="BS80" s="805"/>
      <c r="BT80" s="805"/>
      <c r="BU80" s="805"/>
      <c r="BV80" s="805"/>
      <c r="BW80" s="805"/>
      <c r="BX80" s="805"/>
      <c r="BY80" s="805"/>
      <c r="BZ80" s="805"/>
      <c r="CA80" s="805"/>
      <c r="CB80" s="805"/>
      <c r="CC80" s="805"/>
      <c r="CD80" s="805"/>
      <c r="CE80" s="805"/>
      <c r="CF80" s="805"/>
      <c r="CG80" s="805"/>
      <c r="CH80" s="805"/>
      <c r="CI80" s="805"/>
      <c r="CJ80" s="805"/>
      <c r="CK80" s="805"/>
      <c r="CL80" s="805"/>
      <c r="CM80" s="805"/>
      <c r="CN80" s="805"/>
      <c r="CO80" s="805"/>
      <c r="CP80" s="878"/>
      <c r="CQ80" s="879"/>
      <c r="CR80" s="805"/>
      <c r="CS80" s="805"/>
      <c r="CT80" s="805"/>
      <c r="CU80" s="805"/>
    </row>
    <row r="81" spans="11:131" s="447" customFormat="1" ht="13.5" customHeight="1" x14ac:dyDescent="0.15">
      <c r="K81" s="482"/>
      <c r="N81" s="475"/>
      <c r="AH81" s="805"/>
      <c r="AI81" s="805"/>
      <c r="AJ81" s="805"/>
      <c r="AK81" s="805"/>
      <c r="AL81" s="878"/>
      <c r="BJ81" s="920"/>
      <c r="BK81" s="920"/>
      <c r="BL81" s="920"/>
      <c r="BM81" s="920"/>
      <c r="BN81" s="847"/>
      <c r="BO81" s="847"/>
      <c r="BP81" s="920"/>
      <c r="BQ81" s="920"/>
      <c r="BR81" s="920"/>
      <c r="BS81" s="920"/>
      <c r="CP81" s="495"/>
      <c r="CQ81" s="879"/>
      <c r="CR81" s="805"/>
      <c r="CS81" s="805"/>
      <c r="CT81" s="805"/>
      <c r="CU81" s="805"/>
      <c r="CY81" s="533"/>
      <c r="CZ81" s="533"/>
      <c r="DA81" s="533"/>
      <c r="DB81" s="533"/>
      <c r="DC81" s="496"/>
      <c r="DD81" s="496"/>
      <c r="DE81" s="533"/>
      <c r="DF81" s="533"/>
      <c r="DG81" s="533"/>
      <c r="DH81" s="533"/>
      <c r="DR81" s="533"/>
      <c r="DS81" s="533"/>
      <c r="DT81" s="533"/>
      <c r="DU81" s="533"/>
      <c r="DV81" s="496"/>
      <c r="DW81" s="496"/>
      <c r="DX81" s="533"/>
      <c r="DY81" s="533"/>
      <c r="DZ81" s="533"/>
      <c r="EA81" s="533"/>
    </row>
    <row r="82" spans="11:131" s="447" customFormat="1" ht="13.5" hidden="1" customHeight="1" x14ac:dyDescent="0.15">
      <c r="K82" s="482"/>
      <c r="N82" s="475"/>
      <c r="AL82" s="878"/>
      <c r="BM82" s="805"/>
      <c r="BN82" s="805"/>
      <c r="BO82" s="805"/>
      <c r="BP82" s="805"/>
      <c r="CP82" s="495"/>
      <c r="CQ82" s="879"/>
      <c r="DQ82" s="487"/>
    </row>
    <row r="83" spans="11:131" s="447" customFormat="1" ht="13.5" hidden="1" customHeight="1" x14ac:dyDescent="0.15">
      <c r="K83" s="482"/>
      <c r="N83" s="475"/>
      <c r="AL83" s="878"/>
      <c r="BJ83" s="805"/>
      <c r="BK83" s="805"/>
      <c r="BL83" s="805"/>
      <c r="BM83" s="805"/>
      <c r="BN83" s="847"/>
      <c r="BO83" s="847"/>
      <c r="BP83" s="805"/>
      <c r="BQ83" s="805"/>
      <c r="BR83" s="805"/>
      <c r="BS83" s="805"/>
      <c r="CP83" s="495"/>
      <c r="CQ83" s="879"/>
    </row>
    <row r="84" spans="11:131" s="503" customFormat="1" ht="13.5" customHeight="1" x14ac:dyDescent="0.15">
      <c r="K84" s="502"/>
      <c r="N84" s="504"/>
      <c r="AJ84" s="447"/>
      <c r="AL84" s="878"/>
      <c r="AO84" s="447"/>
      <c r="BM84" s="875"/>
      <c r="BN84" s="875"/>
      <c r="BO84" s="875"/>
      <c r="BP84" s="875"/>
      <c r="CN84" s="447"/>
      <c r="CP84" s="523"/>
      <c r="CQ84" s="879"/>
      <c r="DQ84" s="447"/>
    </row>
    <row r="85" spans="11:131" s="447" customFormat="1" ht="13.5" customHeight="1" x14ac:dyDescent="0.15">
      <c r="K85" s="482"/>
      <c r="N85" s="475"/>
      <c r="AH85" s="805"/>
      <c r="AI85" s="805"/>
      <c r="AJ85" s="805"/>
      <c r="AK85" s="805"/>
      <c r="AL85" s="878"/>
      <c r="AN85" s="805"/>
      <c r="AO85" s="805"/>
      <c r="AP85" s="805"/>
      <c r="AQ85" s="805"/>
      <c r="CL85" s="805"/>
      <c r="CM85" s="805"/>
      <c r="CN85" s="805"/>
      <c r="CO85" s="805"/>
      <c r="CP85" s="495"/>
      <c r="CQ85" s="879"/>
      <c r="CR85" s="805"/>
      <c r="CS85" s="805"/>
      <c r="CT85" s="805"/>
      <c r="CU85" s="805"/>
    </row>
    <row r="86" spans="11:131" s="487" customFormat="1" ht="13.5" hidden="1" customHeight="1" x14ac:dyDescent="0.15">
      <c r="K86" s="506"/>
      <c r="N86" s="488"/>
      <c r="AH86" s="918"/>
      <c r="AI86" s="918"/>
      <c r="AJ86" s="918"/>
      <c r="AK86" s="918"/>
      <c r="AL86" s="878"/>
      <c r="AN86" s="918"/>
      <c r="AO86" s="918"/>
      <c r="AP86" s="918"/>
      <c r="AQ86" s="918"/>
      <c r="CL86" s="918"/>
      <c r="CM86" s="918"/>
      <c r="CN86" s="918"/>
      <c r="CO86" s="918"/>
      <c r="CP86" s="541"/>
      <c r="CQ86" s="879"/>
      <c r="CR86" s="918"/>
      <c r="CS86" s="918"/>
      <c r="CT86" s="918"/>
      <c r="CU86" s="918"/>
      <c r="DQ86" s="447"/>
    </row>
    <row r="87" spans="11:131" s="447" customFormat="1" ht="3.75" customHeight="1" thickBot="1" x14ac:dyDescent="0.2">
      <c r="K87" s="482"/>
      <c r="N87" s="475"/>
      <c r="Y87" s="849"/>
      <c r="Z87" s="849"/>
      <c r="AA87" s="849"/>
      <c r="AB87" s="849"/>
      <c r="AC87" s="849"/>
      <c r="AD87" s="849"/>
      <c r="AE87" s="849"/>
      <c r="AF87" s="849"/>
      <c r="AG87" s="849"/>
      <c r="AH87" s="849"/>
      <c r="AI87" s="849"/>
      <c r="AJ87" s="849"/>
      <c r="AK87" s="849"/>
      <c r="AL87" s="923"/>
      <c r="AM87" s="849"/>
      <c r="AN87" s="849"/>
      <c r="AO87" s="849"/>
      <c r="AP87" s="849"/>
      <c r="AQ87" s="849"/>
      <c r="AR87" s="849"/>
      <c r="AS87" s="849"/>
      <c r="AT87" s="849"/>
      <c r="AU87" s="849"/>
      <c r="AV87" s="849"/>
      <c r="AW87" s="849"/>
      <c r="AX87" s="849"/>
      <c r="AY87" s="849"/>
      <c r="AZ87" s="849"/>
      <c r="CC87" s="851"/>
      <c r="CD87" s="851"/>
      <c r="CE87" s="851"/>
      <c r="CF87" s="851"/>
      <c r="CG87" s="851"/>
      <c r="CH87" s="851"/>
      <c r="CI87" s="851"/>
      <c r="CJ87" s="851"/>
      <c r="CK87" s="851"/>
      <c r="CL87" s="851"/>
      <c r="CM87" s="851"/>
      <c r="CN87" s="851"/>
      <c r="CO87" s="851"/>
      <c r="CP87" s="868"/>
      <c r="CQ87" s="893"/>
      <c r="CR87" s="849"/>
      <c r="CS87" s="849"/>
      <c r="CT87" s="849"/>
      <c r="CU87" s="849"/>
      <c r="CV87" s="849"/>
      <c r="CW87" s="849"/>
      <c r="CX87" s="849"/>
      <c r="CY87" s="849"/>
      <c r="CZ87" s="849"/>
      <c r="DA87" s="849"/>
      <c r="DB87" s="849"/>
      <c r="DC87" s="849"/>
      <c r="DD87" s="849"/>
    </row>
    <row r="88" spans="11:131" s="447" customFormat="1" ht="13.5" customHeight="1" thickTop="1" x14ac:dyDescent="0.15">
      <c r="K88" s="482"/>
      <c r="N88" s="475"/>
      <c r="T88" s="805"/>
      <c r="U88" s="805"/>
      <c r="V88" s="805"/>
      <c r="W88" s="805"/>
      <c r="X88" s="867"/>
      <c r="Y88" s="902"/>
      <c r="Z88" s="903"/>
      <c r="AA88" s="903"/>
      <c r="AB88" s="903"/>
      <c r="AC88" s="903"/>
      <c r="AD88" s="903"/>
      <c r="AE88" s="903"/>
      <c r="AF88" s="903"/>
      <c r="AG88" s="903"/>
      <c r="AH88" s="903"/>
      <c r="AI88" s="903"/>
      <c r="AJ88" s="903"/>
      <c r="AK88" s="903"/>
      <c r="AL88" s="903"/>
      <c r="AM88" s="903"/>
      <c r="AN88" s="903"/>
      <c r="AO88" s="903"/>
      <c r="AP88" s="903"/>
      <c r="AQ88" s="903"/>
      <c r="AR88" s="903"/>
      <c r="AS88" s="903"/>
      <c r="AT88" s="903"/>
      <c r="AU88" s="903"/>
      <c r="AV88" s="903"/>
      <c r="AW88" s="903"/>
      <c r="AX88" s="903"/>
      <c r="AY88" s="903"/>
      <c r="AZ88" s="904"/>
      <c r="BA88" s="876"/>
      <c r="BB88" s="805"/>
      <c r="BC88" s="805"/>
      <c r="BD88" s="805"/>
      <c r="BE88" s="805"/>
      <c r="BX88" s="805"/>
      <c r="BY88" s="805"/>
      <c r="BZ88" s="805"/>
      <c r="CA88" s="805"/>
      <c r="CB88" s="867"/>
      <c r="CC88" s="902"/>
      <c r="CD88" s="903"/>
      <c r="CE88" s="903"/>
      <c r="CF88" s="903"/>
      <c r="CG88" s="903"/>
      <c r="CH88" s="903"/>
      <c r="CI88" s="903"/>
      <c r="CJ88" s="903"/>
      <c r="CK88" s="903"/>
      <c r="CL88" s="903"/>
      <c r="CM88" s="903"/>
      <c r="CN88" s="903"/>
      <c r="CO88" s="903"/>
      <c r="CP88" s="903"/>
      <c r="CQ88" s="903"/>
      <c r="CR88" s="903"/>
      <c r="CS88" s="903"/>
      <c r="CT88" s="903"/>
      <c r="CU88" s="903"/>
      <c r="CV88" s="903"/>
      <c r="CW88" s="903"/>
      <c r="CX88" s="903"/>
      <c r="CY88" s="903"/>
      <c r="CZ88" s="903"/>
      <c r="DA88" s="903"/>
      <c r="DB88" s="903"/>
      <c r="DC88" s="903"/>
      <c r="DD88" s="904"/>
      <c r="DE88" s="876"/>
      <c r="DF88" s="805"/>
      <c r="DG88" s="805"/>
      <c r="DH88" s="805"/>
      <c r="DI88" s="805"/>
    </row>
    <row r="89" spans="11:131" s="447" customFormat="1" ht="13.5" customHeight="1" x14ac:dyDescent="0.15">
      <c r="K89" s="482"/>
      <c r="N89" s="475"/>
      <c r="T89" s="805"/>
      <c r="U89" s="805"/>
      <c r="V89" s="805"/>
      <c r="W89" s="805"/>
      <c r="X89" s="867"/>
      <c r="Y89" s="876" t="s">
        <v>719</v>
      </c>
      <c r="Z89" s="805"/>
      <c r="AA89" s="805"/>
      <c r="AB89" s="805"/>
      <c r="AC89" s="805"/>
      <c r="AD89" s="805"/>
      <c r="AE89" s="805"/>
      <c r="AF89" s="805"/>
      <c r="AG89" s="805"/>
      <c r="AH89" s="805"/>
      <c r="AI89" s="805"/>
      <c r="AJ89" s="805"/>
      <c r="AK89" s="805"/>
      <c r="AL89" s="805"/>
      <c r="AM89" s="805"/>
      <c r="AN89" s="805"/>
      <c r="AO89" s="805"/>
      <c r="AP89" s="805"/>
      <c r="AQ89" s="805"/>
      <c r="AR89" s="805"/>
      <c r="AS89" s="805"/>
      <c r="AT89" s="805"/>
      <c r="AU89" s="805"/>
      <c r="AV89" s="805"/>
      <c r="AW89" s="805"/>
      <c r="AX89" s="805"/>
      <c r="AY89" s="805"/>
      <c r="AZ89" s="867"/>
      <c r="BA89" s="876"/>
      <c r="BB89" s="805"/>
      <c r="BC89" s="805"/>
      <c r="BD89" s="805"/>
      <c r="BE89" s="805"/>
      <c r="BX89" s="805"/>
      <c r="BY89" s="805"/>
      <c r="BZ89" s="805"/>
      <c r="CA89" s="805"/>
      <c r="CB89" s="867"/>
      <c r="CC89" s="876" t="s">
        <v>693</v>
      </c>
      <c r="CD89" s="805"/>
      <c r="CE89" s="805"/>
      <c r="CF89" s="805"/>
      <c r="CG89" s="805"/>
      <c r="CH89" s="805"/>
      <c r="CI89" s="805"/>
      <c r="CJ89" s="805"/>
      <c r="CK89" s="805"/>
      <c r="CL89" s="805"/>
      <c r="CM89" s="805"/>
      <c r="CN89" s="805"/>
      <c r="CO89" s="805"/>
      <c r="CP89" s="805"/>
      <c r="CQ89" s="805"/>
      <c r="CR89" s="805"/>
      <c r="CS89" s="805"/>
      <c r="CT89" s="805"/>
      <c r="CU89" s="805"/>
      <c r="CV89" s="805"/>
      <c r="CW89" s="805"/>
      <c r="CX89" s="805"/>
      <c r="CY89" s="805"/>
      <c r="CZ89" s="805"/>
      <c r="DA89" s="805"/>
      <c r="DB89" s="805"/>
      <c r="DC89" s="805"/>
      <c r="DD89" s="867"/>
      <c r="DE89" s="876"/>
      <c r="DF89" s="805"/>
      <c r="DG89" s="805"/>
      <c r="DH89" s="805"/>
      <c r="DI89" s="805"/>
    </row>
    <row r="90" spans="11:131" s="447" customFormat="1" ht="13.5" customHeight="1" x14ac:dyDescent="0.15">
      <c r="K90" s="482"/>
      <c r="N90" s="475"/>
      <c r="T90" s="805"/>
      <c r="U90" s="805"/>
      <c r="V90" s="805"/>
      <c r="W90" s="805"/>
      <c r="X90" s="867"/>
      <c r="Y90" s="900"/>
      <c r="Z90" s="805"/>
      <c r="AA90" s="805"/>
      <c r="AB90" s="805"/>
      <c r="AC90" s="805"/>
      <c r="AD90" s="805"/>
      <c r="AE90" s="805"/>
      <c r="AF90" s="805"/>
      <c r="AG90" s="805"/>
      <c r="AH90" s="805"/>
      <c r="AI90" s="805"/>
      <c r="AJ90" s="805"/>
      <c r="AK90" s="805"/>
      <c r="AL90" s="805"/>
      <c r="AM90" s="805"/>
      <c r="AN90" s="805"/>
      <c r="AO90" s="805"/>
      <c r="AP90" s="805"/>
      <c r="AQ90" s="805"/>
      <c r="AR90" s="805"/>
      <c r="AS90" s="805"/>
      <c r="AT90" s="805"/>
      <c r="AU90" s="805"/>
      <c r="AV90" s="805"/>
      <c r="AW90" s="805"/>
      <c r="AX90" s="805"/>
      <c r="AY90" s="805"/>
      <c r="AZ90" s="867"/>
      <c r="BA90" s="876"/>
      <c r="BB90" s="805"/>
      <c r="BC90" s="805"/>
      <c r="BD90" s="805"/>
      <c r="BE90" s="805"/>
      <c r="BX90" s="805"/>
      <c r="BY90" s="805"/>
      <c r="BZ90" s="805"/>
      <c r="CA90" s="805"/>
      <c r="CB90" s="867"/>
      <c r="CC90" s="876"/>
      <c r="CD90" s="805"/>
      <c r="CE90" s="805"/>
      <c r="CF90" s="805"/>
      <c r="CG90" s="805"/>
      <c r="CH90" s="805"/>
      <c r="CI90" s="805"/>
      <c r="CJ90" s="805"/>
      <c r="CK90" s="805"/>
      <c r="CL90" s="805"/>
      <c r="CM90" s="805"/>
      <c r="CN90" s="805"/>
      <c r="CO90" s="805"/>
      <c r="CP90" s="805"/>
      <c r="CQ90" s="805"/>
      <c r="CR90" s="805"/>
      <c r="CS90" s="805"/>
      <c r="CT90" s="805"/>
      <c r="CU90" s="805"/>
      <c r="CV90" s="805"/>
      <c r="CW90" s="805"/>
      <c r="CX90" s="805"/>
      <c r="CY90" s="805"/>
      <c r="CZ90" s="805"/>
      <c r="DA90" s="805"/>
      <c r="DB90" s="805"/>
      <c r="DC90" s="805"/>
      <c r="DD90" s="867"/>
      <c r="DE90" s="876"/>
      <c r="DF90" s="805"/>
      <c r="DG90" s="805"/>
      <c r="DH90" s="805"/>
      <c r="DI90" s="805"/>
    </row>
    <row r="91" spans="11:131" s="447" customFormat="1" ht="13.5" customHeight="1" x14ac:dyDescent="0.15">
      <c r="K91" s="482"/>
      <c r="N91" s="475"/>
      <c r="T91" s="805"/>
      <c r="U91" s="805"/>
      <c r="V91" s="805"/>
      <c r="W91" s="805"/>
      <c r="X91" s="867"/>
      <c r="Y91" s="900">
        <v>0.4375</v>
      </c>
      <c r="Z91" s="805"/>
      <c r="AA91" s="805"/>
      <c r="AB91" s="805"/>
      <c r="AC91" s="805"/>
      <c r="AD91" s="805"/>
      <c r="AE91" s="805"/>
      <c r="AF91" s="805"/>
      <c r="AG91" s="805"/>
      <c r="AH91" s="805"/>
      <c r="AI91" s="805"/>
      <c r="AJ91" s="805"/>
      <c r="AK91" s="805"/>
      <c r="AL91" s="805"/>
      <c r="AM91" s="805"/>
      <c r="AN91" s="805"/>
      <c r="AO91" s="805"/>
      <c r="AP91" s="805"/>
      <c r="AQ91" s="805"/>
      <c r="AR91" s="805"/>
      <c r="AS91" s="805"/>
      <c r="AT91" s="805"/>
      <c r="AU91" s="805"/>
      <c r="AV91" s="805"/>
      <c r="AW91" s="805"/>
      <c r="AX91" s="805"/>
      <c r="AY91" s="805"/>
      <c r="AZ91" s="867"/>
      <c r="BA91" s="876"/>
      <c r="BB91" s="805"/>
      <c r="BC91" s="805"/>
      <c r="BD91" s="805"/>
      <c r="BE91" s="805"/>
      <c r="BX91" s="805"/>
      <c r="BY91" s="805"/>
      <c r="BZ91" s="805"/>
      <c r="CA91" s="805"/>
      <c r="CB91" s="867"/>
      <c r="CC91" s="900">
        <v>0.4375</v>
      </c>
      <c r="CD91" s="805"/>
      <c r="CE91" s="805"/>
      <c r="CF91" s="805"/>
      <c r="CG91" s="805"/>
      <c r="CH91" s="805"/>
      <c r="CI91" s="805"/>
      <c r="CJ91" s="805"/>
      <c r="CK91" s="805"/>
      <c r="CL91" s="805"/>
      <c r="CM91" s="805"/>
      <c r="CN91" s="805"/>
      <c r="CO91" s="805"/>
      <c r="CP91" s="805"/>
      <c r="CQ91" s="805"/>
      <c r="CR91" s="805"/>
      <c r="CS91" s="805"/>
      <c r="CT91" s="805"/>
      <c r="CU91" s="805"/>
      <c r="CV91" s="805"/>
      <c r="CW91" s="805"/>
      <c r="CX91" s="805"/>
      <c r="CY91" s="805"/>
      <c r="CZ91" s="805"/>
      <c r="DA91" s="805"/>
      <c r="DB91" s="805"/>
      <c r="DC91" s="805"/>
      <c r="DD91" s="867"/>
      <c r="DE91" s="876"/>
      <c r="DF91" s="805"/>
      <c r="DG91" s="805"/>
      <c r="DH91" s="805"/>
      <c r="DI91" s="805"/>
    </row>
    <row r="92" spans="11:131" s="447" customFormat="1" ht="13.5" customHeight="1" x14ac:dyDescent="0.15">
      <c r="K92" s="482"/>
      <c r="N92" s="475"/>
      <c r="T92" s="805"/>
      <c r="U92" s="805"/>
      <c r="V92" s="805"/>
      <c r="W92" s="805"/>
      <c r="X92" s="867"/>
      <c r="Y92" s="876"/>
      <c r="Z92" s="805"/>
      <c r="AA92" s="805"/>
      <c r="AB92" s="805"/>
      <c r="AC92" s="805"/>
      <c r="AD92" s="805"/>
      <c r="AE92" s="805"/>
      <c r="AF92" s="805"/>
      <c r="AG92" s="805"/>
      <c r="AH92" s="805"/>
      <c r="AI92" s="805"/>
      <c r="AJ92" s="805"/>
      <c r="AK92" s="805"/>
      <c r="AL92" s="805"/>
      <c r="AM92" s="805"/>
      <c r="AN92" s="805"/>
      <c r="AO92" s="805"/>
      <c r="AP92" s="805"/>
      <c r="AQ92" s="805"/>
      <c r="AR92" s="805"/>
      <c r="AS92" s="805"/>
      <c r="AT92" s="805"/>
      <c r="AU92" s="805"/>
      <c r="AV92" s="805"/>
      <c r="AW92" s="805"/>
      <c r="AX92" s="805"/>
      <c r="AY92" s="805"/>
      <c r="AZ92" s="867"/>
      <c r="BA92" s="876"/>
      <c r="BB92" s="805"/>
      <c r="BC92" s="805"/>
      <c r="BD92" s="805"/>
      <c r="BE92" s="805"/>
      <c r="BX92" s="805"/>
      <c r="BY92" s="805"/>
      <c r="BZ92" s="805"/>
      <c r="CA92" s="805"/>
      <c r="CB92" s="867"/>
      <c r="CC92" s="876"/>
      <c r="CD92" s="805"/>
      <c r="CE92" s="805"/>
      <c r="CF92" s="805"/>
      <c r="CG92" s="805"/>
      <c r="CH92" s="805"/>
      <c r="CI92" s="805"/>
      <c r="CJ92" s="805"/>
      <c r="CK92" s="805"/>
      <c r="CL92" s="805"/>
      <c r="CM92" s="805"/>
      <c r="CN92" s="805"/>
      <c r="CO92" s="805"/>
      <c r="CP92" s="805"/>
      <c r="CQ92" s="805"/>
      <c r="CR92" s="805"/>
      <c r="CS92" s="805"/>
      <c r="CT92" s="805"/>
      <c r="CU92" s="805"/>
      <c r="CV92" s="805"/>
      <c r="CW92" s="805"/>
      <c r="CX92" s="805"/>
      <c r="CY92" s="805"/>
      <c r="CZ92" s="805"/>
      <c r="DA92" s="805"/>
      <c r="DB92" s="805"/>
      <c r="DC92" s="805"/>
      <c r="DD92" s="867"/>
      <c r="DE92" s="876"/>
      <c r="DF92" s="805"/>
      <c r="DG92" s="805"/>
      <c r="DH92" s="805"/>
      <c r="DI92" s="805"/>
      <c r="DQ92" s="503"/>
    </row>
    <row r="93" spans="11:131" s="447" customFormat="1" ht="13.5" customHeight="1" x14ac:dyDescent="0.15">
      <c r="K93" s="482"/>
      <c r="N93" s="475"/>
      <c r="T93" s="805"/>
      <c r="U93" s="805"/>
      <c r="V93" s="805"/>
      <c r="W93" s="805"/>
      <c r="X93" s="867"/>
      <c r="AE93" s="533"/>
      <c r="AF93" s="533"/>
      <c r="AG93" s="533"/>
      <c r="AH93" s="920"/>
      <c r="AI93" s="920"/>
      <c r="AJ93" s="920"/>
      <c r="AK93" s="920"/>
      <c r="AL93" s="847"/>
      <c r="AM93" s="847"/>
      <c r="AN93" s="920"/>
      <c r="AO93" s="920"/>
      <c r="AP93" s="920"/>
      <c r="AQ93" s="920"/>
      <c r="BA93" s="876"/>
      <c r="BB93" s="805"/>
      <c r="BC93" s="805"/>
      <c r="BD93" s="805"/>
      <c r="BE93" s="805"/>
      <c r="BX93" s="805"/>
      <c r="BY93" s="805"/>
      <c r="BZ93" s="805"/>
      <c r="CA93" s="805"/>
      <c r="CB93" s="867"/>
      <c r="CL93" s="920"/>
      <c r="CM93" s="920"/>
      <c r="CN93" s="920"/>
      <c r="CO93" s="920"/>
      <c r="CP93" s="847"/>
      <c r="CQ93" s="847"/>
      <c r="CR93" s="920"/>
      <c r="CS93" s="920"/>
      <c r="CT93" s="920"/>
      <c r="CU93" s="920"/>
      <c r="DE93" s="876"/>
      <c r="DF93" s="805"/>
      <c r="DG93" s="805"/>
      <c r="DH93" s="805"/>
      <c r="DI93" s="805"/>
    </row>
    <row r="94" spans="11:131" s="503" customFormat="1" ht="13.5" customHeight="1" x14ac:dyDescent="0.15">
      <c r="K94" s="502"/>
      <c r="N94" s="504"/>
      <c r="X94" s="867"/>
      <c r="AA94" s="447"/>
      <c r="AE94" s="533"/>
      <c r="AF94" s="533"/>
      <c r="AG94" s="533"/>
      <c r="AH94" s="533"/>
      <c r="AI94" s="533"/>
      <c r="AJ94" s="496"/>
      <c r="AN94" s="875"/>
      <c r="AO94" s="875"/>
      <c r="AP94" s="875"/>
      <c r="AQ94" s="875"/>
      <c r="BA94" s="876"/>
      <c r="CB94" s="867"/>
      <c r="CL94" s="875"/>
      <c r="CM94" s="875"/>
      <c r="CN94" s="875"/>
      <c r="CO94" s="875"/>
      <c r="DB94" s="447"/>
      <c r="DE94" s="876"/>
      <c r="DQ94" s="487"/>
      <c r="DU94" s="447"/>
      <c r="DX94" s="447"/>
    </row>
    <row r="95" spans="11:131" s="447" customFormat="1" ht="13.5" customHeight="1" x14ac:dyDescent="0.15">
      <c r="K95" s="482"/>
      <c r="N95" s="475"/>
      <c r="T95" s="805"/>
      <c r="U95" s="805"/>
      <c r="V95" s="805"/>
      <c r="W95" s="805"/>
      <c r="X95" s="867"/>
      <c r="Z95" s="805"/>
      <c r="AA95" s="805"/>
      <c r="AB95" s="805"/>
      <c r="AC95" s="805"/>
      <c r="AV95" s="805"/>
      <c r="AW95" s="805"/>
      <c r="AX95" s="805"/>
      <c r="AY95" s="805"/>
      <c r="BA95" s="876"/>
      <c r="BB95" s="805"/>
      <c r="BC95" s="805"/>
      <c r="BD95" s="805"/>
      <c r="BE95" s="805"/>
      <c r="BX95" s="805"/>
      <c r="BY95" s="805"/>
      <c r="BZ95" s="805"/>
      <c r="CA95" s="805"/>
      <c r="CB95" s="867"/>
      <c r="CD95" s="805"/>
      <c r="CE95" s="805"/>
      <c r="CF95" s="805"/>
      <c r="CG95" s="805"/>
      <c r="CZ95" s="805"/>
      <c r="DA95" s="805"/>
      <c r="DB95" s="805"/>
      <c r="DC95" s="805"/>
      <c r="DE95" s="876"/>
      <c r="DF95" s="805"/>
      <c r="DG95" s="805"/>
      <c r="DH95" s="805"/>
      <c r="DI95" s="805"/>
    </row>
    <row r="96" spans="11:131" s="487" customFormat="1" ht="13.5" hidden="1" customHeight="1" x14ac:dyDescent="0.15">
      <c r="K96" s="506"/>
      <c r="N96" s="488"/>
      <c r="T96" s="918"/>
      <c r="U96" s="918"/>
      <c r="V96" s="918"/>
      <c r="W96" s="918"/>
      <c r="X96" s="867"/>
      <c r="Z96" s="918"/>
      <c r="AA96" s="918"/>
      <c r="AB96" s="918"/>
      <c r="AC96" s="918"/>
      <c r="AV96" s="918"/>
      <c r="AW96" s="918"/>
      <c r="AX96" s="918"/>
      <c r="AY96" s="918"/>
      <c r="BA96" s="876"/>
      <c r="BB96" s="918"/>
      <c r="BC96" s="918"/>
      <c r="BD96" s="918"/>
      <c r="BE96" s="918"/>
      <c r="BX96" s="918"/>
      <c r="BY96" s="918"/>
      <c r="BZ96" s="918"/>
      <c r="CA96" s="918"/>
      <c r="CB96" s="867"/>
      <c r="CD96" s="918"/>
      <c r="CE96" s="918"/>
      <c r="CF96" s="918"/>
      <c r="CG96" s="918"/>
      <c r="CZ96" s="918"/>
      <c r="DA96" s="918"/>
      <c r="DB96" s="918"/>
      <c r="DC96" s="918"/>
      <c r="DE96" s="876"/>
      <c r="DF96" s="918"/>
      <c r="DG96" s="918"/>
      <c r="DH96" s="918"/>
      <c r="DI96" s="918"/>
      <c r="DQ96" s="447"/>
      <c r="DX96" s="447"/>
    </row>
    <row r="97" spans="2:162" s="447" customFormat="1" ht="3.75" customHeight="1" thickBot="1" x14ac:dyDescent="0.2">
      <c r="K97" s="482"/>
      <c r="N97" s="475"/>
      <c r="R97" s="851"/>
      <c r="S97" s="851"/>
      <c r="T97" s="851"/>
      <c r="U97" s="851"/>
      <c r="V97" s="851"/>
      <c r="W97" s="851"/>
      <c r="X97" s="872"/>
      <c r="Y97" s="850"/>
      <c r="Z97" s="851"/>
      <c r="AA97" s="851"/>
      <c r="AB97" s="851"/>
      <c r="AC97" s="851"/>
      <c r="AD97" s="851"/>
      <c r="AE97" s="851"/>
      <c r="AT97" s="851"/>
      <c r="AU97" s="851"/>
      <c r="AV97" s="851"/>
      <c r="AW97" s="851"/>
      <c r="AX97" s="851"/>
      <c r="AY97" s="851"/>
      <c r="AZ97" s="851"/>
      <c r="BA97" s="850"/>
      <c r="BB97" s="851"/>
      <c r="BC97" s="851"/>
      <c r="BD97" s="851"/>
      <c r="BE97" s="851"/>
      <c r="BF97" s="851"/>
      <c r="BG97" s="851"/>
      <c r="BV97" s="851"/>
      <c r="BW97" s="851"/>
      <c r="BX97" s="851"/>
      <c r="BY97" s="851"/>
      <c r="BZ97" s="851"/>
      <c r="CA97" s="851"/>
      <c r="CB97" s="872"/>
      <c r="CC97" s="851"/>
      <c r="CD97" s="851"/>
      <c r="CE97" s="851"/>
      <c r="CF97" s="851"/>
      <c r="CG97" s="851"/>
      <c r="CH97" s="851"/>
      <c r="CI97" s="851"/>
      <c r="CX97" s="851"/>
      <c r="CY97" s="851"/>
      <c r="CZ97" s="851"/>
      <c r="DA97" s="851"/>
      <c r="DB97" s="851"/>
      <c r="DC97" s="851"/>
      <c r="DD97" s="872"/>
      <c r="DE97" s="850"/>
      <c r="DF97" s="851"/>
      <c r="DG97" s="851"/>
      <c r="DH97" s="851"/>
      <c r="DI97" s="851"/>
      <c r="DJ97" s="851"/>
      <c r="DK97" s="851"/>
    </row>
    <row r="98" spans="2:162" s="447" customFormat="1" ht="13.5" customHeight="1" thickTop="1" x14ac:dyDescent="0.15">
      <c r="B98" s="258" t="str">
        <f>B34</f>
        <v>16日(日)</v>
      </c>
      <c r="K98" s="482"/>
      <c r="M98" s="290"/>
      <c r="N98" s="290"/>
      <c r="O98" s="290"/>
      <c r="P98" s="290"/>
      <c r="Q98" s="867"/>
      <c r="R98" s="905"/>
      <c r="S98" s="906"/>
      <c r="T98" s="906"/>
      <c r="U98" s="906"/>
      <c r="V98" s="906"/>
      <c r="W98" s="906"/>
      <c r="X98" s="906"/>
      <c r="Y98" s="906"/>
      <c r="Z98" s="906"/>
      <c r="AA98" s="906"/>
      <c r="AB98" s="906"/>
      <c r="AC98" s="906"/>
      <c r="AD98" s="906"/>
      <c r="AE98" s="907"/>
      <c r="AF98" s="879"/>
      <c r="AG98" s="805"/>
      <c r="AH98" s="805"/>
      <c r="AI98" s="805"/>
      <c r="AJ98" s="805"/>
      <c r="AK98" s="805"/>
      <c r="AO98" s="805"/>
      <c r="AP98" s="805"/>
      <c r="AQ98" s="805"/>
      <c r="AR98" s="805"/>
      <c r="AS98" s="867"/>
      <c r="AT98" s="905"/>
      <c r="AU98" s="906"/>
      <c r="AV98" s="906"/>
      <c r="AW98" s="906"/>
      <c r="AX98" s="906"/>
      <c r="AY98" s="906"/>
      <c r="AZ98" s="906"/>
      <c r="BA98" s="906"/>
      <c r="BB98" s="906"/>
      <c r="BC98" s="906"/>
      <c r="BD98" s="906"/>
      <c r="BE98" s="906"/>
      <c r="BF98" s="906"/>
      <c r="BG98" s="907"/>
      <c r="BH98" s="876"/>
      <c r="BI98" s="805"/>
      <c r="BJ98" s="805"/>
      <c r="BK98" s="805"/>
      <c r="BL98" s="805"/>
      <c r="BQ98" s="805"/>
      <c r="BR98" s="805"/>
      <c r="BS98" s="805"/>
      <c r="BT98" s="805"/>
      <c r="BU98" s="867"/>
      <c r="BV98" s="905"/>
      <c r="BW98" s="906"/>
      <c r="BX98" s="906"/>
      <c r="BY98" s="906"/>
      <c r="BZ98" s="906"/>
      <c r="CA98" s="906"/>
      <c r="CB98" s="906"/>
      <c r="CC98" s="906"/>
      <c r="CD98" s="906"/>
      <c r="CE98" s="906"/>
      <c r="CF98" s="906"/>
      <c r="CG98" s="906"/>
      <c r="CH98" s="906"/>
      <c r="CI98" s="907"/>
      <c r="CJ98" s="876"/>
      <c r="CK98" s="805"/>
      <c r="CL98" s="805"/>
      <c r="CM98" s="805"/>
      <c r="CN98" s="805"/>
      <c r="CR98" s="805"/>
      <c r="CS98" s="805"/>
      <c r="CT98" s="805"/>
      <c r="CU98" s="805"/>
      <c r="CV98" s="805"/>
      <c r="CW98" s="867"/>
      <c r="CX98" s="905"/>
      <c r="CY98" s="906"/>
      <c r="CZ98" s="906"/>
      <c r="DA98" s="906"/>
      <c r="DB98" s="906"/>
      <c r="DC98" s="906"/>
      <c r="DD98" s="906"/>
      <c r="DE98" s="906"/>
      <c r="DF98" s="906"/>
      <c r="DG98" s="906"/>
      <c r="DH98" s="906"/>
      <c r="DI98" s="906"/>
      <c r="DJ98" s="906"/>
      <c r="DK98" s="907"/>
      <c r="DL98" s="876"/>
      <c r="DM98" s="805"/>
      <c r="DN98" s="805"/>
      <c r="DO98" s="805"/>
      <c r="DP98" s="805"/>
      <c r="DR98" s="533"/>
      <c r="DS98" s="533"/>
      <c r="DT98" s="533"/>
      <c r="DU98" s="533"/>
      <c r="DV98" s="533"/>
      <c r="DY98" s="533"/>
      <c r="DZ98" s="533"/>
      <c r="EA98" s="533"/>
      <c r="EB98" s="533"/>
    </row>
    <row r="99" spans="2:162" s="447" customFormat="1" ht="13.5" customHeight="1" x14ac:dyDescent="0.15">
      <c r="K99" s="482"/>
      <c r="M99" s="290"/>
      <c r="N99" s="290"/>
      <c r="O99" s="290"/>
      <c r="P99" s="290"/>
      <c r="Q99" s="867"/>
      <c r="R99" s="876" t="s">
        <v>71</v>
      </c>
      <c r="S99" s="805"/>
      <c r="T99" s="805"/>
      <c r="U99" s="805"/>
      <c r="V99" s="805"/>
      <c r="W99" s="805"/>
      <c r="X99" s="805"/>
      <c r="Y99" s="805"/>
      <c r="Z99" s="805"/>
      <c r="AA99" s="805"/>
      <c r="AB99" s="805"/>
      <c r="AC99" s="805"/>
      <c r="AD99" s="805"/>
      <c r="AE99" s="878"/>
      <c r="AF99" s="879"/>
      <c r="AG99" s="805"/>
      <c r="AH99" s="805"/>
      <c r="AI99" s="805"/>
      <c r="AJ99" s="805"/>
      <c r="AK99" s="805"/>
      <c r="AO99" s="805"/>
      <c r="AP99" s="805"/>
      <c r="AQ99" s="805"/>
      <c r="AR99" s="805"/>
      <c r="AS99" s="867"/>
      <c r="AT99" s="876" t="s">
        <v>720</v>
      </c>
      <c r="AU99" s="805"/>
      <c r="AV99" s="805"/>
      <c r="AW99" s="805"/>
      <c r="AX99" s="805"/>
      <c r="AY99" s="805"/>
      <c r="AZ99" s="805"/>
      <c r="BA99" s="805"/>
      <c r="BB99" s="805"/>
      <c r="BC99" s="805"/>
      <c r="BD99" s="805"/>
      <c r="BE99" s="805"/>
      <c r="BF99" s="805"/>
      <c r="BG99" s="878"/>
      <c r="BH99" s="876"/>
      <c r="BI99" s="805"/>
      <c r="BJ99" s="805"/>
      <c r="BK99" s="805"/>
      <c r="BL99" s="805"/>
      <c r="BQ99" s="805"/>
      <c r="BR99" s="805"/>
      <c r="BS99" s="805"/>
      <c r="BT99" s="805"/>
      <c r="BU99" s="867"/>
      <c r="BV99" s="876" t="s">
        <v>720</v>
      </c>
      <c r="BW99" s="805"/>
      <c r="BX99" s="805"/>
      <c r="BY99" s="805"/>
      <c r="BZ99" s="805"/>
      <c r="CA99" s="805"/>
      <c r="CB99" s="805"/>
      <c r="CC99" s="805"/>
      <c r="CD99" s="805"/>
      <c r="CE99" s="805"/>
      <c r="CF99" s="805"/>
      <c r="CG99" s="805"/>
      <c r="CH99" s="805"/>
      <c r="CI99" s="878"/>
      <c r="CJ99" s="876"/>
      <c r="CK99" s="805"/>
      <c r="CL99" s="805"/>
      <c r="CM99" s="805"/>
      <c r="CN99" s="805"/>
      <c r="CR99" s="805"/>
      <c r="CS99" s="805"/>
      <c r="CT99" s="805"/>
      <c r="CU99" s="805"/>
      <c r="CV99" s="805"/>
      <c r="CW99" s="867"/>
      <c r="CX99" s="876" t="s">
        <v>71</v>
      </c>
      <c r="CY99" s="805"/>
      <c r="CZ99" s="805"/>
      <c r="DA99" s="805"/>
      <c r="DB99" s="805"/>
      <c r="DC99" s="805"/>
      <c r="DD99" s="805"/>
      <c r="DE99" s="805"/>
      <c r="DF99" s="805"/>
      <c r="DG99" s="805"/>
      <c r="DH99" s="805"/>
      <c r="DI99" s="805"/>
      <c r="DJ99" s="805"/>
      <c r="DK99" s="878"/>
      <c r="DL99" s="876"/>
      <c r="DM99" s="805"/>
      <c r="DN99" s="805"/>
      <c r="DO99" s="805"/>
      <c r="DP99" s="805"/>
      <c r="DR99" s="533"/>
      <c r="DS99" s="533"/>
      <c r="DT99" s="533"/>
      <c r="DU99" s="533"/>
      <c r="DV99" s="533"/>
      <c r="DY99" s="533"/>
      <c r="DZ99" s="533"/>
      <c r="EA99" s="533"/>
      <c r="EB99" s="533"/>
    </row>
    <row r="100" spans="2:162" s="447" customFormat="1" ht="13.5" customHeight="1" x14ac:dyDescent="0.15">
      <c r="K100" s="482"/>
      <c r="M100" s="290"/>
      <c r="N100" s="290"/>
      <c r="O100" s="290"/>
      <c r="P100" s="290"/>
      <c r="Q100" s="867"/>
      <c r="R100" s="876" t="s">
        <v>694</v>
      </c>
      <c r="S100" s="805"/>
      <c r="T100" s="805"/>
      <c r="U100" s="805"/>
      <c r="V100" s="805"/>
      <c r="W100" s="805"/>
      <c r="X100" s="805"/>
      <c r="Y100" s="805"/>
      <c r="Z100" s="805"/>
      <c r="AA100" s="805"/>
      <c r="AB100" s="805"/>
      <c r="AC100" s="805"/>
      <c r="AD100" s="805"/>
      <c r="AE100" s="878"/>
      <c r="AF100" s="879"/>
      <c r="AG100" s="805"/>
      <c r="AH100" s="805"/>
      <c r="AI100" s="805"/>
      <c r="AJ100" s="805"/>
      <c r="AK100" s="805"/>
      <c r="AO100" s="805"/>
      <c r="AP100" s="805"/>
      <c r="AQ100" s="805"/>
      <c r="AR100" s="805"/>
      <c r="AS100" s="867"/>
      <c r="AT100" s="876" t="s">
        <v>117</v>
      </c>
      <c r="AU100" s="805"/>
      <c r="AV100" s="805"/>
      <c r="AW100" s="805"/>
      <c r="AX100" s="805"/>
      <c r="AY100" s="805"/>
      <c r="AZ100" s="805"/>
      <c r="BA100" s="805"/>
      <c r="BB100" s="805"/>
      <c r="BC100" s="805"/>
      <c r="BD100" s="805"/>
      <c r="BE100" s="805"/>
      <c r="BF100" s="805"/>
      <c r="BG100" s="878"/>
      <c r="BH100" s="876"/>
      <c r="BI100" s="805"/>
      <c r="BJ100" s="805"/>
      <c r="BK100" s="805"/>
      <c r="BL100" s="805"/>
      <c r="BQ100" s="805"/>
      <c r="BR100" s="805"/>
      <c r="BS100" s="805"/>
      <c r="BT100" s="805"/>
      <c r="BU100" s="867"/>
      <c r="BV100" s="876" t="s">
        <v>117</v>
      </c>
      <c r="BW100" s="805"/>
      <c r="BX100" s="805"/>
      <c r="BY100" s="805"/>
      <c r="BZ100" s="805"/>
      <c r="CA100" s="805"/>
      <c r="CB100" s="805"/>
      <c r="CC100" s="805"/>
      <c r="CD100" s="805"/>
      <c r="CE100" s="805"/>
      <c r="CF100" s="805"/>
      <c r="CG100" s="805"/>
      <c r="CH100" s="805"/>
      <c r="CI100" s="878"/>
      <c r="CJ100" s="876"/>
      <c r="CK100" s="805"/>
      <c r="CL100" s="805"/>
      <c r="CM100" s="805"/>
      <c r="CN100" s="805"/>
      <c r="CR100" s="805"/>
      <c r="CS100" s="805"/>
      <c r="CT100" s="805"/>
      <c r="CU100" s="805"/>
      <c r="CV100" s="805"/>
      <c r="CW100" s="867"/>
      <c r="CX100" s="876" t="s">
        <v>694</v>
      </c>
      <c r="CY100" s="805"/>
      <c r="CZ100" s="805"/>
      <c r="DA100" s="805"/>
      <c r="DB100" s="805"/>
      <c r="DC100" s="805"/>
      <c r="DD100" s="805"/>
      <c r="DE100" s="805"/>
      <c r="DF100" s="805"/>
      <c r="DG100" s="805"/>
      <c r="DH100" s="805"/>
      <c r="DI100" s="805"/>
      <c r="DJ100" s="805"/>
      <c r="DK100" s="878"/>
      <c r="DL100" s="876"/>
      <c r="DM100" s="805"/>
      <c r="DN100" s="805"/>
      <c r="DO100" s="805"/>
      <c r="DP100" s="805"/>
      <c r="DR100" s="533"/>
      <c r="DS100" s="533"/>
      <c r="DT100" s="533"/>
      <c r="DU100" s="533"/>
      <c r="DV100" s="533"/>
      <c r="DW100" s="496"/>
      <c r="DX100" s="496"/>
      <c r="DY100" s="533"/>
      <c r="DZ100" s="533"/>
      <c r="EA100" s="533"/>
      <c r="EB100" s="533"/>
    </row>
    <row r="101" spans="2:162" s="447" customFormat="1" ht="13.5" customHeight="1" x14ac:dyDescent="0.15">
      <c r="K101" s="482"/>
      <c r="M101" s="290"/>
      <c r="N101" s="290"/>
      <c r="O101" s="290"/>
      <c r="P101" s="290"/>
      <c r="Q101" s="867"/>
      <c r="R101" s="876"/>
      <c r="S101" s="805"/>
      <c r="T101" s="805"/>
      <c r="U101" s="805"/>
      <c r="V101" s="805"/>
      <c r="W101" s="805"/>
      <c r="X101" s="805"/>
      <c r="Y101" s="805"/>
      <c r="Z101" s="805"/>
      <c r="AA101" s="805"/>
      <c r="AB101" s="805"/>
      <c r="AC101" s="805"/>
      <c r="AD101" s="805"/>
      <c r="AE101" s="878"/>
      <c r="AF101" s="879"/>
      <c r="AG101" s="805"/>
      <c r="AH101" s="805"/>
      <c r="AI101" s="805"/>
      <c r="AJ101" s="805"/>
      <c r="AK101" s="805"/>
      <c r="AO101" s="805"/>
      <c r="AP101" s="805"/>
      <c r="AQ101" s="805"/>
      <c r="AR101" s="805"/>
      <c r="AS101" s="867"/>
      <c r="AT101" s="876"/>
      <c r="AU101" s="805"/>
      <c r="AV101" s="805"/>
      <c r="AW101" s="805"/>
      <c r="AX101" s="805"/>
      <c r="AY101" s="805"/>
      <c r="AZ101" s="805"/>
      <c r="BA101" s="805"/>
      <c r="BB101" s="805"/>
      <c r="BC101" s="805"/>
      <c r="BD101" s="805"/>
      <c r="BE101" s="805"/>
      <c r="BF101" s="805"/>
      <c r="BG101" s="878"/>
      <c r="BH101" s="876"/>
      <c r="BI101" s="805"/>
      <c r="BJ101" s="805"/>
      <c r="BK101" s="805"/>
      <c r="BL101" s="805"/>
      <c r="BQ101" s="805"/>
      <c r="BR101" s="805"/>
      <c r="BS101" s="805"/>
      <c r="BT101" s="805"/>
      <c r="BU101" s="867"/>
      <c r="BV101" s="876"/>
      <c r="BW101" s="805"/>
      <c r="BX101" s="805"/>
      <c r="BY101" s="805"/>
      <c r="BZ101" s="805"/>
      <c r="CA101" s="805"/>
      <c r="CB101" s="805"/>
      <c r="CC101" s="805"/>
      <c r="CD101" s="805"/>
      <c r="CE101" s="805"/>
      <c r="CF101" s="805"/>
      <c r="CG101" s="805"/>
      <c r="CH101" s="805"/>
      <c r="CI101" s="878"/>
      <c r="CJ101" s="876"/>
      <c r="CK101" s="805"/>
      <c r="CL101" s="805"/>
      <c r="CM101" s="805"/>
      <c r="CN101" s="805"/>
      <c r="CR101" s="805"/>
      <c r="CS101" s="805"/>
      <c r="CT101" s="805"/>
      <c r="CU101" s="805"/>
      <c r="CV101" s="805"/>
      <c r="CW101" s="867"/>
      <c r="CX101" s="876"/>
      <c r="CY101" s="805"/>
      <c r="CZ101" s="805"/>
      <c r="DA101" s="805"/>
      <c r="DB101" s="805"/>
      <c r="DC101" s="805"/>
      <c r="DD101" s="805"/>
      <c r="DE101" s="805"/>
      <c r="DF101" s="805"/>
      <c r="DG101" s="805"/>
      <c r="DH101" s="805"/>
      <c r="DI101" s="805"/>
      <c r="DJ101" s="805"/>
      <c r="DK101" s="878"/>
      <c r="DL101" s="876"/>
      <c r="DM101" s="805"/>
      <c r="DN101" s="805"/>
      <c r="DO101" s="805"/>
      <c r="DP101" s="805"/>
      <c r="DR101" s="533"/>
      <c r="DS101" s="533"/>
      <c r="DT101" s="533"/>
      <c r="DU101" s="533"/>
      <c r="DV101" s="533"/>
      <c r="DW101" s="496"/>
      <c r="DX101" s="496"/>
      <c r="DY101" s="533"/>
      <c r="DZ101" s="533"/>
      <c r="EA101" s="533"/>
      <c r="EB101" s="533"/>
    </row>
    <row r="102" spans="2:162" s="447" customFormat="1" ht="13.5" customHeight="1" x14ac:dyDescent="0.15">
      <c r="K102" s="482"/>
      <c r="M102" s="290"/>
      <c r="N102" s="290"/>
      <c r="O102" s="290"/>
      <c r="P102" s="290"/>
      <c r="Q102" s="867"/>
      <c r="R102" s="900">
        <v>0.50694444444444442</v>
      </c>
      <c r="S102" s="805"/>
      <c r="T102" s="805"/>
      <c r="U102" s="805"/>
      <c r="V102" s="805"/>
      <c r="W102" s="805"/>
      <c r="X102" s="805"/>
      <c r="Y102" s="805"/>
      <c r="Z102" s="805"/>
      <c r="AA102" s="805"/>
      <c r="AB102" s="805"/>
      <c r="AC102" s="805"/>
      <c r="AD102" s="805"/>
      <c r="AE102" s="878"/>
      <c r="AF102" s="879"/>
      <c r="AG102" s="805"/>
      <c r="AH102" s="805"/>
      <c r="AI102" s="805"/>
      <c r="AJ102" s="805"/>
      <c r="AK102" s="805"/>
      <c r="AO102" s="805"/>
      <c r="AP102" s="805"/>
      <c r="AQ102" s="805"/>
      <c r="AR102" s="805"/>
      <c r="AS102" s="867"/>
      <c r="AT102" s="900">
        <v>0.50694444444444442</v>
      </c>
      <c r="AU102" s="805"/>
      <c r="AV102" s="805"/>
      <c r="AW102" s="805"/>
      <c r="AX102" s="805"/>
      <c r="AY102" s="805"/>
      <c r="AZ102" s="805"/>
      <c r="BA102" s="805"/>
      <c r="BB102" s="805"/>
      <c r="BC102" s="805"/>
      <c r="BD102" s="805"/>
      <c r="BE102" s="805"/>
      <c r="BF102" s="805"/>
      <c r="BG102" s="878"/>
      <c r="BH102" s="876"/>
      <c r="BI102" s="805"/>
      <c r="BJ102" s="805"/>
      <c r="BK102" s="805"/>
      <c r="BL102" s="805"/>
      <c r="BQ102" s="805"/>
      <c r="BR102" s="805"/>
      <c r="BS102" s="805"/>
      <c r="BT102" s="805"/>
      <c r="BU102" s="867"/>
      <c r="BV102" s="900">
        <v>0.5625</v>
      </c>
      <c r="BW102" s="805"/>
      <c r="BX102" s="805"/>
      <c r="BY102" s="805"/>
      <c r="BZ102" s="805"/>
      <c r="CA102" s="805"/>
      <c r="CB102" s="805"/>
      <c r="CC102" s="805"/>
      <c r="CD102" s="805"/>
      <c r="CE102" s="805"/>
      <c r="CF102" s="805"/>
      <c r="CG102" s="805"/>
      <c r="CH102" s="805"/>
      <c r="CI102" s="878"/>
      <c r="CJ102" s="876"/>
      <c r="CK102" s="805"/>
      <c r="CL102" s="805"/>
      <c r="CM102" s="805"/>
      <c r="CN102" s="805"/>
      <c r="CR102" s="805"/>
      <c r="CS102" s="805"/>
      <c r="CT102" s="805"/>
      <c r="CU102" s="805"/>
      <c r="CV102" s="805"/>
      <c r="CW102" s="867"/>
      <c r="CX102" s="900">
        <v>0.5625</v>
      </c>
      <c r="CY102" s="805"/>
      <c r="CZ102" s="805"/>
      <c r="DA102" s="805"/>
      <c r="DB102" s="805"/>
      <c r="DC102" s="805"/>
      <c r="DD102" s="805"/>
      <c r="DE102" s="805"/>
      <c r="DF102" s="805"/>
      <c r="DG102" s="805"/>
      <c r="DH102" s="805"/>
      <c r="DI102" s="805"/>
      <c r="DJ102" s="805"/>
      <c r="DK102" s="878"/>
      <c r="DL102" s="876"/>
      <c r="DM102" s="805"/>
      <c r="DN102" s="805"/>
      <c r="DO102" s="805"/>
      <c r="DP102" s="805"/>
      <c r="DQ102" s="503"/>
    </row>
    <row r="103" spans="2:162" s="447" customFormat="1" ht="13.5" customHeight="1" x14ac:dyDescent="0.15">
      <c r="K103" s="482"/>
      <c r="M103" s="290"/>
      <c r="N103" s="290"/>
      <c r="O103" s="290"/>
      <c r="P103" s="290"/>
      <c r="Q103" s="867"/>
      <c r="T103" s="920"/>
      <c r="U103" s="920"/>
      <c r="V103" s="920"/>
      <c r="W103" s="920"/>
      <c r="X103" s="847"/>
      <c r="Y103" s="847"/>
      <c r="Z103" s="920"/>
      <c r="AA103" s="920"/>
      <c r="AB103" s="920"/>
      <c r="AC103" s="920"/>
      <c r="AF103" s="879"/>
      <c r="AG103" s="805"/>
      <c r="AH103" s="805"/>
      <c r="AI103" s="805"/>
      <c r="AJ103" s="805"/>
      <c r="AK103" s="805"/>
      <c r="AO103" s="805"/>
      <c r="AP103" s="805"/>
      <c r="AQ103" s="805"/>
      <c r="AR103" s="805"/>
      <c r="AS103" s="867"/>
      <c r="AV103" s="920"/>
      <c r="AW103" s="920"/>
      <c r="AX103" s="920"/>
      <c r="AY103" s="920"/>
      <c r="AZ103" s="847"/>
      <c r="BA103" s="847"/>
      <c r="BB103" s="920"/>
      <c r="BC103" s="920"/>
      <c r="BD103" s="920"/>
      <c r="BE103" s="920"/>
      <c r="BH103" s="876"/>
      <c r="BI103" s="805"/>
      <c r="BJ103" s="805"/>
      <c r="BK103" s="805"/>
      <c r="BL103" s="805"/>
      <c r="BQ103" s="805"/>
      <c r="BR103" s="805"/>
      <c r="BS103" s="805"/>
      <c r="BT103" s="805"/>
      <c r="BU103" s="867"/>
      <c r="BX103" s="920"/>
      <c r="BY103" s="920"/>
      <c r="BZ103" s="920"/>
      <c r="CA103" s="920"/>
      <c r="CB103" s="847"/>
      <c r="CC103" s="847"/>
      <c r="CD103" s="920"/>
      <c r="CE103" s="920"/>
      <c r="CF103" s="920"/>
      <c r="CG103" s="920"/>
      <c r="CJ103" s="876"/>
      <c r="CK103" s="805"/>
      <c r="CL103" s="805"/>
      <c r="CM103" s="805"/>
      <c r="CN103" s="805"/>
      <c r="CR103" s="805"/>
      <c r="CS103" s="805"/>
      <c r="CT103" s="805"/>
      <c r="CU103" s="805"/>
      <c r="CV103" s="805"/>
      <c r="CW103" s="867"/>
      <c r="CY103" s="533"/>
      <c r="CZ103" s="920"/>
      <c r="DA103" s="920"/>
      <c r="DB103" s="920"/>
      <c r="DC103" s="920"/>
      <c r="DD103" s="847"/>
      <c r="DE103" s="847"/>
      <c r="DF103" s="920"/>
      <c r="DG103" s="920"/>
      <c r="DH103" s="920"/>
      <c r="DI103" s="920"/>
      <c r="DL103" s="876"/>
      <c r="DM103" s="805"/>
      <c r="DN103" s="805"/>
      <c r="DO103" s="805"/>
      <c r="DP103" s="805"/>
      <c r="DR103" s="533"/>
      <c r="DS103" s="533"/>
      <c r="DT103" s="533"/>
      <c r="DU103" s="533"/>
      <c r="DV103" s="533"/>
      <c r="DW103" s="496"/>
      <c r="DX103" s="496"/>
      <c r="DY103" s="533"/>
      <c r="DZ103" s="533"/>
      <c r="EA103" s="533"/>
      <c r="EB103" s="533"/>
    </row>
    <row r="104" spans="2:162" s="503" customFormat="1" ht="13.5" customHeight="1" x14ac:dyDescent="0.15">
      <c r="K104" s="502"/>
      <c r="N104" s="504"/>
      <c r="Q104" s="867"/>
      <c r="W104" s="875"/>
      <c r="X104" s="875"/>
      <c r="Y104" s="875"/>
      <c r="Z104" s="875"/>
      <c r="AF104" s="879"/>
      <c r="AS104" s="867"/>
      <c r="AY104" s="875"/>
      <c r="AZ104" s="875"/>
      <c r="BA104" s="875"/>
      <c r="BB104" s="875"/>
      <c r="BH104" s="876"/>
      <c r="BU104" s="867"/>
      <c r="CA104" s="875"/>
      <c r="CB104" s="875"/>
      <c r="CC104" s="875"/>
      <c r="CD104" s="875"/>
      <c r="CJ104" s="876"/>
      <c r="CW104" s="867"/>
      <c r="DC104" s="875"/>
      <c r="DD104" s="875"/>
      <c r="DE104" s="875"/>
      <c r="DF104" s="875"/>
      <c r="DL104" s="876"/>
      <c r="DQ104" s="487"/>
      <c r="EF104" s="447"/>
    </row>
    <row r="105" spans="2:162" s="447" customFormat="1" ht="13.5" customHeight="1" x14ac:dyDescent="0.15">
      <c r="K105" s="482"/>
      <c r="M105" s="805"/>
      <c r="N105" s="805"/>
      <c r="O105" s="805"/>
      <c r="P105" s="805"/>
      <c r="Q105" s="867"/>
      <c r="S105" s="805"/>
      <c r="T105" s="805"/>
      <c r="U105" s="805"/>
      <c r="AC105" s="805"/>
      <c r="AD105" s="805"/>
      <c r="AF105" s="879"/>
      <c r="AG105" s="805"/>
      <c r="AH105" s="805"/>
      <c r="AI105" s="805"/>
      <c r="AJ105" s="805"/>
      <c r="AK105" s="805"/>
      <c r="AO105" s="805"/>
      <c r="AP105" s="805"/>
      <c r="AQ105" s="805"/>
      <c r="AR105" s="805"/>
      <c r="AS105" s="867"/>
      <c r="BH105" s="876"/>
      <c r="BI105" s="805"/>
      <c r="BJ105" s="805"/>
      <c r="BK105" s="805"/>
      <c r="BL105" s="805"/>
      <c r="BQ105" s="805"/>
      <c r="BR105" s="805"/>
      <c r="BS105" s="805"/>
      <c r="BT105" s="805"/>
      <c r="BU105" s="867"/>
      <c r="CJ105" s="876"/>
      <c r="CK105" s="805"/>
      <c r="CL105" s="805"/>
      <c r="CM105" s="805"/>
      <c r="CN105" s="805"/>
      <c r="CR105" s="805"/>
      <c r="CS105" s="805"/>
      <c r="CT105" s="805"/>
      <c r="CU105" s="805"/>
      <c r="CV105" s="805"/>
      <c r="CW105" s="867"/>
      <c r="CY105" s="805"/>
      <c r="CZ105" s="805"/>
      <c r="DH105" s="805"/>
      <c r="DI105" s="805"/>
      <c r="DJ105" s="805"/>
      <c r="DL105" s="876"/>
      <c r="DM105" s="805"/>
      <c r="DN105" s="805"/>
      <c r="DO105" s="805"/>
      <c r="DP105" s="805"/>
    </row>
    <row r="106" spans="2:162" x14ac:dyDescent="0.15">
      <c r="L106" s="258"/>
      <c r="M106" s="915" t="str">
        <f>IF(C38="","ア負け",IF(C38=B66,N48,B66))</f>
        <v>ア負け</v>
      </c>
      <c r="N106" s="915"/>
      <c r="O106" s="915"/>
      <c r="P106" s="915"/>
      <c r="Q106" s="915"/>
      <c r="R106" s="915"/>
      <c r="S106" s="915"/>
      <c r="T106" s="915"/>
      <c r="U106" s="915"/>
      <c r="V106" s="915"/>
      <c r="Z106" s="258"/>
      <c r="AA106" s="915" t="str">
        <f>IF(Z38="","イ負け",IF(Z38=T66,Z66,T66))</f>
        <v>イ負け</v>
      </c>
      <c r="AB106" s="915"/>
      <c r="AC106" s="915"/>
      <c r="AD106" s="915"/>
      <c r="AE106" s="915"/>
      <c r="AF106" s="915"/>
      <c r="AG106" s="915"/>
      <c r="AH106" s="915"/>
      <c r="AI106" s="915"/>
      <c r="AJ106" s="915"/>
      <c r="AK106" s="258"/>
      <c r="AL106" s="258"/>
      <c r="AM106" s="258"/>
      <c r="AN106" s="258"/>
      <c r="AO106" s="915" t="str">
        <f>IF(AG38="","ウ負け",IF(AG38=AF66,AR48,AF66))</f>
        <v>ウ負け</v>
      </c>
      <c r="AP106" s="915"/>
      <c r="AQ106" s="915"/>
      <c r="AR106" s="915"/>
      <c r="AS106" s="915"/>
      <c r="AT106" s="915"/>
      <c r="AU106" s="915"/>
      <c r="AV106" s="915"/>
      <c r="AW106" s="915"/>
      <c r="AX106" s="915"/>
      <c r="BB106" s="258"/>
      <c r="BC106" s="915" t="str">
        <f>IF(BI38="","エ負け",IF(BI38=AX48,BJ66,AX48))</f>
        <v>エ負け</v>
      </c>
      <c r="BD106" s="915"/>
      <c r="BE106" s="915"/>
      <c r="BF106" s="915"/>
      <c r="BG106" s="915"/>
      <c r="BH106" s="915"/>
      <c r="BI106" s="915"/>
      <c r="BJ106" s="915"/>
      <c r="BK106" s="915"/>
      <c r="BL106" s="915"/>
      <c r="BM106" s="258"/>
      <c r="BN106" s="258"/>
      <c r="BO106" s="258"/>
      <c r="BP106" s="258"/>
      <c r="BQ106" s="915" t="str">
        <f>IF(BQ38="","オ負け",IF(BQ38=BP66,CB48,BP66))</f>
        <v>オ負け</v>
      </c>
      <c r="BR106" s="915"/>
      <c r="BS106" s="915"/>
      <c r="BT106" s="915"/>
      <c r="BU106" s="915"/>
      <c r="BV106" s="915"/>
      <c r="BW106" s="915"/>
      <c r="BX106" s="915"/>
      <c r="BY106" s="915"/>
      <c r="BZ106" s="915"/>
      <c r="CD106" s="258"/>
      <c r="CE106" s="915" t="str">
        <f>IF(CS38="","カ負け",IF(CS38=CH48,CT66,CH48))</f>
        <v>カ負け</v>
      </c>
      <c r="CF106" s="915"/>
      <c r="CG106" s="915"/>
      <c r="CH106" s="915"/>
      <c r="CI106" s="915"/>
      <c r="CJ106" s="915"/>
      <c r="CK106" s="915"/>
      <c r="CL106" s="915"/>
      <c r="CM106" s="915"/>
      <c r="CN106" s="915"/>
      <c r="CO106" s="258"/>
      <c r="CP106" s="258"/>
      <c r="CQ106" s="258"/>
      <c r="CR106" s="258"/>
      <c r="CS106" s="915" t="str">
        <f>IF(CZ38="","キ負け",IF(CZ38=CZ66,DF66,CZ66))</f>
        <v>キ負け</v>
      </c>
      <c r="CT106" s="915"/>
      <c r="CU106" s="915"/>
      <c r="CV106" s="915"/>
      <c r="CW106" s="915"/>
      <c r="CX106" s="915"/>
      <c r="CY106" s="915"/>
      <c r="CZ106" s="915"/>
      <c r="DA106" s="915"/>
      <c r="DB106" s="915"/>
      <c r="DF106" s="258"/>
      <c r="DG106" s="915" t="str">
        <f>IF(DW38="","ク負け",IF(DW38=DL48,DX66,DL48))</f>
        <v>ク負け</v>
      </c>
      <c r="DH106" s="915"/>
      <c r="DI106" s="915"/>
      <c r="DJ106" s="915"/>
      <c r="DK106" s="915"/>
      <c r="DL106" s="915"/>
      <c r="DM106" s="915"/>
      <c r="DN106" s="915"/>
      <c r="DO106" s="915"/>
      <c r="DP106" s="915"/>
      <c r="DQ106" s="258"/>
      <c r="DR106" s="258"/>
      <c r="DS106" s="258"/>
      <c r="DT106" s="258"/>
      <c r="DU106" s="258"/>
      <c r="DV106" s="258"/>
      <c r="DW106" s="258"/>
      <c r="DX106" s="258"/>
      <c r="DY106" s="258"/>
      <c r="DZ106" s="258"/>
      <c r="EA106" s="258"/>
      <c r="EB106" s="258"/>
      <c r="EC106" s="258"/>
      <c r="ED106" s="258"/>
      <c r="EE106" s="258"/>
      <c r="EF106" s="258"/>
      <c r="EL106" s="270"/>
    </row>
    <row r="107" spans="2:162" x14ac:dyDescent="0.15">
      <c r="M107" s="915"/>
      <c r="N107" s="915"/>
      <c r="O107" s="915"/>
      <c r="P107" s="915"/>
      <c r="Q107" s="915"/>
      <c r="R107" s="915"/>
      <c r="S107" s="915"/>
      <c r="T107" s="915"/>
      <c r="U107" s="915"/>
      <c r="V107" s="915"/>
      <c r="AA107" s="915"/>
      <c r="AB107" s="915"/>
      <c r="AC107" s="915"/>
      <c r="AD107" s="915"/>
      <c r="AE107" s="915"/>
      <c r="AF107" s="915"/>
      <c r="AG107" s="915"/>
      <c r="AH107" s="915"/>
      <c r="AI107" s="915"/>
      <c r="AJ107" s="915"/>
      <c r="AO107" s="915"/>
      <c r="AP107" s="915"/>
      <c r="AQ107" s="915"/>
      <c r="AR107" s="915"/>
      <c r="AS107" s="915"/>
      <c r="AT107" s="915"/>
      <c r="AU107" s="915"/>
      <c r="AV107" s="915"/>
      <c r="AW107" s="915"/>
      <c r="AX107" s="915"/>
      <c r="BC107" s="915"/>
      <c r="BD107" s="915"/>
      <c r="BE107" s="915"/>
      <c r="BF107" s="915"/>
      <c r="BG107" s="915"/>
      <c r="BH107" s="915"/>
      <c r="BI107" s="915"/>
      <c r="BJ107" s="915"/>
      <c r="BK107" s="915"/>
      <c r="BL107" s="915"/>
      <c r="BQ107" s="915"/>
      <c r="BR107" s="915"/>
      <c r="BS107" s="915"/>
      <c r="BT107" s="915"/>
      <c r="BU107" s="915"/>
      <c r="BV107" s="915"/>
      <c r="BW107" s="915"/>
      <c r="BX107" s="915"/>
      <c r="BY107" s="915"/>
      <c r="BZ107" s="915"/>
      <c r="CE107" s="915"/>
      <c r="CF107" s="915"/>
      <c r="CG107" s="915"/>
      <c r="CH107" s="915"/>
      <c r="CI107" s="915"/>
      <c r="CJ107" s="915"/>
      <c r="CK107" s="915"/>
      <c r="CL107" s="915"/>
      <c r="CM107" s="915"/>
      <c r="CN107" s="915"/>
      <c r="CS107" s="915"/>
      <c r="CT107" s="915"/>
      <c r="CU107" s="915"/>
      <c r="CV107" s="915"/>
      <c r="CW107" s="915"/>
      <c r="CX107" s="915"/>
      <c r="CY107" s="915"/>
      <c r="CZ107" s="915"/>
      <c r="DA107" s="915"/>
      <c r="DB107" s="915"/>
      <c r="DG107" s="915"/>
      <c r="DH107" s="915"/>
      <c r="DI107" s="915"/>
      <c r="DJ107" s="915"/>
      <c r="DK107" s="915"/>
      <c r="DL107" s="915"/>
      <c r="DM107" s="915"/>
      <c r="DN107" s="915"/>
      <c r="DO107" s="915"/>
      <c r="DP107" s="915"/>
      <c r="EB107" s="475"/>
      <c r="EL107" s="270"/>
    </row>
    <row r="108" spans="2:162" x14ac:dyDescent="0.15">
      <c r="EB108" s="475"/>
      <c r="EL108" s="270"/>
    </row>
    <row r="110" spans="2:162" ht="13.5" customHeight="1" x14ac:dyDescent="0.15">
      <c r="F110" s="930" t="s">
        <v>721</v>
      </c>
      <c r="G110" s="930"/>
      <c r="H110" s="930"/>
      <c r="I110" s="930"/>
      <c r="J110" s="930"/>
      <c r="K110" s="930"/>
      <c r="L110" s="930"/>
      <c r="M110" s="930"/>
      <c r="N110" s="930"/>
      <c r="O110" s="930"/>
      <c r="P110" s="930"/>
      <c r="Q110" s="930"/>
      <c r="R110" s="930"/>
      <c r="S110" s="930"/>
      <c r="T110" s="930"/>
      <c r="U110" s="930"/>
      <c r="V110" s="930"/>
      <c r="W110" s="930"/>
      <c r="X110" s="930"/>
      <c r="Y110" s="930"/>
      <c r="Z110" s="930"/>
      <c r="AA110" s="930"/>
      <c r="AB110" s="930"/>
      <c r="AC110" s="930"/>
      <c r="AD110" s="930"/>
      <c r="AE110" s="930"/>
      <c r="AF110" s="930"/>
      <c r="AG110" s="930"/>
      <c r="AH110" s="930"/>
      <c r="AI110" s="930"/>
      <c r="AJ110" s="930"/>
      <c r="AK110" s="930"/>
      <c r="AL110" s="930"/>
      <c r="AM110" s="930"/>
      <c r="AN110" s="930"/>
      <c r="AO110" s="930"/>
      <c r="AP110" s="930"/>
      <c r="AQ110" s="930"/>
      <c r="AR110" s="930"/>
      <c r="AS110" s="930"/>
      <c r="AT110" s="930"/>
      <c r="AU110" s="930"/>
      <c r="AV110" s="930"/>
      <c r="AW110" s="930"/>
      <c r="AX110" s="930"/>
      <c r="AY110" s="930"/>
      <c r="AZ110" s="930"/>
      <c r="BA110" s="930"/>
      <c r="BB110" s="930"/>
      <c r="BC110" s="930"/>
      <c r="BD110" s="930"/>
      <c r="BE110" s="930"/>
      <c r="BF110" s="930"/>
      <c r="BG110" s="930"/>
      <c r="BH110" s="930"/>
      <c r="BI110" s="930"/>
      <c r="BJ110" s="930"/>
      <c r="BK110" s="930"/>
      <c r="BL110" s="930"/>
      <c r="BM110" s="930"/>
      <c r="BN110" s="930"/>
      <c r="BO110" s="930"/>
      <c r="BP110" s="930"/>
      <c r="BQ110" s="930"/>
      <c r="BR110" s="930"/>
      <c r="BS110" s="930"/>
      <c r="BT110" s="930"/>
      <c r="BU110" s="930"/>
      <c r="BV110" s="930"/>
      <c r="BW110" s="930"/>
      <c r="BX110" s="930"/>
      <c r="BY110" s="930"/>
      <c r="BZ110" s="930"/>
      <c r="CA110" s="930"/>
      <c r="CB110" s="930"/>
      <c r="CC110" s="930"/>
      <c r="CD110" s="930"/>
      <c r="CE110" s="930"/>
      <c r="CF110" s="930"/>
      <c r="CG110" s="930"/>
      <c r="CH110" s="930"/>
      <c r="CI110" s="930"/>
      <c r="CJ110" s="930"/>
      <c r="CK110" s="930"/>
      <c r="CL110" s="930"/>
      <c r="CM110" s="930"/>
      <c r="CN110" s="930"/>
      <c r="CO110" s="930"/>
      <c r="CP110" s="930"/>
      <c r="CQ110" s="930"/>
      <c r="CR110" s="930"/>
      <c r="CS110" s="930"/>
      <c r="CT110" s="930"/>
      <c r="CU110" s="930"/>
      <c r="CV110" s="930"/>
      <c r="CW110" s="930"/>
      <c r="CX110" s="930"/>
      <c r="CY110" s="930"/>
      <c r="CZ110" s="930"/>
      <c r="DA110" s="930"/>
      <c r="DB110" s="930"/>
      <c r="DC110" s="930"/>
      <c r="DD110" s="930"/>
      <c r="DE110" s="930"/>
      <c r="DF110" s="930"/>
      <c r="DG110" s="930"/>
      <c r="DH110" s="930"/>
      <c r="DI110" s="930"/>
      <c r="DJ110" s="930"/>
      <c r="DK110" s="930"/>
      <c r="DL110" s="930"/>
      <c r="DM110" s="930"/>
      <c r="DN110" s="930"/>
      <c r="DO110" s="930"/>
      <c r="DP110" s="930"/>
      <c r="DQ110" s="455"/>
      <c r="DR110" s="455"/>
      <c r="DS110" s="455"/>
      <c r="DT110" s="455"/>
      <c r="DU110" s="455"/>
      <c r="DV110" s="455"/>
      <c r="DW110" s="455"/>
      <c r="DX110" s="455"/>
      <c r="DY110" s="455"/>
      <c r="DZ110" s="455"/>
      <c r="EA110" s="455"/>
      <c r="EB110" s="455"/>
      <c r="EC110" s="455"/>
      <c r="ED110" s="455"/>
      <c r="EE110" s="455"/>
      <c r="EF110" s="455"/>
      <c r="EG110" s="455"/>
      <c r="EH110" s="455"/>
      <c r="EI110" s="455"/>
      <c r="EJ110" s="455"/>
      <c r="EK110" s="455"/>
      <c r="EL110" s="455"/>
      <c r="EM110" s="455"/>
      <c r="EN110" s="455"/>
      <c r="EO110" s="455"/>
      <c r="EP110" s="455"/>
      <c r="EQ110" s="455"/>
      <c r="ER110" s="455"/>
      <c r="ES110" s="455"/>
      <c r="ET110" s="455"/>
      <c r="EU110" s="455"/>
      <c r="EV110" s="455"/>
      <c r="EW110" s="455"/>
      <c r="EX110" s="455"/>
      <c r="EY110" s="455"/>
      <c r="EZ110" s="455"/>
      <c r="FA110" s="455"/>
      <c r="FB110" s="455"/>
      <c r="FC110" s="455"/>
      <c r="FD110" s="455"/>
      <c r="FE110" s="455"/>
      <c r="FF110" s="455"/>
    </row>
    <row r="111" spans="2:162" ht="13.5" customHeight="1" x14ac:dyDescent="0.15">
      <c r="F111" s="930"/>
      <c r="G111" s="930"/>
      <c r="H111" s="930"/>
      <c r="I111" s="930"/>
      <c r="J111" s="930"/>
      <c r="K111" s="930"/>
      <c r="L111" s="930"/>
      <c r="M111" s="930"/>
      <c r="N111" s="930"/>
      <c r="O111" s="930"/>
      <c r="P111" s="930"/>
      <c r="Q111" s="930"/>
      <c r="R111" s="930"/>
      <c r="S111" s="930"/>
      <c r="T111" s="930"/>
      <c r="U111" s="930"/>
      <c r="V111" s="930"/>
      <c r="W111" s="930"/>
      <c r="X111" s="930"/>
      <c r="Y111" s="930"/>
      <c r="Z111" s="930"/>
      <c r="AA111" s="930"/>
      <c r="AB111" s="930"/>
      <c r="AC111" s="930"/>
      <c r="AD111" s="930"/>
      <c r="AE111" s="930"/>
      <c r="AF111" s="930"/>
      <c r="AG111" s="930"/>
      <c r="AH111" s="930"/>
      <c r="AI111" s="930"/>
      <c r="AJ111" s="930"/>
      <c r="AK111" s="930"/>
      <c r="AL111" s="930"/>
      <c r="AM111" s="930"/>
      <c r="AN111" s="930"/>
      <c r="AO111" s="930"/>
      <c r="AP111" s="930"/>
      <c r="AQ111" s="930"/>
      <c r="AR111" s="930"/>
      <c r="AS111" s="930"/>
      <c r="AT111" s="930"/>
      <c r="AU111" s="930"/>
      <c r="AV111" s="930"/>
      <c r="AW111" s="930"/>
      <c r="AX111" s="930"/>
      <c r="AY111" s="930"/>
      <c r="AZ111" s="930"/>
      <c r="BA111" s="930"/>
      <c r="BB111" s="930"/>
      <c r="BC111" s="930"/>
      <c r="BD111" s="930"/>
      <c r="BE111" s="930"/>
      <c r="BF111" s="930"/>
      <c r="BG111" s="930"/>
      <c r="BH111" s="930"/>
      <c r="BI111" s="930"/>
      <c r="BJ111" s="930"/>
      <c r="BK111" s="930"/>
      <c r="BL111" s="930"/>
      <c r="BM111" s="930"/>
      <c r="BN111" s="930"/>
      <c r="BO111" s="930"/>
      <c r="BP111" s="930"/>
      <c r="BQ111" s="930"/>
      <c r="BR111" s="930"/>
      <c r="BS111" s="930"/>
      <c r="BT111" s="930"/>
      <c r="BU111" s="930"/>
      <c r="BV111" s="930"/>
      <c r="BW111" s="930"/>
      <c r="BX111" s="930"/>
      <c r="BY111" s="930"/>
      <c r="BZ111" s="930"/>
      <c r="CA111" s="930"/>
      <c r="CB111" s="930"/>
      <c r="CC111" s="930"/>
      <c r="CD111" s="930"/>
      <c r="CE111" s="930"/>
      <c r="CF111" s="930"/>
      <c r="CG111" s="930"/>
      <c r="CH111" s="930"/>
      <c r="CI111" s="930"/>
      <c r="CJ111" s="930"/>
      <c r="CK111" s="930"/>
      <c r="CL111" s="930"/>
      <c r="CM111" s="930"/>
      <c r="CN111" s="930"/>
      <c r="CO111" s="930"/>
      <c r="CP111" s="930"/>
      <c r="CQ111" s="930"/>
      <c r="CR111" s="930"/>
      <c r="CS111" s="930"/>
      <c r="CT111" s="930"/>
      <c r="CU111" s="930"/>
      <c r="CV111" s="930"/>
      <c r="CW111" s="930"/>
      <c r="CX111" s="930"/>
      <c r="CY111" s="930"/>
      <c r="CZ111" s="930"/>
      <c r="DA111" s="930"/>
      <c r="DB111" s="930"/>
      <c r="DC111" s="930"/>
      <c r="DD111" s="930"/>
      <c r="DE111" s="930"/>
      <c r="DF111" s="930"/>
      <c r="DG111" s="930"/>
      <c r="DH111" s="930"/>
      <c r="DI111" s="930"/>
      <c r="DJ111" s="930"/>
      <c r="DK111" s="930"/>
      <c r="DL111" s="930"/>
      <c r="DM111" s="930"/>
      <c r="DN111" s="930"/>
      <c r="DO111" s="930"/>
      <c r="DP111" s="930"/>
      <c r="DQ111" s="455"/>
      <c r="DR111" s="455"/>
      <c r="DS111" s="455"/>
      <c r="DT111" s="455"/>
      <c r="DU111" s="455"/>
      <c r="DV111" s="455"/>
      <c r="DW111" s="455"/>
      <c r="DX111" s="455"/>
      <c r="DY111" s="455"/>
      <c r="DZ111" s="455"/>
      <c r="EA111" s="455"/>
      <c r="EB111" s="455"/>
      <c r="EC111" s="455"/>
      <c r="ED111" s="455"/>
      <c r="EE111" s="455"/>
      <c r="EF111" s="455"/>
      <c r="EG111" s="455"/>
      <c r="EH111" s="455"/>
      <c r="EI111" s="455"/>
      <c r="EJ111" s="455"/>
      <c r="EK111" s="455"/>
      <c r="EL111" s="455"/>
      <c r="EM111" s="455"/>
      <c r="EN111" s="455"/>
      <c r="EO111" s="455"/>
      <c r="EP111" s="455"/>
      <c r="EQ111" s="455"/>
      <c r="ER111" s="455"/>
      <c r="ES111" s="455"/>
      <c r="ET111" s="455"/>
      <c r="EU111" s="455"/>
      <c r="EV111" s="455"/>
      <c r="EW111" s="455"/>
      <c r="EX111" s="455"/>
      <c r="EY111" s="455"/>
      <c r="EZ111" s="455"/>
      <c r="FA111" s="455"/>
      <c r="FB111" s="455"/>
      <c r="FC111" s="455"/>
      <c r="FD111" s="455"/>
      <c r="FE111" s="455"/>
      <c r="FF111" s="455"/>
    </row>
  </sheetData>
  <mergeCells count="636">
    <mergeCell ref="F110:DP111"/>
    <mergeCell ref="D3:J3"/>
    <mergeCell ref="L3:AO3"/>
    <mergeCell ref="AP3:BB3"/>
    <mergeCell ref="BE3:BM3"/>
    <mergeCell ref="BO3:CR3"/>
    <mergeCell ref="CS3:DE3"/>
    <mergeCell ref="L6:AO6"/>
    <mergeCell ref="AP6:BB6"/>
    <mergeCell ref="BO6:CR6"/>
    <mergeCell ref="CS6:DE6"/>
    <mergeCell ref="BO7:CR7"/>
    <mergeCell ref="CS7:DE7"/>
    <mergeCell ref="D4:J4"/>
    <mergeCell ref="L4:AO4"/>
    <mergeCell ref="AP4:BB4"/>
    <mergeCell ref="BO4:CR4"/>
    <mergeCell ref="CS4:DE4"/>
    <mergeCell ref="D5:J5"/>
    <mergeCell ref="L5:AO5"/>
    <mergeCell ref="AP5:BB5"/>
    <mergeCell ref="BO5:CR5"/>
    <mergeCell ref="CS5:DE5"/>
    <mergeCell ref="AL9:AS10"/>
    <mergeCell ref="AT9:CI10"/>
    <mergeCell ref="DA9:DN9"/>
    <mergeCell ref="BN11:BN15"/>
    <mergeCell ref="DF11:DS11"/>
    <mergeCell ref="BJ13:BM13"/>
    <mergeCell ref="BP13:BS13"/>
    <mergeCell ref="DH13:DK13"/>
    <mergeCell ref="DL13:DL15"/>
    <mergeCell ref="DN13:DQ13"/>
    <mergeCell ref="AC16:AF21"/>
    <mergeCell ref="AG16:AG27"/>
    <mergeCell ref="CV16:CV27"/>
    <mergeCell ref="BJ14:BM14"/>
    <mergeCell ref="BP14:BS14"/>
    <mergeCell ref="DH14:DK14"/>
    <mergeCell ref="DN14:DQ14"/>
    <mergeCell ref="DF15:DK15"/>
    <mergeCell ref="DM15:DS15"/>
    <mergeCell ref="DH18:DK18"/>
    <mergeCell ref="DL18:DM18"/>
    <mergeCell ref="DN18:DQ18"/>
    <mergeCell ref="DH19:DK19"/>
    <mergeCell ref="DL19:DM19"/>
    <mergeCell ref="CW16:CZ21"/>
    <mergeCell ref="DE16:DE22"/>
    <mergeCell ref="DH16:DK16"/>
    <mergeCell ref="DL16:DM16"/>
    <mergeCell ref="DN16:DQ16"/>
    <mergeCell ref="DH17:DK17"/>
    <mergeCell ref="DL17:DM17"/>
    <mergeCell ref="DN17:DQ17"/>
    <mergeCell ref="DN19:DQ19"/>
    <mergeCell ref="DA23:DJ23"/>
    <mergeCell ref="DO23:DX23"/>
    <mergeCell ref="DK20:DN20"/>
    <mergeCell ref="BJ21:BM21"/>
    <mergeCell ref="BN21:BO21"/>
    <mergeCell ref="BP21:BS21"/>
    <mergeCell ref="DH21:DK21"/>
    <mergeCell ref="DL21:DM21"/>
    <mergeCell ref="DN21:DQ21"/>
    <mergeCell ref="AH20:CU20"/>
    <mergeCell ref="DT16:DT22"/>
    <mergeCell ref="AH19:CU19"/>
    <mergeCell ref="AH18:CU18"/>
    <mergeCell ref="AH17:CU17"/>
    <mergeCell ref="AH16:CU16"/>
    <mergeCell ref="BM24:BP24"/>
    <mergeCell ref="W25:Z25"/>
    <mergeCell ref="AC25:AF25"/>
    <mergeCell ref="AI25:AL25"/>
    <mergeCell ref="CQ25:CT25"/>
    <mergeCell ref="CW25:CZ25"/>
    <mergeCell ref="BM22:BP22"/>
    <mergeCell ref="BJ23:BM23"/>
    <mergeCell ref="BN23:BO23"/>
    <mergeCell ref="BP23:BS23"/>
    <mergeCell ref="W26:Z26"/>
    <mergeCell ref="AC26:AF26"/>
    <mergeCell ref="AI26:AL26"/>
    <mergeCell ref="CQ26:CT26"/>
    <mergeCell ref="CW26:CZ26"/>
    <mergeCell ref="P27:AF27"/>
    <mergeCell ref="AH27:AV27"/>
    <mergeCell ref="CG27:CU27"/>
    <mergeCell ref="CW27:DM27"/>
    <mergeCell ref="CT34:CW34"/>
    <mergeCell ref="K35:N35"/>
    <mergeCell ref="Q35:T35"/>
    <mergeCell ref="AR35:AU35"/>
    <mergeCell ref="AX35:BA35"/>
    <mergeCell ref="CB35:CE35"/>
    <mergeCell ref="CH35:CK35"/>
    <mergeCell ref="AC33:AF33"/>
    <mergeCell ref="AG33:AH33"/>
    <mergeCell ref="AI33:AL33"/>
    <mergeCell ref="CQ33:CT33"/>
    <mergeCell ref="CU33:CV33"/>
    <mergeCell ref="CW33:CZ33"/>
    <mergeCell ref="AX28:BA33"/>
    <mergeCell ref="CB28:CE33"/>
    <mergeCell ref="CF28:CF37"/>
    <mergeCell ref="O28:O37"/>
    <mergeCell ref="AW28:AW37"/>
    <mergeCell ref="P32:AV32"/>
    <mergeCell ref="P31:AV31"/>
    <mergeCell ref="P30:AV30"/>
    <mergeCell ref="DI35:DL35"/>
    <mergeCell ref="DO35:DR35"/>
    <mergeCell ref="K36:N36"/>
    <mergeCell ref="Q36:T36"/>
    <mergeCell ref="AR36:AU36"/>
    <mergeCell ref="AX36:BA36"/>
    <mergeCell ref="CB36:CE36"/>
    <mergeCell ref="CH36:CK36"/>
    <mergeCell ref="DI36:DL36"/>
    <mergeCell ref="DO36:DR36"/>
    <mergeCell ref="DN28:DN37"/>
    <mergeCell ref="DO28:DR33"/>
    <mergeCell ref="DE37:DM37"/>
    <mergeCell ref="DO37:DU37"/>
    <mergeCell ref="BV37:CE37"/>
    <mergeCell ref="CG37:CQ37"/>
    <mergeCell ref="P29:AV29"/>
    <mergeCell ref="P28:AV28"/>
    <mergeCell ref="CG28:DM28"/>
    <mergeCell ref="CG29:DM29"/>
    <mergeCell ref="CG30:DM30"/>
    <mergeCell ref="CG31:DM31"/>
    <mergeCell ref="CG32:DM32"/>
    <mergeCell ref="AF34:AI34"/>
    <mergeCell ref="AX43:BA43"/>
    <mergeCell ref="AU44:AX44"/>
    <mergeCell ref="G38:G47"/>
    <mergeCell ref="Y38:Y47"/>
    <mergeCell ref="Z38:AC43"/>
    <mergeCell ref="AG38:AJ43"/>
    <mergeCell ref="H37:N37"/>
    <mergeCell ref="P37:X37"/>
    <mergeCell ref="AL37:AV37"/>
    <mergeCell ref="AX37:BG37"/>
    <mergeCell ref="H42:X42"/>
    <mergeCell ref="H41:X41"/>
    <mergeCell ref="H40:X40"/>
    <mergeCell ref="K43:N43"/>
    <mergeCell ref="O43:P43"/>
    <mergeCell ref="Q43:T43"/>
    <mergeCell ref="N44:Q44"/>
    <mergeCell ref="BC47:BG47"/>
    <mergeCell ref="D47:F47"/>
    <mergeCell ref="H47:L47"/>
    <mergeCell ref="V47:X47"/>
    <mergeCell ref="Z47:AA47"/>
    <mergeCell ref="AH47:AJ47"/>
    <mergeCell ref="AL47:AP47"/>
    <mergeCell ref="CE44:CH44"/>
    <mergeCell ref="DL44:DO44"/>
    <mergeCell ref="I45:L45"/>
    <mergeCell ref="T45:W45"/>
    <mergeCell ref="Z45:AC45"/>
    <mergeCell ref="AG45:AJ45"/>
    <mergeCell ref="AM45:AP45"/>
    <mergeCell ref="B44:F44"/>
    <mergeCell ref="DQ45:DT45"/>
    <mergeCell ref="DD38:DD47"/>
    <mergeCell ref="BQ38:BT43"/>
    <mergeCell ref="BU38:BU47"/>
    <mergeCell ref="CR38:CR47"/>
    <mergeCell ref="AK38:AK47"/>
    <mergeCell ref="BH38:BH47"/>
    <mergeCell ref="BI38:BL43"/>
    <mergeCell ref="BC45:BF45"/>
    <mergeCell ref="BI45:BL45"/>
    <mergeCell ref="AL42:BG42"/>
    <mergeCell ref="CB43:CE43"/>
    <mergeCell ref="CF43:CG43"/>
    <mergeCell ref="CH43:CK43"/>
    <mergeCell ref="DI43:DL43"/>
    <mergeCell ref="DM43:DN43"/>
    <mergeCell ref="BI47:BK47"/>
    <mergeCell ref="BQ46:BT46"/>
    <mergeCell ref="BW46:BZ46"/>
    <mergeCell ref="CM46:CP46"/>
    <mergeCell ref="CS46:CV46"/>
    <mergeCell ref="CZ46:DC46"/>
    <mergeCell ref="DF46:DI46"/>
    <mergeCell ref="DQ47:DU47"/>
    <mergeCell ref="DW45:DZ45"/>
    <mergeCell ref="C46:F46"/>
    <mergeCell ref="I46:L46"/>
    <mergeCell ref="T46:W46"/>
    <mergeCell ref="Z46:AC46"/>
    <mergeCell ref="AG46:AJ46"/>
    <mergeCell ref="AM46:AP46"/>
    <mergeCell ref="BC46:BF46"/>
    <mergeCell ref="BI46:BL46"/>
    <mergeCell ref="BQ45:BT45"/>
    <mergeCell ref="BW45:BZ45"/>
    <mergeCell ref="CM45:CP45"/>
    <mergeCell ref="CS45:CV45"/>
    <mergeCell ref="CZ45:DC45"/>
    <mergeCell ref="DF45:DI45"/>
    <mergeCell ref="DQ46:DT46"/>
    <mergeCell ref="DW46:DZ46"/>
    <mergeCell ref="DV38:DV47"/>
    <mergeCell ref="DW38:DZ43"/>
    <mergeCell ref="CS38:CV43"/>
    <mergeCell ref="CZ38:DC43"/>
    <mergeCell ref="DO43:DR43"/>
    <mergeCell ref="AR43:AU43"/>
    <mergeCell ref="AV43:AW43"/>
    <mergeCell ref="DW47:DY47"/>
    <mergeCell ref="DE47:DG47"/>
    <mergeCell ref="C48:C64"/>
    <mergeCell ref="M48:M57"/>
    <mergeCell ref="N48:Q53"/>
    <mergeCell ref="U48:U64"/>
    <mergeCell ref="BR47:BT47"/>
    <mergeCell ref="BV47:BZ47"/>
    <mergeCell ref="CM47:CQ47"/>
    <mergeCell ref="CS47:CU47"/>
    <mergeCell ref="DB47:DC47"/>
    <mergeCell ref="DB51:DG51"/>
    <mergeCell ref="DB50:DG50"/>
    <mergeCell ref="BL48:BL64"/>
    <mergeCell ref="BQ48:BQ64"/>
    <mergeCell ref="AQ48:AQ57"/>
    <mergeCell ref="AR48:AU53"/>
    <mergeCell ref="AX48:BA53"/>
    <mergeCell ref="BB48:BB57"/>
    <mergeCell ref="AH53:AP53"/>
    <mergeCell ref="F54:I54"/>
    <mergeCell ref="W54:Z54"/>
    <mergeCell ref="BF54:BI54"/>
    <mergeCell ref="BT54:BW54"/>
    <mergeCell ref="DZ48:DZ64"/>
    <mergeCell ref="DH48:DH64"/>
    <mergeCell ref="DL48:DO53"/>
    <mergeCell ref="DP48:DP57"/>
    <mergeCell ref="CV48:CV64"/>
    <mergeCell ref="DA48:DA64"/>
    <mergeCell ref="CA48:CA57"/>
    <mergeCell ref="CB48:CE53"/>
    <mergeCell ref="CH48:CK53"/>
    <mergeCell ref="CL48:CL57"/>
    <mergeCell ref="DN63:DO63"/>
    <mergeCell ref="DP63:DQ63"/>
    <mergeCell ref="DR63:DS63"/>
    <mergeCell ref="DQ48:DY48"/>
    <mergeCell ref="DQ49:DY49"/>
    <mergeCell ref="DQ50:DY50"/>
    <mergeCell ref="DQ51:DY51"/>
    <mergeCell ref="DQ53:DY53"/>
    <mergeCell ref="DB48:DG48"/>
    <mergeCell ref="CP54:CS54"/>
    <mergeCell ref="DC54:DF54"/>
    <mergeCell ref="DT54:DW54"/>
    <mergeCell ref="CH56:CK56"/>
    <mergeCell ref="DN58:DS58"/>
    <mergeCell ref="BV55:BY55"/>
    <mergeCell ref="CB55:CE55"/>
    <mergeCell ref="CH55:CK55"/>
    <mergeCell ref="CN55:CQ55"/>
    <mergeCell ref="DL55:DO55"/>
    <mergeCell ref="DR55:DU55"/>
    <mergeCell ref="H55:K55"/>
    <mergeCell ref="N55:Q55"/>
    <mergeCell ref="AL55:AO55"/>
    <mergeCell ref="AR55:AU55"/>
    <mergeCell ref="AX55:BA55"/>
    <mergeCell ref="BD55:BG55"/>
    <mergeCell ref="AB48:AB64"/>
    <mergeCell ref="AG48:AG64"/>
    <mergeCell ref="X58:Y58"/>
    <mergeCell ref="Z58:AA58"/>
    <mergeCell ref="J57:L57"/>
    <mergeCell ref="N57:O57"/>
    <mergeCell ref="AN57:AP57"/>
    <mergeCell ref="AR57:AS57"/>
    <mergeCell ref="DB49:DG49"/>
    <mergeCell ref="DB53:DG53"/>
    <mergeCell ref="BV56:BY56"/>
    <mergeCell ref="CB56:CE56"/>
    <mergeCell ref="BX57:BZ57"/>
    <mergeCell ref="CB57:CC57"/>
    <mergeCell ref="CJ57:CK57"/>
    <mergeCell ref="Z63:AA63"/>
    <mergeCell ref="AN63:AO63"/>
    <mergeCell ref="AP63:AQ63"/>
    <mergeCell ref="AM58:AM64"/>
    <mergeCell ref="AT58:AT64"/>
    <mergeCell ref="DF61:DG61"/>
    <mergeCell ref="BF58:BF64"/>
    <mergeCell ref="BW58:BW64"/>
    <mergeCell ref="AY58:AY64"/>
    <mergeCell ref="CJ59:CO59"/>
    <mergeCell ref="CJ61:CO61"/>
    <mergeCell ref="CJ62:CO62"/>
    <mergeCell ref="DC62:DF62"/>
    <mergeCell ref="BA64:BD64"/>
    <mergeCell ref="BY64:CB64"/>
    <mergeCell ref="CK64:CN64"/>
    <mergeCell ref="CB63:CC63"/>
    <mergeCell ref="CJ63:CK63"/>
    <mergeCell ref="CL63:CM63"/>
    <mergeCell ref="CN63:CO63"/>
    <mergeCell ref="AR63:AS63"/>
    <mergeCell ref="AL56:AO56"/>
    <mergeCell ref="AR56:AU56"/>
    <mergeCell ref="AX56:BA56"/>
    <mergeCell ref="BD56:BG56"/>
    <mergeCell ref="W62:Z62"/>
    <mergeCell ref="AZ57:BA57"/>
    <mergeCell ref="BC57:BE57"/>
    <mergeCell ref="AZ59:BE59"/>
    <mergeCell ref="AZ61:BE61"/>
    <mergeCell ref="AZ62:BE62"/>
    <mergeCell ref="AZ58:BE58"/>
    <mergeCell ref="B65:E65"/>
    <mergeCell ref="H65:K65"/>
    <mergeCell ref="N65:Q65"/>
    <mergeCell ref="T65:W65"/>
    <mergeCell ref="Z65:AC65"/>
    <mergeCell ref="AF65:AI65"/>
    <mergeCell ref="AL65:AO65"/>
    <mergeCell ref="AR65:AU65"/>
    <mergeCell ref="I58:I64"/>
    <mergeCell ref="P58:P64"/>
    <mergeCell ref="V58:W58"/>
    <mergeCell ref="J63:K63"/>
    <mergeCell ref="L63:M63"/>
    <mergeCell ref="V63:W63"/>
    <mergeCell ref="X63:Y63"/>
    <mergeCell ref="AN61:AS61"/>
    <mergeCell ref="AN62:AS62"/>
    <mergeCell ref="AN59:AS59"/>
    <mergeCell ref="AN58:AS58"/>
    <mergeCell ref="K64:N64"/>
    <mergeCell ref="W64:Z64"/>
    <mergeCell ref="AO64:AR64"/>
    <mergeCell ref="N63:O63"/>
    <mergeCell ref="CB65:CE65"/>
    <mergeCell ref="DC64:DF64"/>
    <mergeCell ref="BX58:CC58"/>
    <mergeCell ref="CD58:CD64"/>
    <mergeCell ref="CI58:CI64"/>
    <mergeCell ref="DF63:DG63"/>
    <mergeCell ref="DB63:DC63"/>
    <mergeCell ref="DD63:DE63"/>
    <mergeCell ref="DB61:DC61"/>
    <mergeCell ref="DD61:DE61"/>
    <mergeCell ref="BX59:CC59"/>
    <mergeCell ref="BX61:CC61"/>
    <mergeCell ref="BX62:CC62"/>
    <mergeCell ref="CJ58:CO58"/>
    <mergeCell ref="AZ63:BA63"/>
    <mergeCell ref="BB63:BC63"/>
    <mergeCell ref="BD63:BE63"/>
    <mergeCell ref="BX63:BY63"/>
    <mergeCell ref="BZ63:CA63"/>
    <mergeCell ref="DT58:DT64"/>
    <mergeCell ref="CP58:CP64"/>
    <mergeCell ref="DB58:DC58"/>
    <mergeCell ref="DD58:DE58"/>
    <mergeCell ref="DF58:DG58"/>
    <mergeCell ref="DM58:DM64"/>
    <mergeCell ref="DB59:DC59"/>
    <mergeCell ref="DD59:DE59"/>
    <mergeCell ref="DF59:DG59"/>
    <mergeCell ref="DN62:DS62"/>
    <mergeCell ref="DO64:DR64"/>
    <mergeCell ref="DN59:DS59"/>
    <mergeCell ref="DN61:DS61"/>
    <mergeCell ref="DX65:EA65"/>
    <mergeCell ref="B66:E66"/>
    <mergeCell ref="H66:K66"/>
    <mergeCell ref="N66:Q66"/>
    <mergeCell ref="T66:W66"/>
    <mergeCell ref="Z66:AC66"/>
    <mergeCell ref="AF66:AI66"/>
    <mergeCell ref="AL66:AO66"/>
    <mergeCell ref="AR66:AU66"/>
    <mergeCell ref="CH65:CK65"/>
    <mergeCell ref="CN65:CQ65"/>
    <mergeCell ref="CT65:CW65"/>
    <mergeCell ref="CZ65:DC65"/>
    <mergeCell ref="DF65:DI65"/>
    <mergeCell ref="DL65:DO65"/>
    <mergeCell ref="AX65:BA65"/>
    <mergeCell ref="BD65:BG65"/>
    <mergeCell ref="BJ65:BM65"/>
    <mergeCell ref="BP65:BS65"/>
    <mergeCell ref="BV65:BY65"/>
    <mergeCell ref="BP66:BS66"/>
    <mergeCell ref="BV66:BY66"/>
    <mergeCell ref="CB66:CE66"/>
    <mergeCell ref="DR65:DU65"/>
    <mergeCell ref="AM75:BM75"/>
    <mergeCell ref="BO75:CP75"/>
    <mergeCell ref="AH76:AK81"/>
    <mergeCell ref="AL76:AL87"/>
    <mergeCell ref="BJ81:BM81"/>
    <mergeCell ref="DR66:DU66"/>
    <mergeCell ref="DX66:EA66"/>
    <mergeCell ref="W69:AL69"/>
    <mergeCell ref="AT69:AW70"/>
    <mergeCell ref="BH69:BU70"/>
    <mergeCell ref="BN71:BN75"/>
    <mergeCell ref="BJ73:BM73"/>
    <mergeCell ref="BP73:BS73"/>
    <mergeCell ref="BJ74:BM74"/>
    <mergeCell ref="BP74:BS74"/>
    <mergeCell ref="CH66:CK66"/>
    <mergeCell ref="CN66:CQ66"/>
    <mergeCell ref="CT66:CW66"/>
    <mergeCell ref="CZ66:DC66"/>
    <mergeCell ref="DF66:DI66"/>
    <mergeCell ref="DL66:DO66"/>
    <mergeCell ref="AX66:BA66"/>
    <mergeCell ref="BD66:BG66"/>
    <mergeCell ref="BJ66:BM66"/>
    <mergeCell ref="CL86:CO86"/>
    <mergeCell ref="CR86:CU86"/>
    <mergeCell ref="BN81:BO81"/>
    <mergeCell ref="BP81:BS81"/>
    <mergeCell ref="BM82:BP82"/>
    <mergeCell ref="BJ83:BM83"/>
    <mergeCell ref="BN83:BO83"/>
    <mergeCell ref="BP83:BS83"/>
    <mergeCell ref="CQ76:CQ87"/>
    <mergeCell ref="CR76:CU81"/>
    <mergeCell ref="CR85:CU85"/>
    <mergeCell ref="AM76:CP76"/>
    <mergeCell ref="CL85:CO85"/>
    <mergeCell ref="CP93:CQ93"/>
    <mergeCell ref="CR93:CU93"/>
    <mergeCell ref="Y92:AZ92"/>
    <mergeCell ref="CC92:DD92"/>
    <mergeCell ref="DE88:DE97"/>
    <mergeCell ref="DF88:DI93"/>
    <mergeCell ref="BB88:BE93"/>
    <mergeCell ref="BX88:CA93"/>
    <mergeCell ref="CB88:CB97"/>
    <mergeCell ref="BA88:BA97"/>
    <mergeCell ref="AN94:AQ94"/>
    <mergeCell ref="CL94:CO94"/>
    <mergeCell ref="CL93:CO93"/>
    <mergeCell ref="CZ95:DC95"/>
    <mergeCell ref="DF95:DI95"/>
    <mergeCell ref="CZ96:DC96"/>
    <mergeCell ref="DF96:DI96"/>
    <mergeCell ref="CX97:DD97"/>
    <mergeCell ref="DF97:DK97"/>
    <mergeCell ref="T95:W95"/>
    <mergeCell ref="Z95:AC95"/>
    <mergeCell ref="AV95:AY95"/>
    <mergeCell ref="BB95:BE95"/>
    <mergeCell ref="BX95:CA95"/>
    <mergeCell ref="CD95:CG95"/>
    <mergeCell ref="AH93:AK93"/>
    <mergeCell ref="AL93:AM93"/>
    <mergeCell ref="AN93:AQ93"/>
    <mergeCell ref="T88:W93"/>
    <mergeCell ref="X88:X97"/>
    <mergeCell ref="T96:W96"/>
    <mergeCell ref="Z96:AC96"/>
    <mergeCell ref="AV96:AY96"/>
    <mergeCell ref="BB96:BE96"/>
    <mergeCell ref="BX96:CA96"/>
    <mergeCell ref="CD96:CG96"/>
    <mergeCell ref="BV97:CA97"/>
    <mergeCell ref="CC97:CI97"/>
    <mergeCell ref="R97:W97"/>
    <mergeCell ref="Y97:AE97"/>
    <mergeCell ref="AT97:AZ97"/>
    <mergeCell ref="BB97:BG97"/>
    <mergeCell ref="M105:P105"/>
    <mergeCell ref="S105:U105"/>
    <mergeCell ref="AC105:AD105"/>
    <mergeCell ref="AG105:AK105"/>
    <mergeCell ref="AO105:AR105"/>
    <mergeCell ref="T103:W103"/>
    <mergeCell ref="X103:Y103"/>
    <mergeCell ref="Z103:AC103"/>
    <mergeCell ref="AV103:AY103"/>
    <mergeCell ref="AF98:AF105"/>
    <mergeCell ref="AG98:AK103"/>
    <mergeCell ref="AO98:AR103"/>
    <mergeCell ref="AT101:BG101"/>
    <mergeCell ref="AT102:BG102"/>
    <mergeCell ref="AT100:BG100"/>
    <mergeCell ref="AT99:BG99"/>
    <mergeCell ref="AZ103:BA103"/>
    <mergeCell ref="BB103:BE103"/>
    <mergeCell ref="AY104:BB104"/>
    <mergeCell ref="R102:AE102"/>
    <mergeCell ref="R101:AE101"/>
    <mergeCell ref="R100:AE100"/>
    <mergeCell ref="R99:AE99"/>
    <mergeCell ref="R98:AE98"/>
    <mergeCell ref="DM98:DP103"/>
    <mergeCell ref="CK98:CN103"/>
    <mergeCell ref="CR98:CV103"/>
    <mergeCell ref="CW98:CW105"/>
    <mergeCell ref="BQ98:BT103"/>
    <mergeCell ref="BU98:BU105"/>
    <mergeCell ref="CJ98:CJ105"/>
    <mergeCell ref="BH98:BH105"/>
    <mergeCell ref="BI98:BL103"/>
    <mergeCell ref="CA104:CD104"/>
    <mergeCell ref="DC104:DF104"/>
    <mergeCell ref="BI105:BL105"/>
    <mergeCell ref="BX103:CA103"/>
    <mergeCell ref="CB103:CC103"/>
    <mergeCell ref="CD103:CG103"/>
    <mergeCell ref="CZ103:DC103"/>
    <mergeCell ref="DD103:DE103"/>
    <mergeCell ref="DF103:DI103"/>
    <mergeCell ref="BV98:CI98"/>
    <mergeCell ref="BV99:CI99"/>
    <mergeCell ref="BV100:CI100"/>
    <mergeCell ref="BV101:CI101"/>
    <mergeCell ref="BV102:CI102"/>
    <mergeCell ref="CX98:DK98"/>
    <mergeCell ref="CS106:DB107"/>
    <mergeCell ref="DG106:DP107"/>
    <mergeCell ref="D53:L53"/>
    <mergeCell ref="D51:L51"/>
    <mergeCell ref="D50:L50"/>
    <mergeCell ref="D49:L49"/>
    <mergeCell ref="J59:O59"/>
    <mergeCell ref="J61:O61"/>
    <mergeCell ref="J62:O62"/>
    <mergeCell ref="M106:V107"/>
    <mergeCell ref="AA106:AJ107"/>
    <mergeCell ref="AO106:AX107"/>
    <mergeCell ref="BC106:BL107"/>
    <mergeCell ref="BQ106:BZ107"/>
    <mergeCell ref="CE106:CN107"/>
    <mergeCell ref="BQ105:BT105"/>
    <mergeCell ref="CK105:CN105"/>
    <mergeCell ref="CR105:CV105"/>
    <mergeCell ref="CY105:CZ105"/>
    <mergeCell ref="DH105:DJ105"/>
    <mergeCell ref="DM105:DP105"/>
    <mergeCell ref="W104:Z104"/>
    <mergeCell ref="DL98:DL105"/>
    <mergeCell ref="J58:O58"/>
    <mergeCell ref="D48:L48"/>
    <mergeCell ref="V53:AA53"/>
    <mergeCell ref="V51:AA51"/>
    <mergeCell ref="V50:AA50"/>
    <mergeCell ref="V49:AA49"/>
    <mergeCell ref="V48:AA48"/>
    <mergeCell ref="V61:W61"/>
    <mergeCell ref="X61:Y61"/>
    <mergeCell ref="Z61:AA61"/>
    <mergeCell ref="V59:W59"/>
    <mergeCell ref="X59:Y59"/>
    <mergeCell ref="Z59:AA59"/>
    <mergeCell ref="H56:K56"/>
    <mergeCell ref="N56:Q56"/>
    <mergeCell ref="AJ54:AM54"/>
    <mergeCell ref="AS98:AS105"/>
    <mergeCell ref="Q98:Q105"/>
    <mergeCell ref="DN57:DO57"/>
    <mergeCell ref="DQ57:DS57"/>
    <mergeCell ref="CN56:CQ56"/>
    <mergeCell ref="DL56:DO56"/>
    <mergeCell ref="DR56:DU56"/>
    <mergeCell ref="BV39:CQ39"/>
    <mergeCell ref="DE42:DU42"/>
    <mergeCell ref="BV42:CQ42"/>
    <mergeCell ref="BR48:BZ48"/>
    <mergeCell ref="AH86:AK86"/>
    <mergeCell ref="AN86:AQ86"/>
    <mergeCell ref="CM57:CO57"/>
    <mergeCell ref="BR51:BZ51"/>
    <mergeCell ref="BR53:BZ53"/>
    <mergeCell ref="CM48:CU48"/>
    <mergeCell ref="CM49:CU49"/>
    <mergeCell ref="CM50:CU50"/>
    <mergeCell ref="CM51:CU51"/>
    <mergeCell ref="CM53:CU53"/>
    <mergeCell ref="BR49:BZ49"/>
    <mergeCell ref="BR50:BZ50"/>
    <mergeCell ref="BV38:CQ38"/>
    <mergeCell ref="H39:X39"/>
    <mergeCell ref="H38:X38"/>
    <mergeCell ref="DE38:DU38"/>
    <mergeCell ref="DE39:DU39"/>
    <mergeCell ref="DE40:DU40"/>
    <mergeCell ref="DE41:DU41"/>
    <mergeCell ref="AL38:BG38"/>
    <mergeCell ref="AL39:BG39"/>
    <mergeCell ref="AL40:BG40"/>
    <mergeCell ref="AL41:BG41"/>
    <mergeCell ref="BV41:CQ41"/>
    <mergeCell ref="BV40:CQ40"/>
    <mergeCell ref="BC48:BK48"/>
    <mergeCell ref="BC49:BK49"/>
    <mergeCell ref="BC50:BK50"/>
    <mergeCell ref="BC51:BK51"/>
    <mergeCell ref="BC53:BK53"/>
    <mergeCell ref="AH48:AP48"/>
    <mergeCell ref="AH49:AP49"/>
    <mergeCell ref="AH50:AP50"/>
    <mergeCell ref="AH51:AP51"/>
    <mergeCell ref="CX99:DK99"/>
    <mergeCell ref="CX100:DK100"/>
    <mergeCell ref="CX101:DK101"/>
    <mergeCell ref="CX102:DK102"/>
    <mergeCell ref="AM80:CP80"/>
    <mergeCell ref="AM79:CP79"/>
    <mergeCell ref="AM78:CP78"/>
    <mergeCell ref="AM77:CP77"/>
    <mergeCell ref="Y91:AZ91"/>
    <mergeCell ref="Y90:AZ90"/>
    <mergeCell ref="Y89:AZ89"/>
    <mergeCell ref="Y88:AZ88"/>
    <mergeCell ref="CC88:DD88"/>
    <mergeCell ref="CC89:DD89"/>
    <mergeCell ref="CC90:DD90"/>
    <mergeCell ref="CC91:DD91"/>
    <mergeCell ref="Y87:AK87"/>
    <mergeCell ref="AM87:AZ87"/>
    <mergeCell ref="CC87:CP87"/>
    <mergeCell ref="CR87:DD87"/>
    <mergeCell ref="BM84:BP84"/>
    <mergeCell ref="AH85:AK85"/>
    <mergeCell ref="AN85:AQ85"/>
    <mergeCell ref="AT98:BG98"/>
  </mergeCells>
  <phoneticPr fontId="2"/>
  <conditionalFormatting sqref="C48:C64">
    <cfRule type="expression" dxfId="459" priority="138" stopIfTrue="1">
      <formula>$C$46&lt;=$I$46</formula>
    </cfRule>
  </conditionalFormatting>
  <conditionalFormatting sqref="D47:F47">
    <cfRule type="expression" dxfId="458" priority="109" stopIfTrue="1">
      <formula>$C$46&lt;=$I$46</formula>
    </cfRule>
  </conditionalFormatting>
  <conditionalFormatting sqref="G38:G47">
    <cfRule type="expression" dxfId="457" priority="92" stopIfTrue="1">
      <formula>$C$46&lt;$I$46</formula>
    </cfRule>
    <cfRule type="expression" dxfId="456" priority="91" stopIfTrue="1">
      <formula>$C$46=$I$46</formula>
    </cfRule>
  </conditionalFormatting>
  <conditionalFormatting sqref="H37 P37">
    <cfRule type="expression" dxfId="455" priority="155" stopIfTrue="1">
      <formula>$N$36&lt;=#REF!</formula>
    </cfRule>
  </conditionalFormatting>
  <conditionalFormatting sqref="H47:L47">
    <cfRule type="expression" dxfId="454" priority="98" stopIfTrue="1">
      <formula>$I$46&lt;=$C$46</formula>
    </cfRule>
  </conditionalFormatting>
  <conditionalFormatting sqref="H37:N37">
    <cfRule type="expression" dxfId="453" priority="52">
      <formula>$K$36&lt;=$Q$36</formula>
    </cfRule>
  </conditionalFormatting>
  <conditionalFormatting sqref="I58:I64">
    <cfRule type="expression" dxfId="452" priority="137" stopIfTrue="1">
      <formula>$H$56&lt;=$N$56</formula>
    </cfRule>
  </conditionalFormatting>
  <conditionalFormatting sqref="J57:L57">
    <cfRule type="expression" dxfId="451" priority="113" stopIfTrue="1">
      <formula>$H$56&lt;=$N$56</formula>
    </cfRule>
  </conditionalFormatting>
  <conditionalFormatting sqref="L3:L8 AP3:AP8 BO3:CP8 CS3:DE8 AQ6:BB8">
    <cfRule type="expression" dxfId="450" priority="139" stopIfTrue="1">
      <formula>#REF!=""</formula>
    </cfRule>
  </conditionalFormatting>
  <conditionalFormatting sqref="M48:M57">
    <cfRule type="expression" dxfId="449" priority="429" stopIfTrue="1">
      <formula>$N$56=$H$56</formula>
    </cfRule>
    <cfRule type="expression" dxfId="448" priority="430" stopIfTrue="1">
      <formula>$N$56&lt;$H$56</formula>
    </cfRule>
  </conditionalFormatting>
  <conditionalFormatting sqref="N57:O57">
    <cfRule type="expression" dxfId="447" priority="103" stopIfTrue="1">
      <formula>$N$56&lt;=$H$56</formula>
    </cfRule>
  </conditionalFormatting>
  <conditionalFormatting sqref="O28:O37">
    <cfRule type="expression" dxfId="446" priority="54">
      <formula>$K$36=$Q$36</formula>
    </cfRule>
    <cfRule type="expression" dxfId="445" priority="53">
      <formula>$K$36&lt;$Q$36</formula>
    </cfRule>
  </conditionalFormatting>
  <conditionalFormatting sqref="P58:P64">
    <cfRule type="expression" dxfId="444" priority="132" stopIfTrue="1">
      <formula>$N$56&lt;=$H$56</formula>
    </cfRule>
  </conditionalFormatting>
  <conditionalFormatting sqref="P37:X37">
    <cfRule type="expression" dxfId="443" priority="51">
      <formula>$Q$36&lt;=$K$36</formula>
    </cfRule>
  </conditionalFormatting>
  <conditionalFormatting sqref="P27:AF27">
    <cfRule type="expression" dxfId="442" priority="39">
      <formula>$AC$26&lt;=$AI$26</formula>
    </cfRule>
  </conditionalFormatting>
  <conditionalFormatting sqref="Q98:Q105">
    <cfRule type="expression" dxfId="441" priority="36" stopIfTrue="1">
      <formula>$T$96&lt;=$Z$96</formula>
    </cfRule>
  </conditionalFormatting>
  <conditionalFormatting sqref="R97:W97">
    <cfRule type="expression" dxfId="440" priority="28">
      <formula>$T$96&lt;=$Z$96</formula>
    </cfRule>
  </conditionalFormatting>
  <conditionalFormatting sqref="U48:U64">
    <cfRule type="expression" dxfId="439" priority="56" stopIfTrue="1">
      <formula>$T$46&lt;=$Z$46</formula>
    </cfRule>
  </conditionalFormatting>
  <conditionalFormatting sqref="V47:X47">
    <cfRule type="expression" dxfId="438" priority="97" stopIfTrue="1">
      <formula>$T$46&lt;=$Z$46</formula>
    </cfRule>
  </conditionalFormatting>
  <conditionalFormatting sqref="X88:X97">
    <cfRule type="expression" dxfId="437" priority="7">
      <formula>$T$96&lt;$Z$96</formula>
    </cfRule>
    <cfRule type="expression" dxfId="436" priority="8">
      <formula>$T$96=$Z$96</formula>
    </cfRule>
  </conditionalFormatting>
  <conditionalFormatting sqref="Y38:Y47">
    <cfRule type="expression" dxfId="435" priority="49">
      <formula>$Z$46&lt;$T$46</formula>
    </cfRule>
    <cfRule type="expression" dxfId="434" priority="50">
      <formula>$T$46=$Z$46</formula>
    </cfRule>
  </conditionalFormatting>
  <conditionalFormatting sqref="Y97:AE97">
    <cfRule type="expression" dxfId="433" priority="27">
      <formula>$Z$96&lt;=$T$96</formula>
    </cfRule>
  </conditionalFormatting>
  <conditionalFormatting sqref="Y87:AK87">
    <cfRule type="expression" dxfId="432" priority="20">
      <formula>$AH$86&lt;=$AN$86</formula>
    </cfRule>
  </conditionalFormatting>
  <conditionalFormatting sqref="Z47:AA47">
    <cfRule type="expression" dxfId="431" priority="48">
      <formula>$Z$46&lt;=$T$46</formula>
    </cfRule>
  </conditionalFormatting>
  <conditionalFormatting sqref="AB48:AB64">
    <cfRule type="expression" dxfId="430" priority="55" stopIfTrue="1">
      <formula>$Z$46&lt;=$T$46</formula>
    </cfRule>
  </conditionalFormatting>
  <conditionalFormatting sqref="AF98:AF105">
    <cfRule type="expression" dxfId="429" priority="35">
      <formula>$Z$96&lt;=$T$96</formula>
    </cfRule>
  </conditionalFormatting>
  <conditionalFormatting sqref="AG16:AG27">
    <cfRule type="expression" dxfId="428" priority="37">
      <formula>$AC$26&lt;$AI$26</formula>
    </cfRule>
    <cfRule type="expression" dxfId="427" priority="38">
      <formula>$AC$26=$AI$26</formula>
    </cfRule>
  </conditionalFormatting>
  <conditionalFormatting sqref="AG48:AG64">
    <cfRule type="expression" dxfId="426" priority="127" stopIfTrue="1">
      <formula>$AG$46&lt;=$AM$46</formula>
    </cfRule>
  </conditionalFormatting>
  <conditionalFormatting sqref="AH47:AJ47">
    <cfRule type="expression" dxfId="425" priority="108" stopIfTrue="1">
      <formula>$AG$46&lt;=$AM$46</formula>
    </cfRule>
  </conditionalFormatting>
  <conditionalFormatting sqref="AH27:AV27">
    <cfRule type="expression" dxfId="424" priority="72" stopIfTrue="1">
      <formula>$AI$26&lt;=$AC$26</formula>
    </cfRule>
  </conditionalFormatting>
  <conditionalFormatting sqref="AH15:BM15">
    <cfRule type="expression" dxfId="423" priority="140" stopIfTrue="1">
      <formula>$BJ$14&lt;=$BP$14</formula>
    </cfRule>
  </conditionalFormatting>
  <conditionalFormatting sqref="AK38:AK47">
    <cfRule type="expression" dxfId="422" priority="90" stopIfTrue="1">
      <formula>$AG$46&lt;$AM$46</formula>
    </cfRule>
    <cfRule type="expression" dxfId="421" priority="89" stopIfTrue="1">
      <formula>$AG$46=$AM$46</formula>
    </cfRule>
  </conditionalFormatting>
  <conditionalFormatting sqref="AL76:AL87">
    <cfRule type="expression" dxfId="420" priority="11">
      <formula>$AH$86&lt;$AN$86</formula>
    </cfRule>
    <cfRule type="expression" dxfId="419" priority="12">
      <formula>$AH$86=$AN$86</formula>
    </cfRule>
  </conditionalFormatting>
  <conditionalFormatting sqref="AL47:AP47">
    <cfRule type="expression" dxfId="418" priority="96" stopIfTrue="1">
      <formula>$AM$46&lt;=$AG$46</formula>
    </cfRule>
  </conditionalFormatting>
  <conditionalFormatting sqref="AL37:AV37">
    <cfRule type="expression" dxfId="417" priority="78" stopIfTrue="1">
      <formula>$AR$36&lt;=$AX$36</formula>
    </cfRule>
  </conditionalFormatting>
  <conditionalFormatting sqref="AM58:AM64">
    <cfRule type="expression" dxfId="416" priority="136" stopIfTrue="1">
      <formula>$AL$56&lt;=$AR$56</formula>
    </cfRule>
  </conditionalFormatting>
  <conditionalFormatting sqref="AM87:AZ87">
    <cfRule type="expression" dxfId="415" priority="19">
      <formula>$AN$86&lt;=$AH$86</formula>
    </cfRule>
  </conditionalFormatting>
  <conditionalFormatting sqref="AM75:BM75">
    <cfRule type="expression" dxfId="414" priority="16">
      <formula>$BJ$74&lt;=$BP$74</formula>
    </cfRule>
  </conditionalFormatting>
  <conditionalFormatting sqref="AN57:AP57">
    <cfRule type="expression" dxfId="413" priority="112" stopIfTrue="1">
      <formula>$AL$56&lt;=$AR$56</formula>
    </cfRule>
  </conditionalFormatting>
  <conditionalFormatting sqref="AQ48:AQ57">
    <cfRule type="expression" dxfId="412" priority="439" stopIfTrue="1">
      <formula>$AR$56=$AL$56</formula>
    </cfRule>
    <cfRule type="expression" dxfId="411" priority="440" stopIfTrue="1">
      <formula>$AR$56&lt;$AL$56</formula>
    </cfRule>
  </conditionalFormatting>
  <conditionalFormatting sqref="AR57:AS57">
    <cfRule type="expression" dxfId="410" priority="102" stopIfTrue="1">
      <formula>$AR$56&lt;=$AL$56</formula>
    </cfRule>
  </conditionalFormatting>
  <conditionalFormatting sqref="AS98:AS105">
    <cfRule type="expression" dxfId="409" priority="34">
      <formula>$AV$96&lt;=$BB$96</formula>
    </cfRule>
  </conditionalFormatting>
  <conditionalFormatting sqref="AT58:AT64">
    <cfRule type="expression" dxfId="408" priority="131" stopIfTrue="1">
      <formula>$AR$56&lt;=$AL$56</formula>
    </cfRule>
  </conditionalFormatting>
  <conditionalFormatting sqref="AT97:AZ97">
    <cfRule type="expression" dxfId="407" priority="26">
      <formula>$AV$96&lt;=$BB$96</formula>
    </cfRule>
  </conditionalFormatting>
  <conditionalFormatting sqref="AW28:AW37">
    <cfRule type="expression" dxfId="406" priority="74" stopIfTrue="1">
      <formula>$AX$36&lt;$AR$36</formula>
    </cfRule>
    <cfRule type="expression" dxfId="405" priority="73" stopIfTrue="1">
      <formula>$AX$36=$AR$36</formula>
    </cfRule>
  </conditionalFormatting>
  <conditionalFormatting sqref="AX37:BG37">
    <cfRule type="expression" dxfId="404" priority="82" stopIfTrue="1">
      <formula>$AX$36&lt;=$AR$36</formula>
    </cfRule>
  </conditionalFormatting>
  <conditionalFormatting sqref="AY58:AY64">
    <cfRule type="expression" dxfId="403" priority="135" stopIfTrue="1">
      <formula>$AX$56&lt;=$BD$56</formula>
    </cfRule>
  </conditionalFormatting>
  <conditionalFormatting sqref="AZ57:BA57">
    <cfRule type="expression" dxfId="402" priority="101" stopIfTrue="1">
      <formula>$AX$56&lt;=$BD$56</formula>
    </cfRule>
  </conditionalFormatting>
  <conditionalFormatting sqref="BA88:BA97">
    <cfRule type="expression" dxfId="401" priority="5">
      <formula>$BB$96&lt;$AV$96</formula>
    </cfRule>
    <cfRule type="expression" dxfId="400" priority="6">
      <formula>$BB$96=$AV$96</formula>
    </cfRule>
  </conditionalFormatting>
  <conditionalFormatting sqref="BB48:BB57">
    <cfRule type="expression" dxfId="399" priority="443" stopIfTrue="1">
      <formula>$AX$56=$BD$56</formula>
    </cfRule>
    <cfRule type="expression" dxfId="398" priority="444" stopIfTrue="1">
      <formula>$AX$56&lt;$BD$56</formula>
    </cfRule>
  </conditionalFormatting>
  <conditionalFormatting sqref="BB97:BG97">
    <cfRule type="expression" dxfId="397" priority="25">
      <formula>$BB$96&lt;=$AV$96</formula>
    </cfRule>
  </conditionalFormatting>
  <conditionalFormatting sqref="BC57:BE57">
    <cfRule type="expression" dxfId="396" priority="104" stopIfTrue="1">
      <formula>$BD$56&lt;=$AX$56</formula>
    </cfRule>
  </conditionalFormatting>
  <conditionalFormatting sqref="BC47:BG47">
    <cfRule type="expression" dxfId="395" priority="95" stopIfTrue="1">
      <formula>$BC$46&lt;=$BI$46</formula>
    </cfRule>
  </conditionalFormatting>
  <conditionalFormatting sqref="BF58:BF64">
    <cfRule type="expression" dxfId="394" priority="130" stopIfTrue="1">
      <formula>$BD$56&lt;=$AX$56</formula>
    </cfRule>
  </conditionalFormatting>
  <conditionalFormatting sqref="BH38:BH47">
    <cfRule type="expression" dxfId="393" priority="85" stopIfTrue="1">
      <formula>$BI$46=$BC$46</formula>
    </cfRule>
    <cfRule type="expression" dxfId="392" priority="86" stopIfTrue="1">
      <formula>$BI$46&lt;$BC$46</formula>
    </cfRule>
  </conditionalFormatting>
  <conditionalFormatting sqref="BH98:BH105">
    <cfRule type="expression" dxfId="391" priority="33">
      <formula>$BB$96&lt;=$AV$96</formula>
    </cfRule>
  </conditionalFormatting>
  <conditionalFormatting sqref="BI47:BK47">
    <cfRule type="expression" dxfId="390" priority="107" stopIfTrue="1">
      <formula>$BI$46&lt;=$BC$46</formula>
    </cfRule>
  </conditionalFormatting>
  <conditionalFormatting sqref="BL48:BL64">
    <cfRule type="expression" dxfId="389" priority="125" stopIfTrue="1">
      <formula>$BI$46&lt;=$BC$46</formula>
    </cfRule>
  </conditionalFormatting>
  <conditionalFormatting sqref="BN11:BN15">
    <cfRule type="expression" dxfId="388" priority="142" stopIfTrue="1">
      <formula>$BJ$14&lt;$BP$14</formula>
    </cfRule>
    <cfRule type="expression" dxfId="387" priority="141" stopIfTrue="1">
      <formula>$BJ$14=$BP$14</formula>
    </cfRule>
  </conditionalFormatting>
  <conditionalFormatting sqref="BN71:BN75">
    <cfRule type="expression" dxfId="386" priority="13">
      <formula>$BJ$74&lt;$BP$74</formula>
    </cfRule>
    <cfRule type="expression" dxfId="385" priority="14">
      <formula>$BJ$74=$BP$74</formula>
    </cfRule>
  </conditionalFormatting>
  <conditionalFormatting sqref="BO75:CP75">
    <cfRule type="expression" dxfId="384" priority="15">
      <formula>$BP$74&lt;=$BJ$74</formula>
    </cfRule>
  </conditionalFormatting>
  <conditionalFormatting sqref="BO15:CU15">
    <cfRule type="expression" dxfId="383" priority="59">
      <formula>$BP$14&lt;=$BJ$14</formula>
    </cfRule>
  </conditionalFormatting>
  <conditionalFormatting sqref="BQ48:BQ64">
    <cfRule type="expression" dxfId="382" priority="126" stopIfTrue="1">
      <formula>$BQ$46&lt;=$BW$46</formula>
    </cfRule>
  </conditionalFormatting>
  <conditionalFormatting sqref="BR47:BT47">
    <cfRule type="expression" dxfId="381" priority="106" stopIfTrue="1">
      <formula>$BQ$46&lt;=$BW$46</formula>
    </cfRule>
  </conditionalFormatting>
  <conditionalFormatting sqref="BU38:BU47">
    <cfRule type="expression" dxfId="380" priority="88" stopIfTrue="1">
      <formula>$BQ$46&lt;$BW$46</formula>
    </cfRule>
    <cfRule type="expression" dxfId="379" priority="87" stopIfTrue="1">
      <formula>$BQ$46=$BW$46</formula>
    </cfRule>
  </conditionalFormatting>
  <conditionalFormatting sqref="BU98:BU105">
    <cfRule type="expression" dxfId="378" priority="32">
      <formula>$BX$96&lt;=$CD$96</formula>
    </cfRule>
  </conditionalFormatting>
  <conditionalFormatting sqref="BV47:BZ47">
    <cfRule type="expression" dxfId="377" priority="94" stopIfTrue="1">
      <formula>$BW$46&lt;=$BQ$46</formula>
    </cfRule>
  </conditionalFormatting>
  <conditionalFormatting sqref="BV97:CA97">
    <cfRule type="expression" dxfId="376" priority="24">
      <formula>$BX$96&lt;=$CD$96</formula>
    </cfRule>
  </conditionalFormatting>
  <conditionalFormatting sqref="BV37:CE37">
    <cfRule type="expression" dxfId="375" priority="81" stopIfTrue="1">
      <formula>$CB$36&lt;=$CH$36</formula>
    </cfRule>
  </conditionalFormatting>
  <conditionalFormatting sqref="BW58:BW64">
    <cfRule type="expression" dxfId="374" priority="134" stopIfTrue="1">
      <formula>$BV$56&lt;=$CB$56</formula>
    </cfRule>
  </conditionalFormatting>
  <conditionalFormatting sqref="BX57:BZ57">
    <cfRule type="expression" dxfId="373" priority="111" stopIfTrue="1">
      <formula>$BV$56&lt;=$CB$56</formula>
    </cfRule>
  </conditionalFormatting>
  <conditionalFormatting sqref="CA48:CA57">
    <cfRule type="expression" dxfId="372" priority="452" stopIfTrue="1">
      <formula>$CB$56&lt;$BV$56</formula>
    </cfRule>
    <cfRule type="expression" dxfId="371" priority="451" stopIfTrue="1">
      <formula>$CB$56=$BV$56</formula>
    </cfRule>
  </conditionalFormatting>
  <conditionalFormatting sqref="CB88:CB97">
    <cfRule type="expression" dxfId="370" priority="4">
      <formula>$BX$96=$CD$96</formula>
    </cfRule>
    <cfRule type="expression" dxfId="369" priority="3">
      <formula>$BX$96&lt;$CD$96</formula>
    </cfRule>
  </conditionalFormatting>
  <conditionalFormatting sqref="CB57:CC57">
    <cfRule type="expression" dxfId="368" priority="100" stopIfTrue="1">
      <formula>$CB$56&lt;=$BV$56</formula>
    </cfRule>
  </conditionalFormatting>
  <conditionalFormatting sqref="CC97:CI97">
    <cfRule type="expression" dxfId="367" priority="23">
      <formula>$CD$96&lt;=$BX$96</formula>
    </cfRule>
  </conditionalFormatting>
  <conditionalFormatting sqref="CC87:CP87">
    <cfRule type="expression" dxfId="366" priority="18">
      <formula>$CL$86&lt;=$CR$86</formula>
    </cfRule>
  </conditionalFormatting>
  <conditionalFormatting sqref="CD58:CD64">
    <cfRule type="expression" dxfId="365" priority="129" stopIfTrue="1">
      <formula>$CB$56&lt;=$BV$56</formula>
    </cfRule>
  </conditionalFormatting>
  <conditionalFormatting sqref="CF28:CF37">
    <cfRule type="expression" dxfId="364" priority="75" stopIfTrue="1">
      <formula>$CB$36=$CH$36</formula>
    </cfRule>
    <cfRule type="expression" dxfId="363" priority="76" stopIfTrue="1">
      <formula>$CB$36&lt;$CH$36</formula>
    </cfRule>
  </conditionalFormatting>
  <conditionalFormatting sqref="CG37:CQ37">
    <cfRule type="expression" dxfId="362" priority="77" stopIfTrue="1">
      <formula>$CH$36&lt;=$CB$36</formula>
    </cfRule>
  </conditionalFormatting>
  <conditionalFormatting sqref="CG27:CU27">
    <cfRule type="expression" dxfId="361" priority="40">
      <formula>$CQ$26&lt;=$CW$26</formula>
    </cfRule>
  </conditionalFormatting>
  <conditionalFormatting sqref="CI58:CI64">
    <cfRule type="expression" dxfId="360" priority="133" stopIfTrue="1">
      <formula>$CH$56&lt;=$CN$56</formula>
    </cfRule>
  </conditionalFormatting>
  <conditionalFormatting sqref="CJ98:CJ105">
    <cfRule type="expression" dxfId="359" priority="31">
      <formula>$CD$96&lt;=$BX$96</formula>
    </cfRule>
  </conditionalFormatting>
  <conditionalFormatting sqref="CJ57:CK57">
    <cfRule type="expression" dxfId="358" priority="99" stopIfTrue="1">
      <formula>$CH$56&lt;=$CN$56</formula>
    </cfRule>
  </conditionalFormatting>
  <conditionalFormatting sqref="CL48:CL57">
    <cfRule type="expression" dxfId="357" priority="456" stopIfTrue="1">
      <formula>$CH$56&lt;$CN$56</formula>
    </cfRule>
    <cfRule type="expression" dxfId="356" priority="455" stopIfTrue="1">
      <formula>$CH$56=$CN$56</formula>
    </cfRule>
  </conditionalFormatting>
  <conditionalFormatting sqref="CM57:CO57">
    <cfRule type="expression" dxfId="355" priority="110" stopIfTrue="1">
      <formula>$CN$56&lt;=$CH$56</formula>
    </cfRule>
  </conditionalFormatting>
  <conditionalFormatting sqref="CM47:CQ47">
    <cfRule type="expression" dxfId="354" priority="93" stopIfTrue="1">
      <formula>$CM$46&lt;=$CS$46</formula>
    </cfRule>
  </conditionalFormatting>
  <conditionalFormatting sqref="CP58:CP64">
    <cfRule type="expression" dxfId="353" priority="128" stopIfTrue="1">
      <formula>$CN$56&lt;=$CH$56</formula>
    </cfRule>
  </conditionalFormatting>
  <conditionalFormatting sqref="CQ76:CQ87">
    <cfRule type="expression" dxfId="352" priority="9">
      <formula>$CR$86&lt;$CL$86</formula>
    </cfRule>
    <cfRule type="expression" dxfId="351" priority="10">
      <formula>$CR$86=$CL$86</formula>
    </cfRule>
  </conditionalFormatting>
  <conditionalFormatting sqref="CR38:CR47">
    <cfRule type="expression" dxfId="350" priority="83" stopIfTrue="1">
      <formula>$CS$46=$CM$46</formula>
    </cfRule>
    <cfRule type="expression" dxfId="349" priority="84" stopIfTrue="1">
      <formula>$CS$46&lt;$CM$46</formula>
    </cfRule>
  </conditionalFormatting>
  <conditionalFormatting sqref="CR87:DD87">
    <cfRule type="expression" dxfId="348" priority="17">
      <formula>$CR$86&lt;=$CL$86</formula>
    </cfRule>
  </conditionalFormatting>
  <conditionalFormatting sqref="CS47:CU47">
    <cfRule type="expression" dxfId="347" priority="105" stopIfTrue="1">
      <formula>$CS$46&lt;=$CM$46</formula>
    </cfRule>
  </conditionalFormatting>
  <conditionalFormatting sqref="CV16:CV27">
    <cfRule type="expression" dxfId="346" priority="41">
      <formula>$CW$26&lt;$CQ$26</formula>
    </cfRule>
    <cfRule type="expression" dxfId="345" priority="42">
      <formula>$CW$26=$CQ$26</formula>
    </cfRule>
  </conditionalFormatting>
  <conditionalFormatting sqref="CV48:CV64">
    <cfRule type="expression" dxfId="344" priority="124" stopIfTrue="1">
      <formula>$CS$46&lt;=$CM$46</formula>
    </cfRule>
  </conditionalFormatting>
  <conditionalFormatting sqref="CW98:CW105">
    <cfRule type="expression" dxfId="343" priority="30">
      <formula>$CZ$96&lt;=$DF$96</formula>
    </cfRule>
  </conditionalFormatting>
  <conditionalFormatting sqref="CW27:DM27">
    <cfRule type="expression" dxfId="342" priority="156">
      <formula>$CW$26&lt;=$CQ$26</formula>
    </cfRule>
  </conditionalFormatting>
  <conditionalFormatting sqref="CX97:DD97">
    <cfRule type="expression" dxfId="341" priority="22">
      <formula>$CZ$96&lt;=$DF$96</formula>
    </cfRule>
  </conditionalFormatting>
  <conditionalFormatting sqref="CY22:CY24">
    <cfRule type="expression" dxfId="340" priority="157">
      <formula>#REF!&lt;$CT$26</formula>
    </cfRule>
    <cfRule type="expression" dxfId="339" priority="158">
      <formula>$CT$26=#REF!</formula>
    </cfRule>
  </conditionalFormatting>
  <conditionalFormatting sqref="DA48:DA64">
    <cfRule type="expression" dxfId="338" priority="58" stopIfTrue="1">
      <formula>$CZ$46&lt;=$DF$46</formula>
    </cfRule>
  </conditionalFormatting>
  <conditionalFormatting sqref="DA9:DN9 DL16:DM17 DA23:DX23">
    <cfRule type="expression" dxfId="337" priority="154" stopIfTrue="1">
      <formula>$EC$1&lt;&gt;3</formula>
    </cfRule>
  </conditionalFormatting>
  <conditionalFormatting sqref="DB47:DC47">
    <cfRule type="expression" dxfId="336" priority="63" stopIfTrue="1">
      <formula>$CZ$46&lt;=$DF$46</formula>
    </cfRule>
  </conditionalFormatting>
  <conditionalFormatting sqref="DD38:DD47">
    <cfRule type="expression" dxfId="335" priority="46">
      <formula>$CZ$46&lt;$DF$46</formula>
    </cfRule>
    <cfRule type="expression" dxfId="334" priority="47">
      <formula>$CZ$46=$DF$46</formula>
    </cfRule>
  </conditionalFormatting>
  <conditionalFormatting sqref="DE16:DE22">
    <cfRule type="expression" dxfId="333" priority="143" stopIfTrue="1">
      <formula>$EC$1&lt;&gt;3</formula>
    </cfRule>
    <cfRule type="expression" dxfId="332" priority="144" stopIfTrue="1">
      <formula>$DH$14&lt;=$DN$14</formula>
    </cfRule>
  </conditionalFormatting>
  <conditionalFormatting sqref="DE88:DE97">
    <cfRule type="expression" dxfId="331" priority="2">
      <formula>$DF$96=$CZ$96</formula>
    </cfRule>
    <cfRule type="expression" dxfId="330" priority="1">
      <formula>$DF$96&lt;$CZ$96</formula>
    </cfRule>
  </conditionalFormatting>
  <conditionalFormatting sqref="DE47:DG47">
    <cfRule type="expression" dxfId="329" priority="45">
      <formula>$DF$46&lt;=$CZ$46</formula>
    </cfRule>
  </conditionalFormatting>
  <conditionalFormatting sqref="DE37:DM37">
    <cfRule type="expression" dxfId="328" priority="79" stopIfTrue="1">
      <formula>$DI$36&lt;=$DO$36</formula>
    </cfRule>
  </conditionalFormatting>
  <conditionalFormatting sqref="DF15:DK15">
    <cfRule type="expression" dxfId="327" priority="145" stopIfTrue="1">
      <formula>$EC$1&lt;&gt;3</formula>
    </cfRule>
    <cfRule type="expression" dxfId="326" priority="146" stopIfTrue="1">
      <formula>$DH$14&lt;=$DN$14</formula>
    </cfRule>
  </conditionalFormatting>
  <conditionalFormatting sqref="DF97:DK97">
    <cfRule type="expression" dxfId="325" priority="21">
      <formula>$DF$96&lt;=$CZ$96</formula>
    </cfRule>
  </conditionalFormatting>
  <conditionalFormatting sqref="DH48:DH64">
    <cfRule type="expression" dxfId="324" priority="57" stopIfTrue="1">
      <formula>$DF$46&lt;=$CZ$46</formula>
    </cfRule>
  </conditionalFormatting>
  <conditionalFormatting sqref="DL13:DL15">
    <cfRule type="expression" dxfId="323" priority="151" stopIfTrue="1">
      <formula>$EC$1&lt;&gt;3</formula>
    </cfRule>
    <cfRule type="expression" dxfId="322" priority="152" stopIfTrue="1">
      <formula>$DH$14=$DN$14</formula>
    </cfRule>
    <cfRule type="expression" dxfId="321" priority="153" stopIfTrue="1">
      <formula>$DH$14&lt;$DN$14</formula>
    </cfRule>
  </conditionalFormatting>
  <conditionalFormatting sqref="DL98:DL105">
    <cfRule type="expression" dxfId="320" priority="29">
      <formula>$DF$96&lt;=$CZ$96</formula>
    </cfRule>
  </conditionalFormatting>
  <conditionalFormatting sqref="DM58:DM64">
    <cfRule type="expression" dxfId="319" priority="71" stopIfTrue="1">
      <formula>$DL$56&lt;=$DR$56</formula>
    </cfRule>
  </conditionalFormatting>
  <conditionalFormatting sqref="DM15:DS15">
    <cfRule type="expression" dxfId="318" priority="147" stopIfTrue="1">
      <formula>$EC$1&lt;&gt;3</formula>
    </cfRule>
    <cfRule type="expression" dxfId="317" priority="148" stopIfTrue="1">
      <formula>$DN$14&lt;=$DH$14</formula>
    </cfRule>
  </conditionalFormatting>
  <conditionalFormatting sqref="DN28:DN37">
    <cfRule type="expression" dxfId="316" priority="43">
      <formula>$DO$36&lt;$DI$36</formula>
    </cfRule>
    <cfRule type="expression" dxfId="315" priority="44">
      <formula>$DO$36=$DI$36</formula>
    </cfRule>
  </conditionalFormatting>
  <conditionalFormatting sqref="DN57:DO57">
    <cfRule type="expression" dxfId="314" priority="64" stopIfTrue="1">
      <formula>$DL$56&lt;=$DR$56</formula>
    </cfRule>
  </conditionalFormatting>
  <conditionalFormatting sqref="DO37:DU37">
    <cfRule type="expression" dxfId="313" priority="80" stopIfTrue="1">
      <formula>$DO$36&lt;=$DI$36</formula>
    </cfRule>
  </conditionalFormatting>
  <conditionalFormatting sqref="DP48:DP57">
    <cfRule type="expression" dxfId="312" priority="465" stopIfTrue="1">
      <formula>$DL$56=$DR$56</formula>
    </cfRule>
    <cfRule type="expression" dxfId="311" priority="466" stopIfTrue="1">
      <formula>$DL$56&lt;$DR$56</formula>
    </cfRule>
  </conditionalFormatting>
  <conditionalFormatting sqref="DQ57:DS57">
    <cfRule type="expression" dxfId="310" priority="65" stopIfTrue="1">
      <formula>$DR$56&lt;=$DL$56</formula>
    </cfRule>
  </conditionalFormatting>
  <conditionalFormatting sqref="DQ47:DU47">
    <cfRule type="expression" dxfId="309" priority="62" stopIfTrue="1">
      <formula>$DQ$46&lt;=$DW$46</formula>
    </cfRule>
  </conditionalFormatting>
  <conditionalFormatting sqref="DT16:DT22">
    <cfRule type="expression" dxfId="308" priority="149" stopIfTrue="1">
      <formula>$EC$1&lt;&gt;3</formula>
    </cfRule>
    <cfRule type="expression" dxfId="307" priority="150" stopIfTrue="1">
      <formula>$DN$14&lt;=$DH$14</formula>
    </cfRule>
  </conditionalFormatting>
  <conditionalFormatting sqref="DT58:DT64">
    <cfRule type="expression" dxfId="306" priority="70" stopIfTrue="1">
      <formula>$DR$56&lt;=$DL$56</formula>
    </cfRule>
  </conditionalFormatting>
  <conditionalFormatting sqref="DV38:DV47">
    <cfRule type="expression" dxfId="305" priority="61" stopIfTrue="1">
      <formula>$DW$46&lt;$DQ$46</formula>
    </cfRule>
    <cfRule type="expression" dxfId="304" priority="60" stopIfTrue="1">
      <formula>$DW$46=$DQ$46</formula>
    </cfRule>
  </conditionalFormatting>
  <conditionalFormatting sqref="DW47:DY47">
    <cfRule type="expression" dxfId="303" priority="66" stopIfTrue="1">
      <formula>$DW$46&lt;=$DQ$46</formula>
    </cfRule>
  </conditionalFormatting>
  <conditionalFormatting sqref="DZ48:DZ64">
    <cfRule type="expression" dxfId="302" priority="69" stopIfTrue="1">
      <formula>$DW$46&lt;=$DQ$46</formula>
    </cfRule>
  </conditionalFormatting>
  <dataValidations count="1">
    <dataValidation type="list" allowBlank="1" showInputMessage="1" showErrorMessage="1" errorTitle="３を入力！" error="「３」以外は入力できません。" promptTitle="第3代表決定戦" prompt="シードなどの関係で第3代表を決めるときはこのセルに「３」と入力して下さい。" sqref="EC1" xr:uid="{EF9808D7-8A5B-4041-AE92-86B71D237CBD}">
      <formula1>"3"</formula1>
    </dataValidation>
  </dataValidations>
  <printOptions horizontalCentered="1"/>
  <pageMargins left="0.39370078740157483" right="0.39370078740157483" top="0.59055118110236227" bottom="0.39370078740157483" header="0.51181102362204722" footer="0.51181102362204722"/>
  <pageSetup paperSize="9" scale="62"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DR67"/>
  <sheetViews>
    <sheetView showGridLines="0" topLeftCell="C1" zoomScale="80" zoomScaleNormal="80" workbookViewId="0">
      <selection activeCell="AM41" sqref="AM41:AM44"/>
    </sheetView>
  </sheetViews>
  <sheetFormatPr defaultColWidth="9" defaultRowHeight="14.25" x14ac:dyDescent="0.15"/>
  <cols>
    <col min="1" max="1" width="9.25" style="31" hidden="1" customWidth="1"/>
    <col min="2" max="2" width="9.25" style="62" hidden="1" customWidth="1"/>
    <col min="3" max="3" width="4" style="62" bestFit="1" customWidth="1"/>
    <col min="4" max="5" width="0.625" style="31" customWidth="1"/>
    <col min="6" max="6" width="2.5" style="64" customWidth="1"/>
    <col min="7" max="7" width="2.5" style="61" customWidth="1"/>
    <col min="8" max="8" width="2.5" style="65" customWidth="1"/>
    <col min="9" max="12" width="0.625" style="31" customWidth="1"/>
    <col min="13" max="13" width="2.5" style="64" customWidth="1"/>
    <col min="14" max="14" width="2.5" style="61" customWidth="1"/>
    <col min="15" max="15" width="2.5" style="65" customWidth="1"/>
    <col min="16" max="19" width="0.625" style="31" customWidth="1"/>
    <col min="20" max="20" width="2.5" style="64" customWidth="1"/>
    <col min="21" max="21" width="2.5" style="61" customWidth="1"/>
    <col min="22" max="22" width="2.5" style="65" customWidth="1"/>
    <col min="23" max="24" width="0.625" style="31" customWidth="1"/>
    <col min="25" max="26" width="0.625" style="62" hidden="1" customWidth="1"/>
    <col min="27" max="27" width="2.375" style="62" hidden="1" customWidth="1"/>
    <col min="28" max="28" width="2.375" style="76" hidden="1" customWidth="1"/>
    <col min="29" max="29" width="2.375" style="62" hidden="1" customWidth="1"/>
    <col min="30" max="31" width="0.625" style="62" hidden="1" customWidth="1"/>
    <col min="32" max="35" width="5" style="62" customWidth="1"/>
    <col min="36" max="36" width="6.375" style="62" hidden="1" customWidth="1"/>
    <col min="37" max="37" width="1.875" style="62" customWidth="1"/>
    <col min="38" max="38" width="4.375" style="62" hidden="1" customWidth="1"/>
    <col min="39" max="39" width="4" style="62" customWidth="1"/>
    <col min="40" max="41" width="0.625" style="31" customWidth="1"/>
    <col min="42" max="42" width="2.5" style="64" customWidth="1"/>
    <col min="43" max="43" width="2.5" style="61" customWidth="1"/>
    <col min="44" max="44" width="2.5" style="65" customWidth="1"/>
    <col min="45" max="48" width="0.625" style="31" customWidth="1"/>
    <col min="49" max="49" width="2.5" style="64" customWidth="1"/>
    <col min="50" max="50" width="2.5" style="61" customWidth="1"/>
    <col min="51" max="51" width="2.5" style="65" customWidth="1"/>
    <col min="52" max="55" width="0.625" style="31" customWidth="1"/>
    <col min="56" max="56" width="2.5" style="64" customWidth="1"/>
    <col min="57" max="57" width="2.5" style="61" customWidth="1"/>
    <col min="58" max="58" width="2.5" style="65" customWidth="1"/>
    <col min="59" max="62" width="0.625" style="31" customWidth="1"/>
    <col min="63" max="63" width="2.5" style="64" customWidth="1"/>
    <col min="64" max="65" width="1.25" style="61" customWidth="1"/>
    <col min="66" max="66" width="2.5" style="65" customWidth="1"/>
    <col min="67" max="68" width="0.625" style="31" customWidth="1"/>
    <col min="69" max="72" width="5" style="62" customWidth="1"/>
    <col min="73" max="73" width="9" style="62" hidden="1" customWidth="1"/>
    <col min="74" max="74" width="9" style="62"/>
    <col min="75" max="122" width="2.375" style="62" customWidth="1"/>
    <col min="123" max="16384" width="9" style="62"/>
  </cols>
  <sheetData>
    <row r="1" spans="1:73" ht="24.75" x14ac:dyDescent="0.15">
      <c r="C1" s="953" t="str">
        <f ca="1">"令和"&amp;IF(YEAR(NOW())=2019,"元",YEAR(NOW())-2018)&amp;"年度 第"&amp;YEAR(NOW())-1999&amp;"回 加賀地区中学校サッカー大会 《 南加賀ブロック 》"</f>
        <v>令和6年度 第25回 加賀地区中学校サッカー大会 《 南加賀ブロック 》</v>
      </c>
      <c r="D1" s="953"/>
      <c r="E1" s="953"/>
      <c r="F1" s="953"/>
      <c r="G1" s="953"/>
      <c r="H1" s="953"/>
      <c r="I1" s="953"/>
      <c r="J1" s="953"/>
      <c r="K1" s="953"/>
      <c r="L1" s="953"/>
      <c r="M1" s="953"/>
      <c r="N1" s="953"/>
      <c r="O1" s="953"/>
      <c r="P1" s="953"/>
      <c r="Q1" s="953"/>
      <c r="R1" s="953"/>
      <c r="S1" s="953"/>
      <c r="T1" s="953"/>
      <c r="U1" s="953"/>
      <c r="V1" s="953"/>
      <c r="W1" s="953"/>
      <c r="X1" s="953"/>
      <c r="Y1" s="953"/>
      <c r="Z1" s="953"/>
      <c r="AA1" s="953"/>
      <c r="AB1" s="953"/>
      <c r="AC1" s="953"/>
      <c r="AD1" s="953"/>
      <c r="AE1" s="953"/>
      <c r="AF1" s="953"/>
      <c r="AG1" s="953"/>
      <c r="AH1" s="953"/>
      <c r="AI1" s="953"/>
      <c r="AJ1" s="953"/>
      <c r="AK1" s="953"/>
      <c r="AL1" s="953"/>
      <c r="AM1" s="953"/>
      <c r="AN1" s="953"/>
      <c r="AO1" s="953"/>
      <c r="AP1" s="953"/>
      <c r="AQ1" s="953"/>
      <c r="AR1" s="953"/>
      <c r="AS1" s="953"/>
      <c r="AT1" s="953"/>
      <c r="AU1" s="953"/>
      <c r="AV1" s="953"/>
      <c r="AW1" s="953"/>
      <c r="AX1" s="953"/>
      <c r="AY1" s="953"/>
      <c r="AZ1" s="953"/>
      <c r="BA1" s="953"/>
      <c r="BB1" s="953"/>
      <c r="BC1" s="953"/>
      <c r="BD1" s="953"/>
      <c r="BE1" s="953"/>
      <c r="BF1" s="953"/>
      <c r="BG1" s="953"/>
      <c r="BH1" s="953"/>
      <c r="BI1" s="953"/>
      <c r="BJ1" s="953"/>
      <c r="BK1" s="953"/>
      <c r="BL1" s="953"/>
      <c r="BM1" s="953"/>
      <c r="BN1" s="953"/>
      <c r="BO1" s="953"/>
      <c r="BP1" s="953"/>
      <c r="BQ1" s="953"/>
      <c r="BR1" s="953"/>
      <c r="BS1" s="953"/>
      <c r="BT1" s="953"/>
    </row>
    <row r="2" spans="1:73" x14ac:dyDescent="0.15">
      <c r="A2" s="31" t="str">
        <f>IF(CE51=CI51,"",IF(CE51&gt;CI51,BY53,CO53))</f>
        <v/>
      </c>
    </row>
    <row r="3" spans="1:73" ht="25.5" customHeight="1" x14ac:dyDescent="0.15">
      <c r="A3" s="31" t="str">
        <f>IF(CE51=CI51,"",IF(CE51&lt;CI51,BY53,CO53))</f>
        <v/>
      </c>
      <c r="F3" s="634" t="s">
        <v>77</v>
      </c>
      <c r="G3" s="634"/>
      <c r="H3" s="634"/>
      <c r="I3" s="954" t="str">
        <f>IF(A2="","",IF(VLOOKUP(A2,予選学校名!$I$3:$L$32,3,FALSE)="",IF(VLOOKUP(A2,予選学校名!$I$3:$L$32,4,FALSE)="","",VLOOKUP(A2,予選学校名!$I$3:$L$32,4,FALSE)),VLOOKUP(A2,予選学校名!$I$3:$L$32,3,FALSE)&amp;"立")&amp;A2&amp;"中学校")</f>
        <v/>
      </c>
      <c r="J3" s="955"/>
      <c r="K3" s="955"/>
      <c r="L3" s="955"/>
      <c r="M3" s="955"/>
      <c r="N3" s="955"/>
      <c r="O3" s="955"/>
      <c r="P3" s="955"/>
      <c r="Q3" s="955"/>
      <c r="R3" s="955"/>
      <c r="S3" s="955"/>
      <c r="T3" s="955"/>
      <c r="U3" s="955"/>
      <c r="V3" s="955"/>
      <c r="W3" s="955"/>
      <c r="X3" s="955"/>
      <c r="Y3" s="955"/>
      <c r="Z3" s="955"/>
      <c r="AA3" s="955"/>
      <c r="AB3" s="955"/>
      <c r="AC3" s="955"/>
      <c r="AD3" s="955"/>
      <c r="AE3" s="955"/>
      <c r="AF3" s="955"/>
      <c r="AG3" s="955"/>
      <c r="AH3" s="956" t="str">
        <f>IF(A2="","","("&amp;VLOOKUP(A2,予選学校名!$I$3:$L$32,2,FALSE)&amp;")")</f>
        <v/>
      </c>
      <c r="AI3" s="956"/>
      <c r="AK3" s="615" t="s">
        <v>109</v>
      </c>
      <c r="AL3" s="615"/>
      <c r="AM3" s="615"/>
      <c r="AN3" s="62"/>
      <c r="AO3" s="62"/>
      <c r="AP3" s="954" t="str">
        <f>IF(A6="","",IF(VLOOKUP(A6,予選学校名!$I$3:$L$32,3,FALSE)="",IF(VLOOKUP(A6,予選学校名!$I$3:$L$32,4,FALSE)="","",VLOOKUP(A6,予選学校名!$I$3:$L$32,4,FALSE)),VLOOKUP(A6,予選学校名!$I$3:$L$32,3,FALSE)&amp;"立")&amp;A6&amp;"中学校")</f>
        <v/>
      </c>
      <c r="AQ3" s="954"/>
      <c r="AR3" s="954"/>
      <c r="AS3" s="954"/>
      <c r="AT3" s="954"/>
      <c r="AU3" s="954"/>
      <c r="AV3" s="954"/>
      <c r="AW3" s="954"/>
      <c r="AX3" s="954"/>
      <c r="AY3" s="954"/>
      <c r="AZ3" s="954"/>
      <c r="BA3" s="954"/>
      <c r="BB3" s="954"/>
      <c r="BC3" s="954"/>
      <c r="BD3" s="954"/>
      <c r="BE3" s="954"/>
      <c r="BF3" s="954"/>
      <c r="BG3" s="954"/>
      <c r="BH3" s="954"/>
      <c r="BI3" s="954"/>
      <c r="BJ3" s="954"/>
      <c r="BK3" s="957" t="str">
        <f>IF(A6="","",IF(VLOOKUP(A6,予選学校名!$I$3:$L$32,3,FALSE)="",IF(VLOOKUP(A6,予選学校名!$I$3:$L$32,4,FALSE)="","",VLOOKUP(A6,予選学校名!$I$3:$L$32,4,FALSE)),"("&amp;VLOOKUP(A6,予選学校名!$I$3:$L$32,2,FALSE)&amp;")"))</f>
        <v/>
      </c>
      <c r="BL3" s="957"/>
      <c r="BM3" s="957"/>
      <c r="BN3" s="957"/>
      <c r="BO3" s="957"/>
      <c r="BP3" s="957"/>
    </row>
    <row r="4" spans="1:73" ht="25.5" customHeight="1" x14ac:dyDescent="0.15">
      <c r="A4" s="31" t="str">
        <f>IF(CE51=CI51,"",IF(BY53=A2,A55,A56))</f>
        <v/>
      </c>
      <c r="F4" s="634" t="s">
        <v>79</v>
      </c>
      <c r="G4" s="634"/>
      <c r="H4" s="634"/>
      <c r="I4" s="950" t="str">
        <f>IF(A3="","",IF(VLOOKUP(A3,予選学校名!$I$3:$L$32,3,FALSE)="",IF(VLOOKUP(A3,予選学校名!$I$3:$L$32,4,FALSE)="","",VLOOKUP(A3,予選学校名!$I$3:$L$32,4,FALSE)),VLOOKUP(A3,予選学校名!$I$3:$L$32,3,FALSE)&amp;"立")&amp;A3&amp;"中学校")</f>
        <v/>
      </c>
      <c r="J4" s="951"/>
      <c r="K4" s="951"/>
      <c r="L4" s="951"/>
      <c r="M4" s="951"/>
      <c r="N4" s="951"/>
      <c r="O4" s="951"/>
      <c r="P4" s="951"/>
      <c r="Q4" s="951"/>
      <c r="R4" s="951"/>
      <c r="S4" s="951"/>
      <c r="T4" s="951"/>
      <c r="U4" s="951"/>
      <c r="V4" s="951"/>
      <c r="W4" s="951"/>
      <c r="X4" s="951"/>
      <c r="Y4" s="951"/>
      <c r="Z4" s="951"/>
      <c r="AA4" s="951"/>
      <c r="AB4" s="951"/>
      <c r="AC4" s="951"/>
      <c r="AD4" s="951"/>
      <c r="AE4" s="951"/>
      <c r="AF4" s="951"/>
      <c r="AG4" s="951"/>
      <c r="AH4" s="952" t="str">
        <f>IF(A3="","",IF(VLOOKUP(A3,予選学校名!$I$3:$L$32,3,FALSE)="",IF(VLOOKUP(A3,予選学校名!$I$3:$L$32,4,FALSE)="","",VLOOKUP(A3,予選学校名!$I$3:$L$32,4,FALSE)),"("&amp;VLOOKUP(A3,予選学校名!$I$3:$L$32,2,FALSE)&amp;")"))</f>
        <v/>
      </c>
      <c r="AI4" s="952"/>
    </row>
    <row r="5" spans="1:73" ht="25.5" customHeight="1" x14ac:dyDescent="0.15">
      <c r="A5" s="31" t="str">
        <f>IF(CE51=CI51,"",IF(BY53=A2,A56,A55))</f>
        <v/>
      </c>
      <c r="F5" s="634" t="s">
        <v>80</v>
      </c>
      <c r="G5" s="634"/>
      <c r="H5" s="634"/>
      <c r="I5" s="950" t="str">
        <f>IF(A4="","",IF(VLOOKUP(A4,予選学校名!$I$3:$L$32,3,FALSE)="",IF(VLOOKUP(A4,予選学校名!$I$3:$L$32,4,FALSE)="","",VLOOKUP(A4,予選学校名!$I$3:$L$32,4,FALSE)),VLOOKUP(A4,予選学校名!$I$3:$L$32,3,FALSE)&amp;"立")&amp;A4&amp;"中学校")</f>
        <v/>
      </c>
      <c r="J5" s="951"/>
      <c r="K5" s="951"/>
      <c r="L5" s="951"/>
      <c r="M5" s="951"/>
      <c r="N5" s="951"/>
      <c r="O5" s="951"/>
      <c r="P5" s="951"/>
      <c r="Q5" s="951"/>
      <c r="R5" s="951"/>
      <c r="S5" s="951"/>
      <c r="T5" s="951"/>
      <c r="U5" s="951"/>
      <c r="V5" s="951"/>
      <c r="W5" s="951"/>
      <c r="X5" s="951"/>
      <c r="Y5" s="951"/>
      <c r="Z5" s="951"/>
      <c r="AA5" s="951"/>
      <c r="AB5" s="951"/>
      <c r="AC5" s="951"/>
      <c r="AD5" s="951"/>
      <c r="AE5" s="951"/>
      <c r="AF5" s="951"/>
      <c r="AG5" s="951"/>
      <c r="AH5" s="952" t="str">
        <f>IF(A4="","",IF(VLOOKUP(A4,予選学校名!$I$3:$L$32,3,FALSE)="",IF(VLOOKUP(A4,予選学校名!$I$3:$L$32,4,FALSE)="","",VLOOKUP(A4,予選学校名!$I$3:$L$32,4,FALSE)),"("&amp;VLOOKUP(A4,予選学校名!$I$3:$L$32,2,FALSE)&amp;")"))</f>
        <v/>
      </c>
      <c r="AI5" s="952"/>
    </row>
    <row r="6" spans="1:73" ht="25.5" customHeight="1" x14ac:dyDescent="0.15">
      <c r="A6" s="31" t="str">
        <f>IF(DC51=DG51,"",IF(DC51&gt;DG51,CW53,DM53))</f>
        <v/>
      </c>
      <c r="I6" s="950" t="str">
        <f>IF(A5="","",IF(VLOOKUP(A5,予選学校名!$I$3:$L$32,3,FALSE)="",IF(VLOOKUP(A5,予選学校名!$I$3:$L$32,4,FALSE)="","",VLOOKUP(A5,予選学校名!$I$3:$L$32,4,FALSE)),VLOOKUP(A5,予選学校名!$I$3:$L$32,3,FALSE)&amp;"立")&amp;A5&amp;"中学校")</f>
        <v/>
      </c>
      <c r="J6" s="951"/>
      <c r="K6" s="951"/>
      <c r="L6" s="951"/>
      <c r="M6" s="951"/>
      <c r="N6" s="951"/>
      <c r="O6" s="951"/>
      <c r="P6" s="951"/>
      <c r="Q6" s="951"/>
      <c r="R6" s="951"/>
      <c r="S6" s="951"/>
      <c r="T6" s="951"/>
      <c r="U6" s="951"/>
      <c r="V6" s="951"/>
      <c r="W6" s="951"/>
      <c r="X6" s="951"/>
      <c r="Y6" s="951"/>
      <c r="Z6" s="951"/>
      <c r="AA6" s="951"/>
      <c r="AB6" s="951"/>
      <c r="AC6" s="951"/>
      <c r="AD6" s="951"/>
      <c r="AE6" s="951"/>
      <c r="AF6" s="951"/>
      <c r="AG6" s="951"/>
      <c r="AH6" s="952" t="str">
        <f>IF(A5="","",IF(VLOOKUP(A5,予選学校名!$I$3:$L$32,3,FALSE)="",IF(VLOOKUP(A5,予選学校名!$I$3:$L$32,4,FALSE)="","",VLOOKUP(A5,予選学校名!$I$3:$L$32,4,FALSE)),"("&amp;VLOOKUP(A5,予選学校名!$I$3:$L$32,2,FALSE)&amp;")"))</f>
        <v/>
      </c>
      <c r="AI6" s="952"/>
    </row>
    <row r="8" spans="1:73" s="68" customFormat="1" ht="18" x14ac:dyDescent="0.15">
      <c r="A8" s="67"/>
      <c r="C8" s="942" t="s">
        <v>81</v>
      </c>
      <c r="D8" s="942"/>
      <c r="E8" s="942"/>
      <c r="F8" s="942"/>
      <c r="G8" s="942"/>
      <c r="H8" s="942"/>
      <c r="I8" s="942"/>
      <c r="J8" s="942"/>
      <c r="K8" s="67"/>
      <c r="L8" s="67"/>
      <c r="M8" s="69"/>
      <c r="N8" s="70"/>
      <c r="O8" s="71"/>
      <c r="P8" s="67"/>
      <c r="Q8" s="67"/>
      <c r="R8" s="67"/>
      <c r="S8" s="67"/>
      <c r="T8" s="69"/>
      <c r="U8" s="70"/>
      <c r="V8" s="71"/>
      <c r="W8" s="67"/>
      <c r="X8" s="67"/>
      <c r="AB8" s="93"/>
      <c r="AM8" s="942" t="s">
        <v>142</v>
      </c>
      <c r="AN8" s="942"/>
      <c r="AO8" s="942"/>
      <c r="AP8" s="942"/>
      <c r="AQ8" s="942"/>
      <c r="AR8" s="942"/>
      <c r="AS8" s="942"/>
      <c r="AT8" s="942"/>
      <c r="AU8" s="67"/>
      <c r="AV8" s="67"/>
      <c r="AW8" s="69"/>
      <c r="AX8" s="70"/>
      <c r="AY8" s="71"/>
      <c r="AZ8" s="67"/>
      <c r="BA8" s="67"/>
      <c r="BB8" s="67"/>
      <c r="BC8" s="67"/>
      <c r="BD8" s="69"/>
      <c r="BE8" s="70"/>
      <c r="BF8" s="71"/>
      <c r="BG8" s="67"/>
      <c r="BH8" s="67"/>
      <c r="BI8" s="67"/>
      <c r="BJ8" s="67"/>
      <c r="BK8" s="69"/>
      <c r="BL8" s="70"/>
      <c r="BM8" s="70"/>
      <c r="BN8" s="71"/>
      <c r="BO8" s="67"/>
      <c r="BP8" s="67"/>
    </row>
    <row r="9" spans="1:73" ht="28.5" x14ac:dyDescent="0.15">
      <c r="C9" s="72"/>
      <c r="D9" s="941" t="str">
        <f>C10</f>
        <v>松任</v>
      </c>
      <c r="E9" s="941"/>
      <c r="F9" s="941"/>
      <c r="G9" s="941"/>
      <c r="H9" s="941"/>
      <c r="I9" s="941"/>
      <c r="J9" s="941"/>
      <c r="K9" s="941" t="str">
        <f>C14</f>
        <v>美川</v>
      </c>
      <c r="L9" s="941"/>
      <c r="M9" s="941"/>
      <c r="N9" s="941"/>
      <c r="O9" s="941"/>
      <c r="P9" s="941"/>
      <c r="Q9" s="941"/>
      <c r="R9" s="941" t="str">
        <f>C18</f>
        <v>根上</v>
      </c>
      <c r="S9" s="941"/>
      <c r="T9" s="941"/>
      <c r="U9" s="941"/>
      <c r="V9" s="941"/>
      <c r="W9" s="941"/>
      <c r="X9" s="941"/>
      <c r="Y9" s="608">
        <f>J18</f>
        <v>0</v>
      </c>
      <c r="Z9" s="608"/>
      <c r="AA9" s="608"/>
      <c r="AB9" s="608"/>
      <c r="AC9" s="608"/>
      <c r="AD9" s="608"/>
      <c r="AE9" s="608"/>
      <c r="AF9" s="73" t="s">
        <v>88</v>
      </c>
      <c r="AG9" s="74" t="s">
        <v>143</v>
      </c>
      <c r="AH9" s="73" t="s">
        <v>90</v>
      </c>
      <c r="AI9" s="73" t="s">
        <v>91</v>
      </c>
      <c r="AJ9" s="76"/>
      <c r="AK9" s="76"/>
      <c r="AM9" s="72"/>
      <c r="AN9" s="941" t="str">
        <f>AM10</f>
        <v>北辰</v>
      </c>
      <c r="AO9" s="941"/>
      <c r="AP9" s="941"/>
      <c r="AQ9" s="941"/>
      <c r="AR9" s="941"/>
      <c r="AS9" s="941"/>
      <c r="AT9" s="941"/>
      <c r="AU9" s="941" t="str">
        <f>AM14</f>
        <v>北星</v>
      </c>
      <c r="AV9" s="941"/>
      <c r="AW9" s="941"/>
      <c r="AX9" s="941"/>
      <c r="AY9" s="941"/>
      <c r="AZ9" s="941"/>
      <c r="BA9" s="941"/>
      <c r="BB9" s="941" t="str">
        <f>AM18</f>
        <v>松陽</v>
      </c>
      <c r="BC9" s="941"/>
      <c r="BD9" s="941"/>
      <c r="BE9" s="941"/>
      <c r="BF9" s="941"/>
      <c r="BG9" s="941"/>
      <c r="BH9" s="941"/>
      <c r="BI9" s="946" t="s">
        <v>88</v>
      </c>
      <c r="BJ9" s="947"/>
      <c r="BK9" s="947"/>
      <c r="BL9" s="948"/>
      <c r="BM9" s="949" t="s">
        <v>144</v>
      </c>
      <c r="BN9" s="947"/>
      <c r="BO9" s="947"/>
      <c r="BP9" s="948"/>
      <c r="BQ9" s="73" t="s">
        <v>90</v>
      </c>
      <c r="BR9" s="73" t="s">
        <v>91</v>
      </c>
      <c r="BS9" s="191"/>
    </row>
    <row r="10" spans="1:73" ht="12.95" customHeight="1" x14ac:dyDescent="0.15">
      <c r="C10" s="938" t="str">
        <f>IF(ISERROR(MATCH('南(13時刻)'!B10,予選学校名!$H$3:$H$16,0)),"",INDEX(予選学校名!$H$3:$K$16,MATCH('南(13時刻)'!B10,予選学校名!$H$3:$H$16,0),2))</f>
        <v>松任</v>
      </c>
      <c r="D10" s="636"/>
      <c r="E10" s="637"/>
      <c r="F10" s="637"/>
      <c r="G10" s="638"/>
      <c r="H10" s="638"/>
      <c r="I10" s="638"/>
      <c r="J10" s="639"/>
      <c r="K10" s="610" t="str">
        <f>IF(M11="","",SUM(M11,M12))</f>
        <v/>
      </c>
      <c r="L10" s="611"/>
      <c r="M10" s="611"/>
      <c r="N10" s="75" t="str">
        <f>IF(K10="","",IF(K10&gt;O10,"○",IF(K10&lt;O10,"●","△")))</f>
        <v/>
      </c>
      <c r="O10" s="611" t="str">
        <f>IF(O11="","",SUM(O11,O12))</f>
        <v/>
      </c>
      <c r="P10" s="611"/>
      <c r="Q10" s="612"/>
      <c r="R10" s="610" t="str">
        <f>IF(T11="","",SUM(T11,T12))</f>
        <v/>
      </c>
      <c r="S10" s="611"/>
      <c r="T10" s="611"/>
      <c r="U10" s="75" t="str">
        <f>IF(R10="","",IF(R10&gt;V10,"○",IF(R10&lt;V10,"●","△")))</f>
        <v/>
      </c>
      <c r="V10" s="611" t="str">
        <f>IF(V11="","",SUM(V11,V12))</f>
        <v/>
      </c>
      <c r="W10" s="611"/>
      <c r="X10" s="612"/>
      <c r="Y10" s="940"/>
      <c r="Z10" s="937"/>
      <c r="AA10" s="937"/>
      <c r="AB10" s="192"/>
      <c r="AC10" s="937"/>
      <c r="AD10" s="937"/>
      <c r="AE10" s="939"/>
      <c r="AF10" s="608" t="str">
        <f>IF(COUNT(D11:AE11)=0,"",COUNTIF(D10:AE10,"○")*3+COUNTIF(D10:AE10,"△"))</f>
        <v/>
      </c>
      <c r="AG10" s="608" t="str">
        <f>IF(AF10="","",SUM(H10:H21)/2-SUM(F10:F21))</f>
        <v/>
      </c>
      <c r="AH10" s="608" t="str">
        <f>IF(AF10="","",SUM(H10:H21)/2)</f>
        <v/>
      </c>
      <c r="AI10" s="608" t="str">
        <f>IF(OR(AF10="",MOD(COUNT(D10:AE10),2)=1),"",RANK(AJ10,$AJ$10:$AJ$25))</f>
        <v/>
      </c>
      <c r="AJ10" s="76" t="str">
        <f>IF(OR(AF10="",MOD(COUNT(D10:AE10),2)=1),"",AF10*10000+AG10*100+AH10)</f>
        <v/>
      </c>
      <c r="AK10" s="76"/>
      <c r="AM10" s="938" t="str">
        <f>IF(ISERROR(MATCH('南(13時刻)'!AL10,予選学校名!$H$3:$H$16,0)),"",INDEX(予選学校名!$H$3:$K$16,MATCH('南(13時刻)'!AL10,予選学校名!$H$3:$H$16,0),2))</f>
        <v>北辰</v>
      </c>
      <c r="AN10" s="636"/>
      <c r="AO10" s="637"/>
      <c r="AP10" s="637"/>
      <c r="AQ10" s="638"/>
      <c r="AR10" s="638"/>
      <c r="AS10" s="638"/>
      <c r="AT10" s="639"/>
      <c r="AU10" s="610" t="str">
        <f>IF(AW11="","",SUM(AW11,AW12))</f>
        <v/>
      </c>
      <c r="AV10" s="611"/>
      <c r="AW10" s="611"/>
      <c r="AX10" s="75" t="str">
        <f>IF(AU10="","",IF(AU10&gt;AY10,"○",IF(AU10&lt;AY10,"●","△")))</f>
        <v/>
      </c>
      <c r="AY10" s="611" t="str">
        <f>IF(AY11="","",SUM(AY11,AY12))</f>
        <v/>
      </c>
      <c r="AZ10" s="611"/>
      <c r="BA10" s="612"/>
      <c r="BB10" s="610" t="str">
        <f>IF(BD11="","",SUM(BD11,BD12))</f>
        <v/>
      </c>
      <c r="BC10" s="611"/>
      <c r="BD10" s="611"/>
      <c r="BE10" s="75" t="str">
        <f>IF(BB10="","",IF(BB10&gt;BF10,"○",IF(BB10&lt;BF10,"●","△")))</f>
        <v/>
      </c>
      <c r="BF10" s="611" t="str">
        <f>IF(BF11="","",SUM(BF11,BF12))</f>
        <v/>
      </c>
      <c r="BG10" s="611"/>
      <c r="BH10" s="612"/>
      <c r="BI10" s="610" t="str">
        <f>IF(COUNT(AN11:BH11)=0,"",COUNTIF(AN10:BH10,"○")*3+COUNTIF(AN10:BH10,"△"))</f>
        <v/>
      </c>
      <c r="BJ10" s="611"/>
      <c r="BK10" s="611"/>
      <c r="BL10" s="612"/>
      <c r="BM10" s="611" t="str">
        <f>IF(BI10="","",SUM(AR10:AR21)/2-SUM(AP10:AP21))</f>
        <v/>
      </c>
      <c r="BN10" s="611"/>
      <c r="BO10" s="611"/>
      <c r="BP10" s="612"/>
      <c r="BQ10" s="608" t="str">
        <f>IF(BI10="","",SUM(AR10:AR21)/2)</f>
        <v/>
      </c>
      <c r="BR10" s="608" t="str">
        <f>IF(OR(BI10="",MOD(COUNT(AN10:BH10),2)=1),"",RANK(BU10,$BU$10:$BU$25))</f>
        <v/>
      </c>
      <c r="BS10" s="773"/>
      <c r="BT10" s="115" t="str">
        <f>IF(OR(BI10="",MOD(COUNT(AN10:BH10),2)=1),"",BI10*10000+BQ10*100+BR10)</f>
        <v/>
      </c>
      <c r="BU10" s="76" t="str">
        <f>IF(OR(BI10="",MOD(COUNT(AN10:BH10),2)=1),"",BI10*10000+BM10*100+BQ10)</f>
        <v/>
      </c>
    </row>
    <row r="11" spans="1:73" x14ac:dyDescent="0.15">
      <c r="C11" s="938"/>
      <c r="D11" s="640"/>
      <c r="E11" s="641"/>
      <c r="F11" s="641"/>
      <c r="G11" s="641"/>
      <c r="H11" s="641"/>
      <c r="I11" s="641"/>
      <c r="J11" s="642"/>
      <c r="K11" s="77"/>
      <c r="M11" s="129"/>
      <c r="N11" s="61" t="s">
        <v>92</v>
      </c>
      <c r="O11" s="130"/>
      <c r="Q11" s="78"/>
      <c r="R11" s="77"/>
      <c r="T11" s="129"/>
      <c r="U11" s="61" t="s">
        <v>92</v>
      </c>
      <c r="V11" s="130"/>
      <c r="X11" s="78"/>
      <c r="Y11" s="193"/>
      <c r="AB11" s="76" t="s">
        <v>92</v>
      </c>
      <c r="AE11" s="194"/>
      <c r="AF11" s="608"/>
      <c r="AG11" s="608"/>
      <c r="AH11" s="608"/>
      <c r="AI11" s="608"/>
      <c r="AJ11" s="76"/>
      <c r="AK11" s="76"/>
      <c r="AM11" s="938"/>
      <c r="AN11" s="640"/>
      <c r="AO11" s="641"/>
      <c r="AP11" s="641"/>
      <c r="AQ11" s="641"/>
      <c r="AR11" s="641"/>
      <c r="AS11" s="641"/>
      <c r="AT11" s="642"/>
      <c r="AU11" s="77"/>
      <c r="AW11" s="129"/>
      <c r="AX11" s="61" t="s">
        <v>92</v>
      </c>
      <c r="AY11" s="130"/>
      <c r="BA11" s="78"/>
      <c r="BB11" s="77"/>
      <c r="BD11" s="129"/>
      <c r="BE11" s="61" t="s">
        <v>92</v>
      </c>
      <c r="BF11" s="130"/>
      <c r="BH11" s="78"/>
      <c r="BI11" s="752"/>
      <c r="BJ11" s="634"/>
      <c r="BK11" s="634"/>
      <c r="BL11" s="750"/>
      <c r="BM11" s="634"/>
      <c r="BN11" s="634"/>
      <c r="BO11" s="634"/>
      <c r="BP11" s="750"/>
      <c r="BQ11" s="608"/>
      <c r="BR11" s="608"/>
      <c r="BS11" s="773"/>
      <c r="BT11" s="115"/>
      <c r="BU11" s="76"/>
    </row>
    <row r="12" spans="1:73" x14ac:dyDescent="0.15">
      <c r="C12" s="938"/>
      <c r="D12" s="640"/>
      <c r="E12" s="641"/>
      <c r="F12" s="641"/>
      <c r="G12" s="641"/>
      <c r="H12" s="641"/>
      <c r="I12" s="641"/>
      <c r="J12" s="642"/>
      <c r="K12" s="77"/>
      <c r="M12" s="129"/>
      <c r="N12" s="61" t="s">
        <v>92</v>
      </c>
      <c r="O12" s="130"/>
      <c r="Q12" s="78"/>
      <c r="R12" s="77"/>
      <c r="T12" s="129"/>
      <c r="U12" s="61" t="s">
        <v>92</v>
      </c>
      <c r="V12" s="130"/>
      <c r="X12" s="78"/>
      <c r="Y12" s="193"/>
      <c r="AB12" s="76" t="s">
        <v>92</v>
      </c>
      <c r="AE12" s="194"/>
      <c r="AF12" s="608"/>
      <c r="AG12" s="608"/>
      <c r="AH12" s="608"/>
      <c r="AI12" s="608"/>
      <c r="AJ12" s="76"/>
      <c r="AK12" s="76"/>
      <c r="AM12" s="938"/>
      <c r="AN12" s="640"/>
      <c r="AO12" s="641"/>
      <c r="AP12" s="641"/>
      <c r="AQ12" s="641"/>
      <c r="AR12" s="641"/>
      <c r="AS12" s="641"/>
      <c r="AT12" s="642"/>
      <c r="AU12" s="77"/>
      <c r="AW12" s="129"/>
      <c r="AX12" s="61" t="s">
        <v>92</v>
      </c>
      <c r="AY12" s="130"/>
      <c r="BA12" s="78"/>
      <c r="BB12" s="77"/>
      <c r="BD12" s="129"/>
      <c r="BE12" s="61" t="s">
        <v>92</v>
      </c>
      <c r="BF12" s="130"/>
      <c r="BH12" s="78"/>
      <c r="BI12" s="752"/>
      <c r="BJ12" s="634"/>
      <c r="BK12" s="634"/>
      <c r="BL12" s="750"/>
      <c r="BM12" s="634"/>
      <c r="BN12" s="634"/>
      <c r="BO12" s="634"/>
      <c r="BP12" s="750"/>
      <c r="BQ12" s="608"/>
      <c r="BR12" s="608"/>
      <c r="BS12" s="773"/>
      <c r="BT12" s="115"/>
      <c r="BU12" s="76"/>
    </row>
    <row r="13" spans="1:73" ht="3.75" customHeight="1" x14ac:dyDescent="0.15">
      <c r="C13" s="938"/>
      <c r="D13" s="643"/>
      <c r="E13" s="644"/>
      <c r="F13" s="644"/>
      <c r="G13" s="644"/>
      <c r="H13" s="644"/>
      <c r="I13" s="644"/>
      <c r="J13" s="645"/>
      <c r="K13" s="79"/>
      <c r="L13" s="80"/>
      <c r="M13" s="81"/>
      <c r="N13" s="82"/>
      <c r="O13" s="83"/>
      <c r="P13" s="80"/>
      <c r="Q13" s="84"/>
      <c r="R13" s="79"/>
      <c r="S13" s="80"/>
      <c r="T13" s="81"/>
      <c r="U13" s="82"/>
      <c r="V13" s="83"/>
      <c r="W13" s="80"/>
      <c r="X13" s="84"/>
      <c r="Y13" s="195"/>
      <c r="Z13" s="196"/>
      <c r="AA13" s="196"/>
      <c r="AB13" s="197"/>
      <c r="AC13" s="196"/>
      <c r="AD13" s="196"/>
      <c r="AE13" s="198"/>
      <c r="AF13" s="608"/>
      <c r="AG13" s="608"/>
      <c r="AH13" s="608"/>
      <c r="AI13" s="608"/>
      <c r="AJ13" s="76"/>
      <c r="AK13" s="76"/>
      <c r="AM13" s="938"/>
      <c r="AN13" s="643"/>
      <c r="AO13" s="644"/>
      <c r="AP13" s="644"/>
      <c r="AQ13" s="644"/>
      <c r="AR13" s="644"/>
      <c r="AS13" s="644"/>
      <c r="AT13" s="645"/>
      <c r="AU13" s="79"/>
      <c r="AV13" s="80"/>
      <c r="AW13" s="81"/>
      <c r="AX13" s="82"/>
      <c r="AY13" s="83"/>
      <c r="AZ13" s="80"/>
      <c r="BA13" s="84"/>
      <c r="BB13" s="79"/>
      <c r="BC13" s="80"/>
      <c r="BD13" s="81"/>
      <c r="BE13" s="82"/>
      <c r="BF13" s="83"/>
      <c r="BG13" s="80"/>
      <c r="BH13" s="84"/>
      <c r="BI13" s="943"/>
      <c r="BJ13" s="944"/>
      <c r="BK13" s="944"/>
      <c r="BL13" s="945"/>
      <c r="BM13" s="944"/>
      <c r="BN13" s="944"/>
      <c r="BO13" s="944"/>
      <c r="BP13" s="945"/>
      <c r="BQ13" s="608"/>
      <c r="BR13" s="608"/>
      <c r="BS13" s="773"/>
      <c r="BT13" s="115"/>
      <c r="BU13" s="76" t="str">
        <f t="shared" ref="BU13:BU21" si="0">IF(OR(BI13="",MOD(COUNT(AN13:BH13),2)=1),"",BI13*10000+BM13*100+BQ13)</f>
        <v/>
      </c>
    </row>
    <row r="14" spans="1:73" x14ac:dyDescent="0.15">
      <c r="C14" s="938" t="str">
        <f>IF(ISERROR(MATCH('南(13時刻)'!B14,予選学校名!$H$3:$H$16,0)),"",INDEX(予選学校名!$H$3:$K$16,MATCH('南(13時刻)'!B14,予選学校名!$H$3:$H$16,0),2))</f>
        <v>美川</v>
      </c>
      <c r="D14" s="610" t="str">
        <f>IF(F15="","",SUM(F15,F16))</f>
        <v/>
      </c>
      <c r="E14" s="611"/>
      <c r="F14" s="611"/>
      <c r="G14" s="75" t="str">
        <f>IF(D14="","",IF(D14&gt;H14,"○",IF(D14&lt;H14,"●","△")))</f>
        <v/>
      </c>
      <c r="H14" s="611" t="str">
        <f>IF(H15="","",SUM(H15,H16))</f>
        <v/>
      </c>
      <c r="I14" s="611"/>
      <c r="J14" s="612"/>
      <c r="K14" s="636"/>
      <c r="L14" s="637"/>
      <c r="M14" s="637"/>
      <c r="N14" s="638"/>
      <c r="O14" s="638"/>
      <c r="P14" s="638"/>
      <c r="Q14" s="639"/>
      <c r="R14" s="610" t="str">
        <f>IF(T15="","",SUM(T15,T16))</f>
        <v/>
      </c>
      <c r="S14" s="611"/>
      <c r="T14" s="611"/>
      <c r="U14" s="75" t="str">
        <f>IF(R14="","",IF(R14&gt;V14,"○",IF(R14&lt;V14,"●","△")))</f>
        <v/>
      </c>
      <c r="V14" s="611" t="str">
        <f>IF(V15="","",SUM(V15,V16))</f>
        <v/>
      </c>
      <c r="W14" s="611"/>
      <c r="X14" s="612"/>
      <c r="Y14" s="940"/>
      <c r="Z14" s="937"/>
      <c r="AA14" s="937"/>
      <c r="AB14" s="192"/>
      <c r="AC14" s="937"/>
      <c r="AD14" s="937"/>
      <c r="AE14" s="939"/>
      <c r="AF14" s="608" t="str">
        <f>IF(COUNT(D15:AE15)=0,"",COUNTIF(D14:AE14,"○")*3+COUNTIF(D14:AE14,"△"))</f>
        <v/>
      </c>
      <c r="AG14" s="608" t="str">
        <f>IF(AF14="","",SUM(O10:O21)/2-SUM(M10:M21))</f>
        <v/>
      </c>
      <c r="AH14" s="608" t="str">
        <f>IF(AF14="","",SUM(O10:O21)/2)</f>
        <v/>
      </c>
      <c r="AI14" s="608" t="str">
        <f>IF(OR(AF14="",MOD(COUNT(D14:AE14),2)=1),"",RANK(AJ14,$AJ$10:$AJ$25))</f>
        <v/>
      </c>
      <c r="AJ14" s="76" t="str">
        <f>IF(OR(AF14="",MOD(COUNT(D14:AE14),2)=1),"",AF14*10000+AG14*100+AH14)</f>
        <v/>
      </c>
      <c r="AK14" s="76"/>
      <c r="AM14" s="938" t="str">
        <f>IF(ISERROR(MATCH('南(13時刻)'!AL14,予選学校名!$H$3:$H$16,0)),"",INDEX(予選学校名!$H$3:$K$16,MATCH('南(13時刻)'!AL14,予選学校名!$H$3:$H$16,0),2))</f>
        <v>北星</v>
      </c>
      <c r="AN14" s="610" t="str">
        <f>IF(AP15="","",SUM(AP15,AP16))</f>
        <v/>
      </c>
      <c r="AO14" s="611"/>
      <c r="AP14" s="611"/>
      <c r="AQ14" s="75" t="str">
        <f>IF(AN14="","",IF(AN14&gt;AR14,"○",IF(AN14&lt;AR14,"●","△")))</f>
        <v/>
      </c>
      <c r="AR14" s="611" t="str">
        <f>IF(AR15="","",SUM(AR15,AR16))</f>
        <v/>
      </c>
      <c r="AS14" s="611"/>
      <c r="AT14" s="612"/>
      <c r="AU14" s="636"/>
      <c r="AV14" s="637"/>
      <c r="AW14" s="637"/>
      <c r="AX14" s="638"/>
      <c r="AY14" s="638"/>
      <c r="AZ14" s="638"/>
      <c r="BA14" s="639"/>
      <c r="BB14" s="610" t="str">
        <f>IF(BD15="","",SUM(BD15,BD16))</f>
        <v/>
      </c>
      <c r="BC14" s="611"/>
      <c r="BD14" s="611"/>
      <c r="BE14" s="75" t="str">
        <f>IF(BB14="","",IF(BB14&gt;BF14,"○",IF(BB14&lt;BF14,"●","△")))</f>
        <v/>
      </c>
      <c r="BF14" s="611" t="str">
        <f>IF(BF15="","",SUM(BF15,BF16))</f>
        <v/>
      </c>
      <c r="BG14" s="611"/>
      <c r="BH14" s="612"/>
      <c r="BI14" s="610" t="str">
        <f>IF(COUNT(AN15:BH15)=0,"",COUNTIF(AN14:BH14,"○")*3+COUNTIF(AN14:BH14,"△"))</f>
        <v/>
      </c>
      <c r="BJ14" s="611"/>
      <c r="BK14" s="611"/>
      <c r="BL14" s="612"/>
      <c r="BM14" s="611" t="str">
        <f>IF(BI14="","",SUM(AY10:AY21)/2-SUM(AW10:AW21))</f>
        <v/>
      </c>
      <c r="BN14" s="611"/>
      <c r="BO14" s="611"/>
      <c r="BP14" s="612"/>
      <c r="BQ14" s="608" t="str">
        <f>IF(BI14="","",SUM(AY10:AY21)/2)</f>
        <v/>
      </c>
      <c r="BR14" s="608" t="str">
        <f t="shared" ref="BR14" si="1">IF(OR(BI14="",MOD(COUNT(AN14:BH14),2)=1),"",RANK(BU14,$BU$10:$BU$25))</f>
        <v/>
      </c>
      <c r="BS14" s="773"/>
      <c r="BT14" s="115" t="str">
        <f t="shared" ref="BT14" si="2">IF(OR(BI14="",MOD(COUNT(AN14:BH14),2)=1),"",BI14*10000+BQ14*100+BR14)</f>
        <v/>
      </c>
      <c r="BU14" s="76" t="str">
        <f t="shared" si="0"/>
        <v/>
      </c>
    </row>
    <row r="15" spans="1:73" x14ac:dyDescent="0.15">
      <c r="C15" s="938"/>
      <c r="D15" s="77"/>
      <c r="F15" s="64" t="str">
        <f>IF(O11="","",O11)</f>
        <v/>
      </c>
      <c r="G15" s="61" t="s">
        <v>92</v>
      </c>
      <c r="H15" s="65" t="str">
        <f>IF(M11="","",M11)</f>
        <v/>
      </c>
      <c r="J15" s="78"/>
      <c r="K15" s="640"/>
      <c r="L15" s="641"/>
      <c r="M15" s="641"/>
      <c r="N15" s="641"/>
      <c r="O15" s="641"/>
      <c r="P15" s="641"/>
      <c r="Q15" s="642"/>
      <c r="R15" s="77"/>
      <c r="T15" s="129"/>
      <c r="U15" s="61" t="s">
        <v>92</v>
      </c>
      <c r="V15" s="130"/>
      <c r="X15" s="78"/>
      <c r="Y15" s="193"/>
      <c r="AB15" s="76" t="s">
        <v>92</v>
      </c>
      <c r="AE15" s="194"/>
      <c r="AF15" s="608"/>
      <c r="AG15" s="608"/>
      <c r="AH15" s="608"/>
      <c r="AI15" s="608"/>
      <c r="AJ15" s="76"/>
      <c r="AK15" s="76"/>
      <c r="AM15" s="938"/>
      <c r="AN15" s="77"/>
      <c r="AP15" s="64" t="str">
        <f>IF(AY11="","",AY11)</f>
        <v/>
      </c>
      <c r="AQ15" s="61" t="s">
        <v>92</v>
      </c>
      <c r="AR15" s="65" t="str">
        <f>IF(AW11="","",AW11)</f>
        <v/>
      </c>
      <c r="AT15" s="78"/>
      <c r="AU15" s="640"/>
      <c r="AV15" s="641"/>
      <c r="AW15" s="641"/>
      <c r="AX15" s="641"/>
      <c r="AY15" s="641"/>
      <c r="AZ15" s="641"/>
      <c r="BA15" s="642"/>
      <c r="BB15" s="77"/>
      <c r="BD15" s="129"/>
      <c r="BE15" s="61" t="s">
        <v>92</v>
      </c>
      <c r="BF15" s="130"/>
      <c r="BH15" s="78"/>
      <c r="BI15" s="752"/>
      <c r="BJ15" s="634"/>
      <c r="BK15" s="634"/>
      <c r="BL15" s="750"/>
      <c r="BM15" s="634"/>
      <c r="BN15" s="634"/>
      <c r="BO15" s="634"/>
      <c r="BP15" s="750"/>
      <c r="BQ15" s="608"/>
      <c r="BR15" s="608"/>
      <c r="BS15" s="773"/>
      <c r="BT15" s="115"/>
      <c r="BU15" s="76"/>
    </row>
    <row r="16" spans="1:73" x14ac:dyDescent="0.15">
      <c r="C16" s="938"/>
      <c r="D16" s="77"/>
      <c r="F16" s="64" t="str">
        <f>IF(O12="","",O12)</f>
        <v/>
      </c>
      <c r="G16" s="61" t="s">
        <v>92</v>
      </c>
      <c r="H16" s="65" t="str">
        <f>IF(M12="","",M12)</f>
        <v/>
      </c>
      <c r="J16" s="78"/>
      <c r="K16" s="640"/>
      <c r="L16" s="641"/>
      <c r="M16" s="641"/>
      <c r="N16" s="641"/>
      <c r="O16" s="641"/>
      <c r="P16" s="641"/>
      <c r="Q16" s="642"/>
      <c r="R16" s="77"/>
      <c r="T16" s="129"/>
      <c r="U16" s="61" t="s">
        <v>92</v>
      </c>
      <c r="V16" s="130"/>
      <c r="X16" s="78"/>
      <c r="Y16" s="193"/>
      <c r="AB16" s="76" t="s">
        <v>92</v>
      </c>
      <c r="AE16" s="194"/>
      <c r="AF16" s="608"/>
      <c r="AG16" s="608"/>
      <c r="AH16" s="608"/>
      <c r="AI16" s="608"/>
      <c r="AJ16" s="76"/>
      <c r="AK16" s="76"/>
      <c r="AM16" s="938"/>
      <c r="AN16" s="77"/>
      <c r="AP16" s="64" t="str">
        <f>IF(AY12="","",AY12)</f>
        <v/>
      </c>
      <c r="AQ16" s="61" t="s">
        <v>92</v>
      </c>
      <c r="AR16" s="65" t="str">
        <f>IF(AW12="","",AW12)</f>
        <v/>
      </c>
      <c r="AT16" s="78"/>
      <c r="AU16" s="640"/>
      <c r="AV16" s="641"/>
      <c r="AW16" s="641"/>
      <c r="AX16" s="641"/>
      <c r="AY16" s="641"/>
      <c r="AZ16" s="641"/>
      <c r="BA16" s="642"/>
      <c r="BB16" s="77"/>
      <c r="BD16" s="129"/>
      <c r="BE16" s="61" t="s">
        <v>92</v>
      </c>
      <c r="BF16" s="130"/>
      <c r="BH16" s="78"/>
      <c r="BI16" s="752"/>
      <c r="BJ16" s="634"/>
      <c r="BK16" s="634"/>
      <c r="BL16" s="750"/>
      <c r="BM16" s="634"/>
      <c r="BN16" s="634"/>
      <c r="BO16" s="634"/>
      <c r="BP16" s="750"/>
      <c r="BQ16" s="608"/>
      <c r="BR16" s="608"/>
      <c r="BS16" s="773"/>
      <c r="BT16" s="115"/>
      <c r="BU16" s="76"/>
    </row>
    <row r="17" spans="1:73" ht="3.75" customHeight="1" x14ac:dyDescent="0.15">
      <c r="C17" s="938"/>
      <c r="D17" s="79"/>
      <c r="E17" s="80"/>
      <c r="F17" s="81"/>
      <c r="G17" s="82"/>
      <c r="H17" s="83"/>
      <c r="I17" s="80"/>
      <c r="J17" s="84"/>
      <c r="K17" s="643"/>
      <c r="L17" s="644"/>
      <c r="M17" s="644"/>
      <c r="N17" s="644"/>
      <c r="O17" s="644"/>
      <c r="P17" s="644"/>
      <c r="Q17" s="645"/>
      <c r="R17" s="79"/>
      <c r="S17" s="80"/>
      <c r="T17" s="81"/>
      <c r="U17" s="82"/>
      <c r="V17" s="83"/>
      <c r="W17" s="80"/>
      <c r="X17" s="84"/>
      <c r="Y17" s="195"/>
      <c r="Z17" s="196"/>
      <c r="AA17" s="196"/>
      <c r="AB17" s="197"/>
      <c r="AC17" s="196"/>
      <c r="AD17" s="196"/>
      <c r="AE17" s="198"/>
      <c r="AF17" s="608"/>
      <c r="AG17" s="608"/>
      <c r="AH17" s="608"/>
      <c r="AI17" s="608"/>
      <c r="AJ17" s="76"/>
      <c r="AK17" s="76"/>
      <c r="AM17" s="938"/>
      <c r="AN17" s="79"/>
      <c r="AO17" s="80"/>
      <c r="AP17" s="81"/>
      <c r="AQ17" s="82"/>
      <c r="AR17" s="83"/>
      <c r="AS17" s="80"/>
      <c r="AT17" s="84"/>
      <c r="AU17" s="643"/>
      <c r="AV17" s="644"/>
      <c r="AW17" s="644"/>
      <c r="AX17" s="644"/>
      <c r="AY17" s="644"/>
      <c r="AZ17" s="644"/>
      <c r="BA17" s="645"/>
      <c r="BB17" s="79"/>
      <c r="BC17" s="80"/>
      <c r="BD17" s="81"/>
      <c r="BE17" s="82"/>
      <c r="BF17" s="83"/>
      <c r="BG17" s="80"/>
      <c r="BH17" s="84"/>
      <c r="BI17" s="943"/>
      <c r="BJ17" s="944"/>
      <c r="BK17" s="944"/>
      <c r="BL17" s="945"/>
      <c r="BM17" s="944"/>
      <c r="BN17" s="944"/>
      <c r="BO17" s="944"/>
      <c r="BP17" s="945"/>
      <c r="BQ17" s="608"/>
      <c r="BR17" s="608"/>
      <c r="BS17" s="773"/>
      <c r="BT17" s="115"/>
      <c r="BU17" s="76" t="str">
        <f t="shared" si="0"/>
        <v/>
      </c>
    </row>
    <row r="18" spans="1:73" x14ac:dyDescent="0.15">
      <c r="C18" s="938" t="str">
        <f>IF(ISERROR(MATCH('南(13時刻)'!B18,予選学校名!$H$3:$H$16,0)),"",INDEX(予選学校名!$H$3:$K$16,MATCH('南(13時刻)'!B18,予選学校名!$H$3:$H$16,0),2))</f>
        <v>根上</v>
      </c>
      <c r="D18" s="610" t="str">
        <f>IF(F19="","",SUM(F19,F20))</f>
        <v/>
      </c>
      <c r="E18" s="611"/>
      <c r="F18" s="611"/>
      <c r="G18" s="75" t="str">
        <f>IF(D18="","",IF(D18&gt;H18,"○",IF(D18&lt;H18,"●","△")))</f>
        <v/>
      </c>
      <c r="H18" s="611" t="str">
        <f>IF(H19="","",SUM(H19,H20))</f>
        <v/>
      </c>
      <c r="I18" s="611"/>
      <c r="J18" s="612"/>
      <c r="K18" s="610" t="str">
        <f>IF(M19="","",SUM(M19,M20))</f>
        <v/>
      </c>
      <c r="L18" s="611"/>
      <c r="M18" s="611"/>
      <c r="N18" s="75" t="str">
        <f>IF(K18="","",IF(K18&gt;O18,"○",IF(K18&lt;O18,"●","△")))</f>
        <v/>
      </c>
      <c r="O18" s="611" t="str">
        <f>IF(O19="","",SUM(O19,O20))</f>
        <v/>
      </c>
      <c r="P18" s="611"/>
      <c r="Q18" s="612"/>
      <c r="R18" s="636"/>
      <c r="S18" s="637"/>
      <c r="T18" s="637"/>
      <c r="U18" s="638"/>
      <c r="V18" s="638"/>
      <c r="W18" s="638"/>
      <c r="X18" s="639"/>
      <c r="Y18" s="940"/>
      <c r="Z18" s="937"/>
      <c r="AA18" s="937"/>
      <c r="AB18" s="192"/>
      <c r="AC18" s="937"/>
      <c r="AD18" s="937"/>
      <c r="AE18" s="939"/>
      <c r="AF18" s="608" t="str">
        <f>IF(COUNT(D19:AE19)=0,"",COUNTIF(D18:AE18,"○")*3+COUNTIF(D18:AE18,"△"))</f>
        <v/>
      </c>
      <c r="AG18" s="608" t="str">
        <f>IF(AF18="","",SUM(V10:V21)/2-SUM(T10:T21))</f>
        <v/>
      </c>
      <c r="AH18" s="608" t="str">
        <f>IF(AF18="","",SUM(V10:V21)/2)</f>
        <v/>
      </c>
      <c r="AI18" s="608" t="str">
        <f>IF(OR(AF18="",MOD(COUNT(D18:AE18),2)=1),"",RANK(AJ18,$AJ$10:$AJ$25))</f>
        <v/>
      </c>
      <c r="AJ18" s="76" t="str">
        <f>IF(OR(AF18="",MOD(COUNT(D18:AE18),2)=1),"",AF18*10000+AG18*100+AH18)</f>
        <v/>
      </c>
      <c r="AK18" s="76"/>
      <c r="AM18" s="938" t="str">
        <f>IF(ISERROR(MATCH('南(13時刻)'!AL18,予選学校名!$H$3:$H$16,0)),"",INDEX(予選学校名!$H$3:$K$16,MATCH('南(13時刻)'!AL18,予選学校名!$H$3:$H$16,0),2))</f>
        <v>松陽</v>
      </c>
      <c r="AN18" s="610" t="str">
        <f>IF(AP19="","",SUM(AP19,AP20))</f>
        <v/>
      </c>
      <c r="AO18" s="611"/>
      <c r="AP18" s="611"/>
      <c r="AQ18" s="75" t="str">
        <f>IF(AN18="","",IF(AN18&gt;AR18,"○",IF(AN18&lt;AR18,"●","△")))</f>
        <v/>
      </c>
      <c r="AR18" s="611" t="str">
        <f>IF(AR19="","",SUM(AR19,AR20))</f>
        <v/>
      </c>
      <c r="AS18" s="611"/>
      <c r="AT18" s="612"/>
      <c r="AU18" s="610" t="str">
        <f>IF(AW19="","",SUM(AW19,AW20))</f>
        <v/>
      </c>
      <c r="AV18" s="611"/>
      <c r="AW18" s="611"/>
      <c r="AX18" s="75" t="str">
        <f>IF(AU18="","",IF(AU18&gt;AY18,"○",IF(AU18&lt;AY18,"●","△")))</f>
        <v/>
      </c>
      <c r="AY18" s="611" t="str">
        <f>IF(AY19="","",SUM(AY19,AY20))</f>
        <v/>
      </c>
      <c r="AZ18" s="611"/>
      <c r="BA18" s="612"/>
      <c r="BB18" s="636"/>
      <c r="BC18" s="637"/>
      <c r="BD18" s="637"/>
      <c r="BE18" s="638"/>
      <c r="BF18" s="638"/>
      <c r="BG18" s="638"/>
      <c r="BH18" s="639"/>
      <c r="BI18" s="610" t="str">
        <f>IF(COUNT(AN19:BH19)=0,"",COUNTIF(AN18:BH18,"○")*3+COUNTIF(AN18:BH18,"△"))</f>
        <v/>
      </c>
      <c r="BJ18" s="611"/>
      <c r="BK18" s="611"/>
      <c r="BL18" s="612"/>
      <c r="BM18" s="611" t="str">
        <f>IF(BI18="","",SUM(BF10:BF21)/2-SUM(BD10:BD21))</f>
        <v/>
      </c>
      <c r="BN18" s="611"/>
      <c r="BO18" s="611"/>
      <c r="BP18" s="612"/>
      <c r="BQ18" s="608" t="str">
        <f>IF(BI18="","",SUM(BF10:BF21)/2)</f>
        <v/>
      </c>
      <c r="BR18" s="608" t="str">
        <f t="shared" ref="BR18" si="3">IF(OR(BI18="",MOD(COUNT(AN18:BH18),2)=1),"",RANK(BU18,$BU$10:$BU$25))</f>
        <v/>
      </c>
      <c r="BS18" s="773"/>
      <c r="BT18" s="115" t="str">
        <f t="shared" ref="BT18" si="4">IF(OR(BI18="",MOD(COUNT(AN18:BH18),2)=1),"",BI18*10000+BQ18*100+BR18)</f>
        <v/>
      </c>
      <c r="BU18" s="76" t="str">
        <f t="shared" si="0"/>
        <v/>
      </c>
    </row>
    <row r="19" spans="1:73" x14ac:dyDescent="0.15">
      <c r="C19" s="938"/>
      <c r="D19" s="77"/>
      <c r="F19" s="64" t="str">
        <f>IF(V11="","",V11)</f>
        <v/>
      </c>
      <c r="G19" s="61" t="s">
        <v>92</v>
      </c>
      <c r="H19" s="65" t="str">
        <f>IF(T11="","",T11)</f>
        <v/>
      </c>
      <c r="J19" s="78"/>
      <c r="K19" s="77"/>
      <c r="M19" s="64" t="str">
        <f>IF(V15="","",V15)</f>
        <v/>
      </c>
      <c r="N19" s="61" t="s">
        <v>92</v>
      </c>
      <c r="O19" s="65" t="str">
        <f>IF(T15="","",T15)</f>
        <v/>
      </c>
      <c r="Q19" s="78"/>
      <c r="R19" s="640"/>
      <c r="S19" s="641"/>
      <c r="T19" s="641"/>
      <c r="U19" s="641"/>
      <c r="V19" s="641"/>
      <c r="W19" s="641"/>
      <c r="X19" s="642"/>
      <c r="Y19" s="193"/>
      <c r="AE19" s="194"/>
      <c r="AF19" s="608"/>
      <c r="AG19" s="608"/>
      <c r="AH19" s="608"/>
      <c r="AI19" s="608"/>
      <c r="AJ19" s="76"/>
      <c r="AK19" s="76"/>
      <c r="AM19" s="938"/>
      <c r="AN19" s="77"/>
      <c r="AP19" s="64" t="str">
        <f>IF(BF11="","",BF11)</f>
        <v/>
      </c>
      <c r="AQ19" s="61" t="s">
        <v>92</v>
      </c>
      <c r="AR19" s="65" t="str">
        <f>IF(BD11="","",BD11)</f>
        <v/>
      </c>
      <c r="AT19" s="78"/>
      <c r="AU19" s="77"/>
      <c r="AW19" s="64" t="str">
        <f>IF(BF15="","",BF15)</f>
        <v/>
      </c>
      <c r="AX19" s="61" t="s">
        <v>92</v>
      </c>
      <c r="AY19" s="65" t="str">
        <f>IF(BD15="","",BD15)</f>
        <v/>
      </c>
      <c r="BA19" s="78"/>
      <c r="BB19" s="640"/>
      <c r="BC19" s="641"/>
      <c r="BD19" s="641"/>
      <c r="BE19" s="641"/>
      <c r="BF19" s="641"/>
      <c r="BG19" s="641"/>
      <c r="BH19" s="642"/>
      <c r="BI19" s="752"/>
      <c r="BJ19" s="634"/>
      <c r="BK19" s="634"/>
      <c r="BL19" s="750"/>
      <c r="BM19" s="634"/>
      <c r="BN19" s="634"/>
      <c r="BO19" s="634"/>
      <c r="BP19" s="750"/>
      <c r="BQ19" s="608"/>
      <c r="BR19" s="608"/>
      <c r="BS19" s="773"/>
      <c r="BT19" s="115"/>
      <c r="BU19" s="76"/>
    </row>
    <row r="20" spans="1:73" x14ac:dyDescent="0.15">
      <c r="C20" s="938"/>
      <c r="D20" s="77"/>
      <c r="F20" s="64" t="str">
        <f>IF(V12="","",V12)</f>
        <v/>
      </c>
      <c r="G20" s="61" t="s">
        <v>92</v>
      </c>
      <c r="H20" s="65" t="str">
        <f>IF(T12="","",T12)</f>
        <v/>
      </c>
      <c r="J20" s="78"/>
      <c r="K20" s="77"/>
      <c r="M20" s="64" t="str">
        <f>IF(V16="","",V16)</f>
        <v/>
      </c>
      <c r="N20" s="61" t="s">
        <v>92</v>
      </c>
      <c r="O20" s="65" t="str">
        <f>IF(T16="","",T16)</f>
        <v/>
      </c>
      <c r="Q20" s="78"/>
      <c r="R20" s="640"/>
      <c r="S20" s="641"/>
      <c r="T20" s="641"/>
      <c r="U20" s="641"/>
      <c r="V20" s="641"/>
      <c r="W20" s="641"/>
      <c r="X20" s="642"/>
      <c r="Y20" s="193"/>
      <c r="AE20" s="194"/>
      <c r="AF20" s="608"/>
      <c r="AG20" s="608"/>
      <c r="AH20" s="608"/>
      <c r="AI20" s="608"/>
      <c r="AJ20" s="76"/>
      <c r="AK20" s="76"/>
      <c r="AM20" s="938"/>
      <c r="AN20" s="77"/>
      <c r="AP20" s="64" t="str">
        <f>IF(BF12="","",BF12)</f>
        <v/>
      </c>
      <c r="AQ20" s="61" t="s">
        <v>92</v>
      </c>
      <c r="AR20" s="65" t="str">
        <f>IF(BD12="","",BD12)</f>
        <v/>
      </c>
      <c r="AT20" s="78"/>
      <c r="AU20" s="77"/>
      <c r="AW20" s="64" t="str">
        <f>IF(BF16="","",BF16)</f>
        <v/>
      </c>
      <c r="AX20" s="61" t="s">
        <v>92</v>
      </c>
      <c r="AY20" s="65" t="str">
        <f>IF(BD16="","",BD16)</f>
        <v/>
      </c>
      <c r="BA20" s="78"/>
      <c r="BB20" s="640"/>
      <c r="BC20" s="641"/>
      <c r="BD20" s="641"/>
      <c r="BE20" s="641"/>
      <c r="BF20" s="641"/>
      <c r="BG20" s="641"/>
      <c r="BH20" s="642"/>
      <c r="BI20" s="752"/>
      <c r="BJ20" s="634"/>
      <c r="BK20" s="634"/>
      <c r="BL20" s="750"/>
      <c r="BM20" s="634"/>
      <c r="BN20" s="634"/>
      <c r="BO20" s="634"/>
      <c r="BP20" s="750"/>
      <c r="BQ20" s="608"/>
      <c r="BR20" s="608"/>
      <c r="BS20" s="773"/>
      <c r="BT20" s="115"/>
      <c r="BU20" s="76"/>
    </row>
    <row r="21" spans="1:73" ht="3.75" customHeight="1" x14ac:dyDescent="0.15">
      <c r="C21" s="938"/>
      <c r="D21" s="79"/>
      <c r="E21" s="80"/>
      <c r="F21" s="81"/>
      <c r="G21" s="82"/>
      <c r="H21" s="83"/>
      <c r="I21" s="80"/>
      <c r="J21" s="84"/>
      <c r="K21" s="79"/>
      <c r="L21" s="80"/>
      <c r="M21" s="81"/>
      <c r="N21" s="82"/>
      <c r="O21" s="83"/>
      <c r="P21" s="80"/>
      <c r="Q21" s="84"/>
      <c r="R21" s="643"/>
      <c r="S21" s="644"/>
      <c r="T21" s="644"/>
      <c r="U21" s="644"/>
      <c r="V21" s="644"/>
      <c r="W21" s="644"/>
      <c r="X21" s="645"/>
      <c r="Y21" s="195"/>
      <c r="Z21" s="196"/>
      <c r="AA21" s="196"/>
      <c r="AB21" s="197"/>
      <c r="AC21" s="196"/>
      <c r="AD21" s="196"/>
      <c r="AE21" s="198"/>
      <c r="AF21" s="608"/>
      <c r="AG21" s="608"/>
      <c r="AH21" s="608"/>
      <c r="AI21" s="608"/>
      <c r="AJ21" s="76"/>
      <c r="AK21" s="76"/>
      <c r="AM21" s="938"/>
      <c r="AN21" s="79"/>
      <c r="AO21" s="80"/>
      <c r="AP21" s="81"/>
      <c r="AQ21" s="82"/>
      <c r="AR21" s="83"/>
      <c r="AS21" s="80"/>
      <c r="AT21" s="84"/>
      <c r="AU21" s="79"/>
      <c r="AV21" s="80"/>
      <c r="AW21" s="81"/>
      <c r="AX21" s="82"/>
      <c r="AY21" s="83"/>
      <c r="AZ21" s="80"/>
      <c r="BA21" s="84"/>
      <c r="BB21" s="643"/>
      <c r="BC21" s="644"/>
      <c r="BD21" s="644"/>
      <c r="BE21" s="644"/>
      <c r="BF21" s="644"/>
      <c r="BG21" s="644"/>
      <c r="BH21" s="645"/>
      <c r="BI21" s="943"/>
      <c r="BJ21" s="944"/>
      <c r="BK21" s="944"/>
      <c r="BL21" s="945"/>
      <c r="BM21" s="944"/>
      <c r="BN21" s="944"/>
      <c r="BO21" s="944"/>
      <c r="BP21" s="945"/>
      <c r="BQ21" s="608"/>
      <c r="BR21" s="608"/>
      <c r="BS21" s="773"/>
      <c r="BT21" s="115"/>
      <c r="BU21" s="76" t="str">
        <f t="shared" si="0"/>
        <v/>
      </c>
    </row>
    <row r="22" spans="1:73" hidden="1" x14ac:dyDescent="0.15">
      <c r="C22" s="615"/>
      <c r="D22" s="611"/>
      <c r="E22" s="611"/>
      <c r="F22" s="611"/>
      <c r="G22" s="75"/>
      <c r="H22" s="611"/>
      <c r="I22" s="611"/>
      <c r="J22" s="611"/>
      <c r="K22" s="611"/>
      <c r="L22" s="611"/>
      <c r="M22" s="611"/>
      <c r="N22" s="75"/>
      <c r="O22" s="611"/>
      <c r="P22" s="611"/>
      <c r="Q22" s="611"/>
      <c r="R22" s="611"/>
      <c r="S22" s="611"/>
      <c r="T22" s="611"/>
      <c r="U22" s="75"/>
      <c r="V22" s="611"/>
      <c r="W22" s="611"/>
      <c r="X22" s="611"/>
      <c r="Y22" s="937"/>
      <c r="Z22" s="937"/>
      <c r="AA22" s="937"/>
      <c r="AB22" s="192"/>
      <c r="AC22" s="937"/>
      <c r="AD22" s="937"/>
      <c r="AE22" s="937"/>
      <c r="AF22" s="937"/>
      <c r="AG22" s="937"/>
      <c r="AH22" s="937"/>
      <c r="AI22" s="937"/>
      <c r="AJ22" s="76"/>
      <c r="AK22" s="76"/>
      <c r="AM22" s="938" t="str">
        <f>IF(ISERROR(MATCH('南(13)'!AL22,予選学校名!$H$3:$H$16,0)),"",INDEX(予選学校名!$H$3:$K$16,MATCH('南(13)'!AL22,予選学校名!$H$3:$H$16,0),2))</f>
        <v/>
      </c>
      <c r="AN22" s="610" t="str">
        <f>IF(AP23="","",SUM(AP23,AP24))</f>
        <v/>
      </c>
      <c r="AO22" s="611"/>
      <c r="AP22" s="611"/>
      <c r="AQ22" s="75" t="str">
        <f>IF(AN22="","",IF(AN22&gt;AR22,"○",IF(AN22&lt;AR22,"●","△")))</f>
        <v/>
      </c>
      <c r="AR22" s="611" t="str">
        <f>IF(AR23="","",SUM(AR23,AR24))</f>
        <v/>
      </c>
      <c r="AS22" s="611"/>
      <c r="AT22" s="612"/>
      <c r="AU22" s="610" t="str">
        <f>IF(AW23="","",SUM(AW23,AW24))</f>
        <v/>
      </c>
      <c r="AV22" s="611"/>
      <c r="AW22" s="611"/>
      <c r="AX22" s="75" t="str">
        <f>IF(AU22="","",IF(AU22&gt;AY22,"○",IF(AU22&lt;AY22,"●","△")))</f>
        <v/>
      </c>
      <c r="AY22" s="611" t="str">
        <f>IF(AY23="","",SUM(AY23,AY24))</f>
        <v/>
      </c>
      <c r="AZ22" s="611"/>
      <c r="BA22" s="612"/>
      <c r="BB22" s="610" t="str">
        <f>IF(BD23="","",SUM(BD23,BD24))</f>
        <v/>
      </c>
      <c r="BC22" s="611"/>
      <c r="BD22" s="611"/>
      <c r="BE22" s="75" t="str">
        <f>IF(BB22="","",IF(BB22&gt;BF22,"○",IF(BB22&lt;BF22,"●","△")))</f>
        <v/>
      </c>
      <c r="BF22" s="611" t="str">
        <f>IF(BF23="","",SUM(BF23,BF24))</f>
        <v/>
      </c>
      <c r="BG22" s="611"/>
      <c r="BH22" s="612"/>
      <c r="BI22" s="636"/>
      <c r="BJ22" s="637"/>
      <c r="BK22" s="637"/>
      <c r="BL22" s="638"/>
      <c r="BM22" s="638"/>
      <c r="BN22" s="638"/>
      <c r="BO22" s="638"/>
      <c r="BP22" s="639"/>
      <c r="BQ22" s="608" t="str">
        <f>IF(COUNT(AN23:BP23)=0,"",COUNTIF(AN22:BP22,"○")*3+COUNTIF(AN22:BP22,"△"))</f>
        <v/>
      </c>
      <c r="BR22" s="608" t="str">
        <f>IF(BQ22="","",SUM(BN10:BN25)/2-SUM(BI10:BI25))</f>
        <v/>
      </c>
      <c r="BS22" s="649" t="str">
        <f>IF(BQ22="","",SUM(BN10:BN25)/2)</f>
        <v/>
      </c>
      <c r="BT22" s="608" t="str">
        <f>IF(OR(BQ22="",MOD(COUNT(AN22:BP22),2)=1),"",RANK(BU22,$BU$10:$BU$25))</f>
        <v/>
      </c>
      <c r="BU22" s="76" t="str">
        <f>IF(OR(BQ22="",MOD(COUNT(AN22:BP22),2)=1),"",BQ22*10000+BR22*100+BS22)</f>
        <v/>
      </c>
    </row>
    <row r="23" spans="1:73" hidden="1" x14ac:dyDescent="0.15">
      <c r="C23" s="615"/>
      <c r="AF23" s="615"/>
      <c r="AG23" s="615"/>
      <c r="AH23" s="615"/>
      <c r="AI23" s="615"/>
      <c r="AJ23" s="76"/>
      <c r="AK23" s="76"/>
      <c r="AM23" s="938"/>
      <c r="AN23" s="77"/>
      <c r="AP23" s="64" t="str">
        <f>IF(BN11="","",BN11)</f>
        <v/>
      </c>
      <c r="AQ23" s="61" t="s">
        <v>92</v>
      </c>
      <c r="AR23" s="65" t="str">
        <f>IF(BK11="","",BK11)</f>
        <v/>
      </c>
      <c r="AT23" s="78"/>
      <c r="AU23" s="77"/>
      <c r="AW23" s="64" t="str">
        <f>IF(BN15="","",BN15)</f>
        <v/>
      </c>
      <c r="AX23" s="61" t="s">
        <v>92</v>
      </c>
      <c r="AY23" s="65" t="str">
        <f>IF(BK15="","",BK15)</f>
        <v/>
      </c>
      <c r="BA23" s="78"/>
      <c r="BB23" s="77"/>
      <c r="BD23" s="64" t="str">
        <f>IF(BN19="","",BN19)</f>
        <v/>
      </c>
      <c r="BE23" s="61" t="s">
        <v>92</v>
      </c>
      <c r="BF23" s="65" t="str">
        <f>IF(BK19="","",BK19)</f>
        <v/>
      </c>
      <c r="BH23" s="78"/>
      <c r="BI23" s="640"/>
      <c r="BJ23" s="641"/>
      <c r="BK23" s="641"/>
      <c r="BL23" s="641"/>
      <c r="BM23" s="641"/>
      <c r="BN23" s="641"/>
      <c r="BO23" s="641"/>
      <c r="BP23" s="642"/>
      <c r="BQ23" s="608"/>
      <c r="BR23" s="608"/>
      <c r="BS23" s="608"/>
      <c r="BT23" s="608"/>
      <c r="BU23" s="76"/>
    </row>
    <row r="24" spans="1:73" hidden="1" x14ac:dyDescent="0.15">
      <c r="C24" s="615"/>
      <c r="AF24" s="615"/>
      <c r="AG24" s="615"/>
      <c r="AH24" s="615"/>
      <c r="AI24" s="615"/>
      <c r="AJ24" s="76"/>
      <c r="AK24" s="76"/>
      <c r="AM24" s="938"/>
      <c r="AN24" s="77"/>
      <c r="AP24" s="64" t="str">
        <f>IF(BN12="","",BN12)</f>
        <v/>
      </c>
      <c r="AQ24" s="61" t="s">
        <v>92</v>
      </c>
      <c r="AR24" s="65" t="str">
        <f>IF(BK12="","",BK12)</f>
        <v/>
      </c>
      <c r="AT24" s="78"/>
      <c r="AU24" s="77"/>
      <c r="AW24" s="64" t="str">
        <f>IF(BN16="","",BN16)</f>
        <v/>
      </c>
      <c r="AX24" s="61" t="s">
        <v>92</v>
      </c>
      <c r="AY24" s="65" t="str">
        <f>IF(BK16="","",BK16)</f>
        <v/>
      </c>
      <c r="BA24" s="78"/>
      <c r="BB24" s="77"/>
      <c r="BD24" s="64" t="str">
        <f>IF(BN20="","",BN20)</f>
        <v/>
      </c>
      <c r="BE24" s="61" t="s">
        <v>92</v>
      </c>
      <c r="BF24" s="65" t="str">
        <f>IF(BK20="","",BK20)</f>
        <v/>
      </c>
      <c r="BH24" s="78"/>
      <c r="BI24" s="640"/>
      <c r="BJ24" s="641"/>
      <c r="BK24" s="641"/>
      <c r="BL24" s="641"/>
      <c r="BM24" s="641"/>
      <c r="BN24" s="641"/>
      <c r="BO24" s="641"/>
      <c r="BP24" s="642"/>
      <c r="BQ24" s="608"/>
      <c r="BR24" s="608"/>
      <c r="BS24" s="608"/>
      <c r="BT24" s="608"/>
      <c r="BU24" s="76"/>
    </row>
    <row r="25" spans="1:73" ht="3.75" hidden="1" customHeight="1" x14ac:dyDescent="0.15">
      <c r="C25" s="615"/>
      <c r="AF25" s="615"/>
      <c r="AG25" s="615"/>
      <c r="AH25" s="615"/>
      <c r="AI25" s="615"/>
      <c r="AJ25" s="76"/>
      <c r="AK25" s="76"/>
      <c r="AM25" s="938"/>
      <c r="AN25" s="79"/>
      <c r="AO25" s="80"/>
      <c r="AP25" s="81"/>
      <c r="AQ25" s="82"/>
      <c r="AR25" s="83"/>
      <c r="AS25" s="80"/>
      <c r="AT25" s="84"/>
      <c r="AU25" s="79"/>
      <c r="AV25" s="80"/>
      <c r="AW25" s="81"/>
      <c r="AX25" s="82"/>
      <c r="AY25" s="83"/>
      <c r="AZ25" s="80"/>
      <c r="BA25" s="84"/>
      <c r="BB25" s="79"/>
      <c r="BC25" s="80"/>
      <c r="BD25" s="81"/>
      <c r="BE25" s="82"/>
      <c r="BF25" s="83"/>
      <c r="BG25" s="80"/>
      <c r="BH25" s="84"/>
      <c r="BI25" s="643"/>
      <c r="BJ25" s="644"/>
      <c r="BK25" s="644"/>
      <c r="BL25" s="644"/>
      <c r="BM25" s="644"/>
      <c r="BN25" s="644"/>
      <c r="BO25" s="644"/>
      <c r="BP25" s="645"/>
      <c r="BQ25" s="608"/>
      <c r="BR25" s="608"/>
      <c r="BS25" s="608"/>
      <c r="BT25" s="608"/>
      <c r="BU25" s="76"/>
    </row>
    <row r="26" spans="1:73" ht="7.5" customHeight="1" x14ac:dyDescent="0.15"/>
    <row r="27" spans="1:73" s="68" customFormat="1" ht="18" x14ac:dyDescent="0.15">
      <c r="A27" s="67"/>
      <c r="C27" s="942" t="s">
        <v>82</v>
      </c>
      <c r="D27" s="942"/>
      <c r="E27" s="942"/>
      <c r="F27" s="942"/>
      <c r="G27" s="942"/>
      <c r="H27" s="942"/>
      <c r="I27" s="942"/>
      <c r="J27" s="942"/>
      <c r="K27" s="67"/>
      <c r="L27" s="67"/>
      <c r="M27" s="69"/>
      <c r="N27" s="70"/>
      <c r="O27" s="71"/>
      <c r="P27" s="67"/>
      <c r="Q27" s="67"/>
      <c r="R27" s="67"/>
      <c r="S27" s="67"/>
      <c r="T27" s="69"/>
      <c r="U27" s="70"/>
      <c r="V27" s="71"/>
      <c r="W27" s="67"/>
      <c r="X27" s="67"/>
      <c r="AB27" s="93"/>
      <c r="AM27" s="942" t="s">
        <v>145</v>
      </c>
      <c r="AN27" s="942"/>
      <c r="AO27" s="942"/>
      <c r="AP27" s="942"/>
      <c r="AQ27" s="942"/>
      <c r="AR27" s="942"/>
      <c r="AS27" s="942"/>
      <c r="AT27" s="942"/>
      <c r="AU27" s="67"/>
      <c r="AV27" s="67"/>
      <c r="AW27" s="69"/>
      <c r="AX27" s="70"/>
      <c r="AY27" s="71"/>
      <c r="AZ27" s="67"/>
      <c r="BA27" s="67"/>
      <c r="BB27" s="67"/>
      <c r="BC27" s="67"/>
      <c r="BD27" s="69"/>
      <c r="BE27" s="70"/>
      <c r="BF27" s="71"/>
      <c r="BG27" s="67"/>
      <c r="BH27" s="67"/>
      <c r="BI27" s="67"/>
      <c r="BJ27" s="67"/>
      <c r="BK27" s="69"/>
      <c r="BL27" s="70"/>
      <c r="BM27" s="70"/>
      <c r="BN27" s="71"/>
      <c r="BO27" s="67"/>
      <c r="BP27" s="67"/>
    </row>
    <row r="28" spans="1:73" ht="28.5" x14ac:dyDescent="0.15">
      <c r="C28" s="72"/>
      <c r="D28" s="941" t="str">
        <f>C29</f>
        <v>南部</v>
      </c>
      <c r="E28" s="941"/>
      <c r="F28" s="941"/>
      <c r="G28" s="941"/>
      <c r="H28" s="941"/>
      <c r="I28" s="941"/>
      <c r="J28" s="941"/>
      <c r="K28" s="941" t="str">
        <f>C33</f>
        <v>寺井</v>
      </c>
      <c r="L28" s="941"/>
      <c r="M28" s="941"/>
      <c r="N28" s="941"/>
      <c r="O28" s="941"/>
      <c r="P28" s="941"/>
      <c r="Q28" s="941"/>
      <c r="R28" s="941" t="str">
        <f>C37</f>
        <v>野々市</v>
      </c>
      <c r="S28" s="941"/>
      <c r="T28" s="941"/>
      <c r="U28" s="941"/>
      <c r="V28" s="941"/>
      <c r="W28" s="941"/>
      <c r="X28" s="941"/>
      <c r="Y28" s="608">
        <f>J37</f>
        <v>0</v>
      </c>
      <c r="Z28" s="608"/>
      <c r="AA28" s="608"/>
      <c r="AB28" s="608"/>
      <c r="AC28" s="608"/>
      <c r="AD28" s="608"/>
      <c r="AE28" s="608"/>
      <c r="AF28" s="73" t="s">
        <v>88</v>
      </c>
      <c r="AG28" s="74" t="s">
        <v>143</v>
      </c>
      <c r="AH28" s="73" t="s">
        <v>90</v>
      </c>
      <c r="AI28" s="73" t="s">
        <v>91</v>
      </c>
      <c r="AJ28" s="76"/>
      <c r="AK28" s="76"/>
      <c r="AM28" s="72"/>
      <c r="AN28" s="941" t="str">
        <f>AM29</f>
        <v>布水</v>
      </c>
      <c r="AO28" s="941"/>
      <c r="AP28" s="941"/>
      <c r="AQ28" s="941"/>
      <c r="AR28" s="941"/>
      <c r="AS28" s="941"/>
      <c r="AT28" s="941"/>
      <c r="AU28" s="941" t="str">
        <f>AM33</f>
        <v>丸内</v>
      </c>
      <c r="AV28" s="941"/>
      <c r="AW28" s="941"/>
      <c r="AX28" s="941"/>
      <c r="AY28" s="941"/>
      <c r="AZ28" s="941"/>
      <c r="BA28" s="941"/>
      <c r="BB28" s="941" t="str">
        <f>AM37</f>
        <v/>
      </c>
      <c r="BC28" s="941"/>
      <c r="BD28" s="941"/>
      <c r="BE28" s="941"/>
      <c r="BF28" s="941"/>
      <c r="BG28" s="941"/>
      <c r="BH28" s="941"/>
      <c r="BI28" s="941" t="str">
        <f>AM41</f>
        <v/>
      </c>
      <c r="BJ28" s="941"/>
      <c r="BK28" s="941"/>
      <c r="BL28" s="941"/>
      <c r="BM28" s="941"/>
      <c r="BN28" s="941"/>
      <c r="BO28" s="941"/>
      <c r="BP28" s="941"/>
      <c r="BQ28" s="73" t="s">
        <v>88</v>
      </c>
      <c r="BR28" s="74" t="s">
        <v>143</v>
      </c>
      <c r="BS28" s="73" t="s">
        <v>90</v>
      </c>
      <c r="BT28" s="73" t="s">
        <v>91</v>
      </c>
    </row>
    <row r="29" spans="1:73" ht="12.95" customHeight="1" x14ac:dyDescent="0.15">
      <c r="C29" s="938" t="str">
        <f>IF(ISERROR(MATCH('南(13時刻)'!B29,予選学校名!$H$3:$H$16,0)),"",INDEX(予選学校名!$H$3:$K$16,MATCH('南(13時刻)'!B29,予選学校名!$H$3:$H$16,0),2))</f>
        <v>南部</v>
      </c>
      <c r="D29" s="636"/>
      <c r="E29" s="637"/>
      <c r="F29" s="637"/>
      <c r="G29" s="638"/>
      <c r="H29" s="638"/>
      <c r="I29" s="638"/>
      <c r="J29" s="639"/>
      <c r="K29" s="610" t="str">
        <f>IF(M30="","",SUM(M30,M31))</f>
        <v/>
      </c>
      <c r="L29" s="611"/>
      <c r="M29" s="611"/>
      <c r="N29" s="75" t="str">
        <f>IF(K29="","",IF(K29&gt;O29,"○",IF(K29&lt;O29,"●","△")))</f>
        <v/>
      </c>
      <c r="O29" s="611" t="str">
        <f>IF(O30="","",SUM(O30,O31))</f>
        <v/>
      </c>
      <c r="P29" s="611"/>
      <c r="Q29" s="612"/>
      <c r="R29" s="610" t="str">
        <f>IF(T30="","",SUM(T30,T31))</f>
        <v/>
      </c>
      <c r="S29" s="611"/>
      <c r="T29" s="611"/>
      <c r="U29" s="75" t="str">
        <f>IF(R29="","",IF(R29&gt;V29,"○",IF(R29&lt;V29,"●","△")))</f>
        <v/>
      </c>
      <c r="V29" s="611" t="str">
        <f>IF(V30="","",SUM(V30,V31))</f>
        <v/>
      </c>
      <c r="W29" s="611"/>
      <c r="X29" s="612"/>
      <c r="Y29" s="940"/>
      <c r="Z29" s="937"/>
      <c r="AA29" s="937"/>
      <c r="AB29" s="192"/>
      <c r="AC29" s="937"/>
      <c r="AD29" s="937"/>
      <c r="AE29" s="939"/>
      <c r="AF29" s="608" t="str">
        <f>IF(COUNT(D30:AE30)=0,"",COUNTIF(D29:AE29,"○")*3+COUNTIF(D29:AE29,"△"))</f>
        <v/>
      </c>
      <c r="AG29" s="608" t="str">
        <f>IF(AF29="","",SUM(H29:H40)/2-SUM(F29:F40))</f>
        <v/>
      </c>
      <c r="AH29" s="608" t="str">
        <f>IF(AF29="","",SUM(H29:H40)/2)</f>
        <v/>
      </c>
      <c r="AI29" s="608" t="str">
        <f>IF(OR(AF29="",MOD(COUNT(D29:AE29),2)=1),"",RANK(AJ29,$AJ$29:$AJ$44))</f>
        <v/>
      </c>
      <c r="AJ29" s="76" t="str">
        <f>IF(OR(AF29="",MOD(COUNT(D29:AE29),2)=1),"",AF29*10000+AG29*100+AH29)</f>
        <v/>
      </c>
      <c r="AK29" s="76"/>
      <c r="AM29" s="938" t="str">
        <f>IF(ISERROR(MATCH('南(13時刻)'!AL29,予選学校名!$H$3:$H$16,0)),"",INDEX(予選学校名!$H$3:$K$16,MATCH('南(13時刻)'!AL29,予選学校名!$H$3:$H$16,0),2))</f>
        <v>布水</v>
      </c>
      <c r="AN29" s="636"/>
      <c r="AO29" s="637"/>
      <c r="AP29" s="637"/>
      <c r="AQ29" s="638"/>
      <c r="AR29" s="638"/>
      <c r="AS29" s="638"/>
      <c r="AT29" s="639"/>
      <c r="AU29" s="610" t="str">
        <f>IF(AW30="","",SUM(AW30,AW31))</f>
        <v/>
      </c>
      <c r="AV29" s="611"/>
      <c r="AW29" s="611"/>
      <c r="AX29" s="75" t="str">
        <f>IF(AU29="","",IF(AU29&gt;AY29,"○",IF(AU29&lt;AY29,"●","△")))</f>
        <v/>
      </c>
      <c r="AY29" s="611" t="str">
        <f>IF(AY30="","",SUM(AY30,AY31))</f>
        <v/>
      </c>
      <c r="AZ29" s="611"/>
      <c r="BA29" s="612"/>
      <c r="BB29" s="610" t="str">
        <f>IF(BD30="","",SUM(BD30,BD31))</f>
        <v/>
      </c>
      <c r="BC29" s="611"/>
      <c r="BD29" s="611"/>
      <c r="BE29" s="75" t="str">
        <f>IF(BB29="","",IF(BB29&gt;BF29,"○",IF(BB29&lt;BF29,"●","△")))</f>
        <v/>
      </c>
      <c r="BF29" s="611" t="str">
        <f>IF(BF30="","",SUM(BF30,BF31))</f>
        <v/>
      </c>
      <c r="BG29" s="611"/>
      <c r="BH29" s="612"/>
      <c r="BI29" s="610" t="str">
        <f>IF(BK30="","",SUM(BK30,BK31))</f>
        <v/>
      </c>
      <c r="BJ29" s="611"/>
      <c r="BK29" s="611"/>
      <c r="BL29" s="611" t="str">
        <f>IF(BI29="","",IF(BI29&gt;BN29,"○",IF(BI29&lt;BN29,"●","△")))</f>
        <v/>
      </c>
      <c r="BM29" s="611"/>
      <c r="BN29" s="611" t="str">
        <f>IF(BN30="","",SUM(BN30,BN31))</f>
        <v/>
      </c>
      <c r="BO29" s="611"/>
      <c r="BP29" s="612"/>
      <c r="BQ29" s="608" t="str">
        <f>IF(COUNT(AN30:BP30)=0,"",COUNTIF(AN29:BP29,"○")*3+COUNTIF(AN29:BP29,"△"))</f>
        <v/>
      </c>
      <c r="BR29" s="608" t="str">
        <f>IF(BQ29="","",SUM(AR29:AR44)/2-SUM(AN29:AN44))</f>
        <v/>
      </c>
      <c r="BS29" s="608" t="str">
        <f>IF(BQ29="","",SUM(AR29:AR44)/2)</f>
        <v/>
      </c>
      <c r="BT29" s="608" t="str">
        <f>IF(OR(BQ29="",MOD(COUNT(AN29:BP29),2)=1),"",RANK(BU29,$BU$29:$BU$44))</f>
        <v/>
      </c>
      <c r="BU29" s="76" t="str">
        <f>IF(OR(BQ29="",MOD(COUNT(AN29:BP29),2)=1),"",BQ29*10000+BR29*100+BS29)</f>
        <v/>
      </c>
    </row>
    <row r="30" spans="1:73" x14ac:dyDescent="0.15">
      <c r="C30" s="938"/>
      <c r="D30" s="640"/>
      <c r="E30" s="641"/>
      <c r="F30" s="641"/>
      <c r="G30" s="641"/>
      <c r="H30" s="641"/>
      <c r="I30" s="641"/>
      <c r="J30" s="642"/>
      <c r="K30" s="77"/>
      <c r="M30" s="129"/>
      <c r="N30" s="61" t="s">
        <v>92</v>
      </c>
      <c r="O30" s="130"/>
      <c r="Q30" s="78"/>
      <c r="R30" s="77"/>
      <c r="T30" s="129"/>
      <c r="U30" s="61" t="s">
        <v>92</v>
      </c>
      <c r="V30" s="130"/>
      <c r="X30" s="78"/>
      <c r="Y30" s="193"/>
      <c r="AB30" s="76" t="s">
        <v>92</v>
      </c>
      <c r="AE30" s="194"/>
      <c r="AF30" s="608"/>
      <c r="AG30" s="608"/>
      <c r="AH30" s="608"/>
      <c r="AI30" s="608"/>
      <c r="AJ30" s="76"/>
      <c r="AK30" s="76"/>
      <c r="AM30" s="938"/>
      <c r="AN30" s="640"/>
      <c r="AO30" s="641"/>
      <c r="AP30" s="641"/>
      <c r="AQ30" s="641"/>
      <c r="AR30" s="641"/>
      <c r="AS30" s="641"/>
      <c r="AT30" s="642"/>
      <c r="AU30" s="77"/>
      <c r="AW30" s="129"/>
      <c r="AX30" s="61" t="s">
        <v>92</v>
      </c>
      <c r="AY30" s="130"/>
      <c r="BA30" s="78"/>
      <c r="BB30" s="77"/>
      <c r="BD30" s="129"/>
      <c r="BE30" s="61" t="s">
        <v>92</v>
      </c>
      <c r="BF30" s="130"/>
      <c r="BH30" s="78"/>
      <c r="BI30" s="77"/>
      <c r="BK30" s="129"/>
      <c r="BL30" s="634" t="s">
        <v>92</v>
      </c>
      <c r="BM30" s="634"/>
      <c r="BN30" s="130"/>
      <c r="BP30" s="78"/>
      <c r="BQ30" s="608"/>
      <c r="BR30" s="608"/>
      <c r="BS30" s="608"/>
      <c r="BT30" s="608"/>
      <c r="BU30" s="76"/>
    </row>
    <row r="31" spans="1:73" x14ac:dyDescent="0.15">
      <c r="C31" s="938"/>
      <c r="D31" s="640"/>
      <c r="E31" s="641"/>
      <c r="F31" s="641"/>
      <c r="G31" s="641"/>
      <c r="H31" s="641"/>
      <c r="I31" s="641"/>
      <c r="J31" s="642"/>
      <c r="K31" s="77"/>
      <c r="M31" s="129"/>
      <c r="N31" s="61" t="s">
        <v>92</v>
      </c>
      <c r="O31" s="130"/>
      <c r="Q31" s="78"/>
      <c r="R31" s="77"/>
      <c r="T31" s="129"/>
      <c r="U31" s="61" t="s">
        <v>92</v>
      </c>
      <c r="V31" s="130"/>
      <c r="X31" s="78"/>
      <c r="Y31" s="193"/>
      <c r="AB31" s="76" t="s">
        <v>92</v>
      </c>
      <c r="AE31" s="194"/>
      <c r="AF31" s="608"/>
      <c r="AG31" s="608"/>
      <c r="AH31" s="608"/>
      <c r="AI31" s="608"/>
      <c r="AJ31" s="76"/>
      <c r="AK31" s="76"/>
      <c r="AM31" s="938"/>
      <c r="AN31" s="640"/>
      <c r="AO31" s="641"/>
      <c r="AP31" s="641"/>
      <c r="AQ31" s="641"/>
      <c r="AR31" s="641"/>
      <c r="AS31" s="641"/>
      <c r="AT31" s="642"/>
      <c r="AU31" s="77"/>
      <c r="AW31" s="129"/>
      <c r="AX31" s="61" t="s">
        <v>92</v>
      </c>
      <c r="AY31" s="130"/>
      <c r="BA31" s="78"/>
      <c r="BB31" s="77"/>
      <c r="BD31" s="129"/>
      <c r="BE31" s="61" t="s">
        <v>92</v>
      </c>
      <c r="BF31" s="130"/>
      <c r="BH31" s="78"/>
      <c r="BI31" s="77"/>
      <c r="BK31" s="129"/>
      <c r="BL31" s="634" t="s">
        <v>92</v>
      </c>
      <c r="BM31" s="634"/>
      <c r="BN31" s="130"/>
      <c r="BP31" s="78"/>
      <c r="BQ31" s="608"/>
      <c r="BR31" s="608"/>
      <c r="BS31" s="608"/>
      <c r="BT31" s="608"/>
      <c r="BU31" s="76"/>
    </row>
    <row r="32" spans="1:73" ht="3.75" customHeight="1" x14ac:dyDescent="0.15">
      <c r="C32" s="938"/>
      <c r="D32" s="643"/>
      <c r="E32" s="644"/>
      <c r="F32" s="644"/>
      <c r="G32" s="644"/>
      <c r="H32" s="644"/>
      <c r="I32" s="644"/>
      <c r="J32" s="645"/>
      <c r="K32" s="79"/>
      <c r="L32" s="80"/>
      <c r="M32" s="81"/>
      <c r="N32" s="82"/>
      <c r="O32" s="83"/>
      <c r="P32" s="80"/>
      <c r="Q32" s="84"/>
      <c r="R32" s="79"/>
      <c r="S32" s="80"/>
      <c r="T32" s="81"/>
      <c r="U32" s="82"/>
      <c r="V32" s="83"/>
      <c r="W32" s="80"/>
      <c r="X32" s="84"/>
      <c r="Y32" s="195"/>
      <c r="Z32" s="196"/>
      <c r="AA32" s="196"/>
      <c r="AB32" s="197"/>
      <c r="AC32" s="196"/>
      <c r="AD32" s="196"/>
      <c r="AE32" s="198"/>
      <c r="AF32" s="608"/>
      <c r="AG32" s="608"/>
      <c r="AH32" s="608"/>
      <c r="AI32" s="608"/>
      <c r="AJ32" s="76"/>
      <c r="AK32" s="76"/>
      <c r="AM32" s="938"/>
      <c r="AN32" s="643"/>
      <c r="AO32" s="644"/>
      <c r="AP32" s="644"/>
      <c r="AQ32" s="644"/>
      <c r="AR32" s="644"/>
      <c r="AS32" s="644"/>
      <c r="AT32" s="645"/>
      <c r="AU32" s="79"/>
      <c r="AV32" s="80"/>
      <c r="AW32" s="81"/>
      <c r="AX32" s="82"/>
      <c r="AY32" s="83"/>
      <c r="AZ32" s="80"/>
      <c r="BA32" s="84"/>
      <c r="BB32" s="79"/>
      <c r="BC32" s="80"/>
      <c r="BD32" s="81"/>
      <c r="BE32" s="82"/>
      <c r="BF32" s="83"/>
      <c r="BG32" s="80"/>
      <c r="BH32" s="84"/>
      <c r="BI32" s="79"/>
      <c r="BJ32" s="80"/>
      <c r="BK32" s="81"/>
      <c r="BL32" s="82"/>
      <c r="BM32" s="82"/>
      <c r="BN32" s="83"/>
      <c r="BO32" s="80"/>
      <c r="BP32" s="84"/>
      <c r="BQ32" s="608"/>
      <c r="BR32" s="608"/>
      <c r="BS32" s="608"/>
      <c r="BT32" s="608"/>
      <c r="BU32" s="76"/>
    </row>
    <row r="33" spans="1:106" ht="12.95" customHeight="1" x14ac:dyDescent="0.15">
      <c r="A33" s="62"/>
      <c r="C33" s="938" t="str">
        <f>IF(ISERROR(MATCH('南(13時刻)'!B33,予選学校名!$H$3:$H$16,0)),"",INDEX(予選学校名!$H$3:$K$16,MATCH('南(13時刻)'!B33,予選学校名!$H$3:$H$16,0),2))</f>
        <v>寺井</v>
      </c>
      <c r="D33" s="610" t="str">
        <f>IF(F34="","",SUM(F34,F35))</f>
        <v/>
      </c>
      <c r="E33" s="611"/>
      <c r="F33" s="611"/>
      <c r="G33" s="75" t="str">
        <f>IF(D33="","",IF(D33&gt;H33,"○",IF(D33&lt;H33,"●","△")))</f>
        <v/>
      </c>
      <c r="H33" s="611" t="str">
        <f>IF(H34="","",SUM(H34,H35))</f>
        <v/>
      </c>
      <c r="I33" s="611"/>
      <c r="J33" s="612"/>
      <c r="K33" s="636"/>
      <c r="L33" s="637"/>
      <c r="M33" s="637"/>
      <c r="N33" s="638"/>
      <c r="O33" s="638"/>
      <c r="P33" s="638"/>
      <c r="Q33" s="639"/>
      <c r="R33" s="610" t="str">
        <f>IF(T34="","",SUM(T34,T35))</f>
        <v/>
      </c>
      <c r="S33" s="611"/>
      <c r="T33" s="611"/>
      <c r="U33" s="75" t="str">
        <f>IF(R33="","",IF(R33&gt;V33,"○",IF(R33&lt;V33,"●","△")))</f>
        <v/>
      </c>
      <c r="V33" s="611" t="str">
        <f>IF(V34="","",SUM(V34,V35))</f>
        <v/>
      </c>
      <c r="W33" s="611"/>
      <c r="X33" s="612"/>
      <c r="Y33" s="940"/>
      <c r="Z33" s="937"/>
      <c r="AA33" s="937"/>
      <c r="AB33" s="192"/>
      <c r="AC33" s="937"/>
      <c r="AD33" s="937"/>
      <c r="AE33" s="939"/>
      <c r="AF33" s="608" t="str">
        <f>IF(COUNT(D34:AE34)=0,"",COUNTIF(D33:AE33,"○")*3+COUNTIF(D33:AE33,"△"))</f>
        <v/>
      </c>
      <c r="AG33" s="608" t="str">
        <f>IF(AF33="","",SUM(O29:O40)/2-SUM(M29:M40))</f>
        <v/>
      </c>
      <c r="AH33" s="608" t="str">
        <f>IF(AF33="","",SUM(O29:O40)/2)</f>
        <v/>
      </c>
      <c r="AI33" s="608" t="str">
        <f>IF(OR(AF33="",MOD(COUNT(D33:AE33),2)=1),"",RANK(AJ33,$AJ$29:$AJ$44))</f>
        <v/>
      </c>
      <c r="AJ33" s="76" t="str">
        <f>IF(OR(AF33="",MOD(COUNT(D33:AE33),2)=1),"",AF33*10000+AG33*100+AH33)</f>
        <v/>
      </c>
      <c r="AK33" s="76"/>
      <c r="AM33" s="938" t="str">
        <f>IF(ISERROR(MATCH('南(13時刻)'!AL33,予選学校名!$H$3:$H$16,0)),"",INDEX(予選学校名!$H$3:$K$16,MATCH('南(13時刻)'!AL33,予選学校名!$H$3:$H$16,0),2))</f>
        <v>丸内</v>
      </c>
      <c r="AN33" s="610" t="str">
        <f>IF(AP34="","",SUM(AP34,AP35))</f>
        <v/>
      </c>
      <c r="AO33" s="611"/>
      <c r="AP33" s="611"/>
      <c r="AQ33" s="75" t="str">
        <f>IF(AN33="","",IF(AN33&gt;AR33,"○",IF(AN33&lt;AR33,"●","△")))</f>
        <v/>
      </c>
      <c r="AR33" s="611" t="str">
        <f>IF(AR34="","",SUM(AR34,AR35))</f>
        <v/>
      </c>
      <c r="AS33" s="611"/>
      <c r="AT33" s="612"/>
      <c r="AU33" s="636"/>
      <c r="AV33" s="637"/>
      <c r="AW33" s="637"/>
      <c r="AX33" s="638"/>
      <c r="AY33" s="638"/>
      <c r="AZ33" s="638"/>
      <c r="BA33" s="639"/>
      <c r="BB33" s="610" t="str">
        <f>IF(BD34="","",SUM(BD34,BD35))</f>
        <v/>
      </c>
      <c r="BC33" s="611"/>
      <c r="BD33" s="611"/>
      <c r="BE33" s="75" t="str">
        <f>IF(BB33="","",IF(BB33&gt;BF33,"○",IF(BB33&lt;BF33,"●","△")))</f>
        <v/>
      </c>
      <c r="BF33" s="611" t="str">
        <f>IF(BF34="","",SUM(BF34,BF35))</f>
        <v/>
      </c>
      <c r="BG33" s="611"/>
      <c r="BH33" s="612"/>
      <c r="BI33" s="610" t="str">
        <f>IF(BK34="","",SUM(BK34,BK35))</f>
        <v/>
      </c>
      <c r="BJ33" s="611"/>
      <c r="BK33" s="611"/>
      <c r="BL33" s="611" t="str">
        <f>IF(BI33="","",IF(BI33&gt;BN33,"○",IF(BI33&lt;BN33,"●","△")))</f>
        <v/>
      </c>
      <c r="BM33" s="611"/>
      <c r="BN33" s="611" t="str">
        <f>IF(BN34="","",SUM(BN34,BN35))</f>
        <v/>
      </c>
      <c r="BO33" s="611"/>
      <c r="BP33" s="612"/>
      <c r="BQ33" s="608" t="str">
        <f>IF(COUNT(AN34:BP34)=0,"",COUNTIF(AN33:BP33,"○")*3+COUNTIF(AN33:BP33,"△"))</f>
        <v/>
      </c>
      <c r="BR33" s="608" t="str">
        <f>IF(BQ33="","",SUM(AY29:AY44)/2-SUM(AU29:AU44))</f>
        <v/>
      </c>
      <c r="BS33" s="608" t="str">
        <f>IF(BQ33="","",SUM(AY29:AY44)/2)</f>
        <v/>
      </c>
      <c r="BT33" s="608" t="str">
        <f>IF(OR(BQ33="",MOD(COUNT(AN33:BP33),2)=1),"",RANK(BU33,$BU$29:$BU$44))</f>
        <v/>
      </c>
      <c r="BU33" s="76" t="str">
        <f>IF(OR(BQ33="",MOD(COUNT(AN33:BP33),2)=1),"",BQ33*10000+BR33*100+BS33)</f>
        <v/>
      </c>
    </row>
    <row r="34" spans="1:106" x14ac:dyDescent="0.15">
      <c r="A34" s="62"/>
      <c r="C34" s="938"/>
      <c r="D34" s="77"/>
      <c r="F34" s="64" t="str">
        <f>IF(O30="","",O30)</f>
        <v/>
      </c>
      <c r="G34" s="61" t="s">
        <v>92</v>
      </c>
      <c r="H34" s="65" t="str">
        <f>IF(M30="","",M30)</f>
        <v/>
      </c>
      <c r="J34" s="78"/>
      <c r="K34" s="640"/>
      <c r="L34" s="641"/>
      <c r="M34" s="641"/>
      <c r="N34" s="641"/>
      <c r="O34" s="641"/>
      <c r="P34" s="641"/>
      <c r="Q34" s="642"/>
      <c r="R34" s="77"/>
      <c r="T34" s="129"/>
      <c r="U34" s="61" t="s">
        <v>92</v>
      </c>
      <c r="V34" s="130"/>
      <c r="X34" s="78"/>
      <c r="Y34" s="193"/>
      <c r="AB34" s="76" t="s">
        <v>92</v>
      </c>
      <c r="AE34" s="194"/>
      <c r="AF34" s="608"/>
      <c r="AG34" s="608"/>
      <c r="AH34" s="608"/>
      <c r="AI34" s="608"/>
      <c r="AJ34" s="76"/>
      <c r="AK34" s="76"/>
      <c r="AM34" s="938"/>
      <c r="AN34" s="77"/>
      <c r="AP34" s="64" t="str">
        <f>IF(AY30="","",AY30)</f>
        <v/>
      </c>
      <c r="AQ34" s="61" t="s">
        <v>92</v>
      </c>
      <c r="AR34" s="65" t="str">
        <f>IF(AW30="","",AW30)</f>
        <v/>
      </c>
      <c r="AT34" s="78"/>
      <c r="AU34" s="640"/>
      <c r="AV34" s="641"/>
      <c r="AW34" s="641"/>
      <c r="AX34" s="641"/>
      <c r="AY34" s="641"/>
      <c r="AZ34" s="641"/>
      <c r="BA34" s="642"/>
      <c r="BB34" s="77"/>
      <c r="BD34" s="129"/>
      <c r="BE34" s="61" t="s">
        <v>92</v>
      </c>
      <c r="BF34" s="130"/>
      <c r="BH34" s="78"/>
      <c r="BI34" s="77"/>
      <c r="BK34" s="129"/>
      <c r="BL34" s="634" t="s">
        <v>92</v>
      </c>
      <c r="BM34" s="634"/>
      <c r="BN34" s="130"/>
      <c r="BP34" s="78"/>
      <c r="BQ34" s="608"/>
      <c r="BR34" s="608"/>
      <c r="BS34" s="608"/>
      <c r="BT34" s="608"/>
      <c r="BU34" s="76"/>
    </row>
    <row r="35" spans="1:106" x14ac:dyDescent="0.15">
      <c r="A35" s="62"/>
      <c r="C35" s="938"/>
      <c r="D35" s="77"/>
      <c r="F35" s="64" t="str">
        <f>IF(O31="","",O31)</f>
        <v/>
      </c>
      <c r="G35" s="61" t="s">
        <v>92</v>
      </c>
      <c r="H35" s="65" t="str">
        <f>IF(M31="","",M31)</f>
        <v/>
      </c>
      <c r="J35" s="78"/>
      <c r="K35" s="640"/>
      <c r="L35" s="641"/>
      <c r="M35" s="641"/>
      <c r="N35" s="641"/>
      <c r="O35" s="641"/>
      <c r="P35" s="641"/>
      <c r="Q35" s="642"/>
      <c r="R35" s="77"/>
      <c r="T35" s="129"/>
      <c r="U35" s="61" t="s">
        <v>92</v>
      </c>
      <c r="V35" s="130"/>
      <c r="X35" s="78"/>
      <c r="Y35" s="193"/>
      <c r="AB35" s="76" t="s">
        <v>92</v>
      </c>
      <c r="AE35" s="194"/>
      <c r="AF35" s="608"/>
      <c r="AG35" s="608"/>
      <c r="AH35" s="608"/>
      <c r="AI35" s="608"/>
      <c r="AJ35" s="76"/>
      <c r="AK35" s="76"/>
      <c r="AM35" s="938"/>
      <c r="AN35" s="77"/>
      <c r="AP35" s="64" t="str">
        <f>IF(AY31="","",AY31)</f>
        <v/>
      </c>
      <c r="AQ35" s="61" t="s">
        <v>92</v>
      </c>
      <c r="AR35" s="65" t="str">
        <f>IF(AW31="","",AW31)</f>
        <v/>
      </c>
      <c r="AT35" s="78"/>
      <c r="AU35" s="640"/>
      <c r="AV35" s="641"/>
      <c r="AW35" s="641"/>
      <c r="AX35" s="641"/>
      <c r="AY35" s="641"/>
      <c r="AZ35" s="641"/>
      <c r="BA35" s="642"/>
      <c r="BB35" s="77"/>
      <c r="BD35" s="129"/>
      <c r="BE35" s="61" t="s">
        <v>92</v>
      </c>
      <c r="BF35" s="130"/>
      <c r="BH35" s="78"/>
      <c r="BI35" s="77"/>
      <c r="BK35" s="129"/>
      <c r="BL35" s="634" t="s">
        <v>92</v>
      </c>
      <c r="BM35" s="634"/>
      <c r="BN35" s="130"/>
      <c r="BP35" s="78"/>
      <c r="BQ35" s="608"/>
      <c r="BR35" s="608"/>
      <c r="BS35" s="608"/>
      <c r="BT35" s="608"/>
      <c r="BU35" s="76"/>
    </row>
    <row r="36" spans="1:106" ht="3.75" customHeight="1" x14ac:dyDescent="0.15">
      <c r="A36" s="62"/>
      <c r="C36" s="938"/>
      <c r="D36" s="79"/>
      <c r="E36" s="80"/>
      <c r="F36" s="81"/>
      <c r="G36" s="82"/>
      <c r="H36" s="83"/>
      <c r="I36" s="80"/>
      <c r="J36" s="84"/>
      <c r="K36" s="643"/>
      <c r="L36" s="644"/>
      <c r="M36" s="644"/>
      <c r="N36" s="644"/>
      <c r="O36" s="644"/>
      <c r="P36" s="644"/>
      <c r="Q36" s="645"/>
      <c r="R36" s="79"/>
      <c r="S36" s="80"/>
      <c r="T36" s="81"/>
      <c r="U36" s="82"/>
      <c r="V36" s="83"/>
      <c r="W36" s="80"/>
      <c r="X36" s="84"/>
      <c r="Y36" s="195"/>
      <c r="Z36" s="196"/>
      <c r="AA36" s="196"/>
      <c r="AB36" s="197"/>
      <c r="AC36" s="196"/>
      <c r="AD36" s="196"/>
      <c r="AE36" s="198"/>
      <c r="AF36" s="608"/>
      <c r="AG36" s="608"/>
      <c r="AH36" s="608"/>
      <c r="AI36" s="608"/>
      <c r="AJ36" s="76"/>
      <c r="AK36" s="76"/>
      <c r="AM36" s="938"/>
      <c r="AN36" s="79"/>
      <c r="AO36" s="80"/>
      <c r="AP36" s="81"/>
      <c r="AQ36" s="82"/>
      <c r="AR36" s="83"/>
      <c r="AS36" s="80"/>
      <c r="AT36" s="84"/>
      <c r="AU36" s="643"/>
      <c r="AV36" s="644"/>
      <c r="AW36" s="644"/>
      <c r="AX36" s="644"/>
      <c r="AY36" s="644"/>
      <c r="AZ36" s="644"/>
      <c r="BA36" s="645"/>
      <c r="BB36" s="79"/>
      <c r="BC36" s="80"/>
      <c r="BD36" s="81"/>
      <c r="BE36" s="82"/>
      <c r="BF36" s="83"/>
      <c r="BG36" s="80"/>
      <c r="BH36" s="84"/>
      <c r="BI36" s="79"/>
      <c r="BJ36" s="80"/>
      <c r="BK36" s="81"/>
      <c r="BL36" s="82"/>
      <c r="BM36" s="82"/>
      <c r="BN36" s="83"/>
      <c r="BO36" s="80"/>
      <c r="BP36" s="84"/>
      <c r="BQ36" s="608"/>
      <c r="BR36" s="608"/>
      <c r="BS36" s="608"/>
      <c r="BT36" s="608"/>
      <c r="BU36" s="76"/>
    </row>
    <row r="37" spans="1:106" ht="12.95" customHeight="1" x14ac:dyDescent="0.15">
      <c r="A37" s="62"/>
      <c r="C37" s="938" t="str">
        <f>IF(ISERROR(MATCH('南(13時刻)'!B37,予選学校名!$H$3:$H$16,0)),"",INDEX(予選学校名!$H$3:$K$16,MATCH('南(13時刻)'!B37,予選学校名!$H$3:$H$16,0),2))</f>
        <v>野々市</v>
      </c>
      <c r="D37" s="610" t="str">
        <f>IF(F38="","",SUM(F38,F39))</f>
        <v/>
      </c>
      <c r="E37" s="611"/>
      <c r="F37" s="611"/>
      <c r="G37" s="75" t="str">
        <f>IF(D37="","",IF(D37&gt;H37,"○",IF(D37&lt;H37,"●","△")))</f>
        <v/>
      </c>
      <c r="H37" s="611" t="str">
        <f>IF(H38="","",SUM(H38,H39))</f>
        <v/>
      </c>
      <c r="I37" s="611"/>
      <c r="J37" s="612"/>
      <c r="K37" s="610" t="str">
        <f>IF(M38="","",SUM(M38,M39))</f>
        <v/>
      </c>
      <c r="L37" s="611"/>
      <c r="M37" s="611"/>
      <c r="N37" s="75" t="str">
        <f>IF(K37="","",IF(K37&gt;O37,"○",IF(K37&lt;O37,"●","△")))</f>
        <v/>
      </c>
      <c r="O37" s="611" t="str">
        <f>IF(O38="","",SUM(O38,O39))</f>
        <v/>
      </c>
      <c r="P37" s="611"/>
      <c r="Q37" s="612"/>
      <c r="R37" s="636"/>
      <c r="S37" s="637"/>
      <c r="T37" s="637"/>
      <c r="U37" s="638"/>
      <c r="V37" s="638"/>
      <c r="W37" s="638"/>
      <c r="X37" s="639"/>
      <c r="Y37" s="940"/>
      <c r="Z37" s="937"/>
      <c r="AA37" s="937"/>
      <c r="AB37" s="192"/>
      <c r="AC37" s="937"/>
      <c r="AD37" s="937"/>
      <c r="AE37" s="939"/>
      <c r="AF37" s="608" t="str">
        <f>IF(COUNT(D38:AE38)=0,"",COUNTIF(D37:AE37,"○")*3+COUNTIF(D37:AE37,"△"))</f>
        <v/>
      </c>
      <c r="AG37" s="608" t="str">
        <f>IF(AF37="","",SUM(V29:V40)/2-SUM(T29:T40))</f>
        <v/>
      </c>
      <c r="AH37" s="608" t="str">
        <f>IF(AF37="","",SUM(V29:V40)/2)</f>
        <v/>
      </c>
      <c r="AI37" s="608" t="str">
        <f>IF(OR(AF37="",MOD(COUNT(D37:AE37),2)=1),"",RANK(AJ37,$AJ$29:$AJ$44))</f>
        <v/>
      </c>
      <c r="AJ37" s="76" t="str">
        <f>IF(OR(AF37="",MOD(COUNT(D37:AE37),2)=1),"",AF37*10000+AG37*100+AH37)</f>
        <v/>
      </c>
      <c r="AK37" s="76"/>
      <c r="AM37" s="938" t="str">
        <f>IF(ISERROR(MATCH('南(13時刻)'!AL37,予選学校名!$H$3:$H$16,0)),"",INDEX(予選学校名!$H$3:$K$16,MATCH('南(13時刻)'!AL37,予選学校名!$H$3:$H$16,0),2))</f>
        <v/>
      </c>
      <c r="AN37" s="610" t="str">
        <f>IF(AP38="","",SUM(AP38,AP39))</f>
        <v/>
      </c>
      <c r="AO37" s="611"/>
      <c r="AP37" s="611"/>
      <c r="AQ37" s="75" t="str">
        <f>IF(AN37="","",IF(AN37&gt;AR37,"○",IF(AN37&lt;AR37,"●","△")))</f>
        <v/>
      </c>
      <c r="AR37" s="611" t="str">
        <f>IF(AR38="","",SUM(AR38,AR39))</f>
        <v/>
      </c>
      <c r="AS37" s="611"/>
      <c r="AT37" s="612"/>
      <c r="AU37" s="610" t="str">
        <f>IF(AW38="","",SUM(AW38,AW39))</f>
        <v/>
      </c>
      <c r="AV37" s="611"/>
      <c r="AW37" s="611"/>
      <c r="AX37" s="75" t="str">
        <f>IF(AU37="","",IF(AU37&gt;AY37,"○",IF(AU37&lt;AY37,"●","△")))</f>
        <v/>
      </c>
      <c r="AY37" s="611" t="str">
        <f>IF(AY38="","",SUM(AY38,AY39))</f>
        <v/>
      </c>
      <c r="AZ37" s="611"/>
      <c r="BA37" s="612"/>
      <c r="BB37" s="636"/>
      <c r="BC37" s="637"/>
      <c r="BD37" s="637"/>
      <c r="BE37" s="638"/>
      <c r="BF37" s="638"/>
      <c r="BG37" s="638"/>
      <c r="BH37" s="639"/>
      <c r="BI37" s="610" t="str">
        <f>IF(BK38="","",SUM(BK38,BK39))</f>
        <v/>
      </c>
      <c r="BJ37" s="611"/>
      <c r="BK37" s="611"/>
      <c r="BL37" s="611" t="str">
        <f>IF(BI37="","",IF(BI37&gt;BN37,"○",IF(BI37&lt;BN37,"●","△")))</f>
        <v/>
      </c>
      <c r="BM37" s="611"/>
      <c r="BN37" s="611" t="str">
        <f>IF(BN38="","",SUM(BN38,BN39))</f>
        <v/>
      </c>
      <c r="BO37" s="611"/>
      <c r="BP37" s="612"/>
      <c r="BQ37" s="608" t="str">
        <f>IF(COUNT(AN38:BP38)=0,"",COUNTIF(AN37:BP37,"○")*3+COUNTIF(AN37:BP37,"△"))</f>
        <v/>
      </c>
      <c r="BR37" s="608" t="str">
        <f>IF(BQ37="","",SUM(BF29:BF44)/2-SUM(BB29:BB44))</f>
        <v/>
      </c>
      <c r="BS37" s="608" t="str">
        <f>IF(BQ37="","",SUM(BF29:BF44)/2)</f>
        <v/>
      </c>
      <c r="BT37" s="608" t="str">
        <f>IF(OR(BQ37="",MOD(COUNT(AN37:BP37),2)=1),"",RANK(BU37,$BU$29:$BU$44))</f>
        <v/>
      </c>
      <c r="BU37" s="76" t="str">
        <f>IF(OR(BQ37="",MOD(COUNT(AN37:BP37),2)=1),"",BQ37*10000+BR37*100+BS37)</f>
        <v/>
      </c>
    </row>
    <row r="38" spans="1:106" x14ac:dyDescent="0.15">
      <c r="A38" s="62"/>
      <c r="C38" s="938"/>
      <c r="D38" s="77"/>
      <c r="F38" s="64" t="str">
        <f>IF(V30="","",V30)</f>
        <v/>
      </c>
      <c r="G38" s="61" t="s">
        <v>92</v>
      </c>
      <c r="H38" s="65" t="str">
        <f>IF(T30="","",T30)</f>
        <v/>
      </c>
      <c r="J38" s="78"/>
      <c r="K38" s="77"/>
      <c r="M38" s="64" t="str">
        <f>IF(V34="","",V34)</f>
        <v/>
      </c>
      <c r="N38" s="61" t="s">
        <v>92</v>
      </c>
      <c r="O38" s="65" t="str">
        <f>IF(T34="","",T34)</f>
        <v/>
      </c>
      <c r="Q38" s="78"/>
      <c r="R38" s="640"/>
      <c r="S38" s="641"/>
      <c r="T38" s="641"/>
      <c r="U38" s="641"/>
      <c r="V38" s="641"/>
      <c r="W38" s="641"/>
      <c r="X38" s="642"/>
      <c r="Y38" s="193"/>
      <c r="AE38" s="194"/>
      <c r="AF38" s="608"/>
      <c r="AG38" s="608"/>
      <c r="AH38" s="608"/>
      <c r="AI38" s="608"/>
      <c r="AJ38" s="76"/>
      <c r="AK38" s="76"/>
      <c r="AM38" s="938"/>
      <c r="AN38" s="77"/>
      <c r="AP38" s="64" t="str">
        <f>IF(BF30="","",BF30)</f>
        <v/>
      </c>
      <c r="AQ38" s="61" t="s">
        <v>92</v>
      </c>
      <c r="AR38" s="65" t="str">
        <f>IF(BD30="","",BD30)</f>
        <v/>
      </c>
      <c r="AT38" s="78"/>
      <c r="AU38" s="77"/>
      <c r="AW38" s="64" t="str">
        <f>IF(BF34="","",BF34)</f>
        <v/>
      </c>
      <c r="AX38" s="61" t="s">
        <v>92</v>
      </c>
      <c r="AY38" s="65" t="str">
        <f>IF(BD34="","",BD34)</f>
        <v/>
      </c>
      <c r="BA38" s="78"/>
      <c r="BB38" s="640"/>
      <c r="BC38" s="641"/>
      <c r="BD38" s="641"/>
      <c r="BE38" s="641"/>
      <c r="BF38" s="641"/>
      <c r="BG38" s="641"/>
      <c r="BH38" s="642"/>
      <c r="BI38" s="77"/>
      <c r="BK38" s="129"/>
      <c r="BL38" s="634" t="s">
        <v>92</v>
      </c>
      <c r="BM38" s="634"/>
      <c r="BN38" s="130"/>
      <c r="BP38" s="78"/>
      <c r="BQ38" s="608"/>
      <c r="BR38" s="608"/>
      <c r="BS38" s="608"/>
      <c r="BT38" s="608"/>
      <c r="BU38" s="76"/>
    </row>
    <row r="39" spans="1:106" x14ac:dyDescent="0.15">
      <c r="A39" s="62"/>
      <c r="C39" s="938"/>
      <c r="D39" s="77"/>
      <c r="F39" s="64" t="str">
        <f>IF(V31="","",V31)</f>
        <v/>
      </c>
      <c r="G39" s="61" t="s">
        <v>92</v>
      </c>
      <c r="H39" s="65" t="str">
        <f>IF(T31="","",T31)</f>
        <v/>
      </c>
      <c r="J39" s="78"/>
      <c r="K39" s="77"/>
      <c r="M39" s="64" t="str">
        <f>IF(V35="","",V35)</f>
        <v/>
      </c>
      <c r="N39" s="61" t="s">
        <v>92</v>
      </c>
      <c r="O39" s="65" t="str">
        <f>IF(T35="","",T35)</f>
        <v/>
      </c>
      <c r="Q39" s="78"/>
      <c r="R39" s="640"/>
      <c r="S39" s="641"/>
      <c r="T39" s="641"/>
      <c r="U39" s="641"/>
      <c r="V39" s="641"/>
      <c r="W39" s="641"/>
      <c r="X39" s="642"/>
      <c r="Y39" s="193"/>
      <c r="AE39" s="194"/>
      <c r="AF39" s="608"/>
      <c r="AG39" s="608"/>
      <c r="AH39" s="608"/>
      <c r="AI39" s="608"/>
      <c r="AJ39" s="76"/>
      <c r="AK39" s="76"/>
      <c r="AM39" s="938"/>
      <c r="AN39" s="77"/>
      <c r="AP39" s="64" t="str">
        <f>IF(BF31="","",BF31)</f>
        <v/>
      </c>
      <c r="AQ39" s="61" t="s">
        <v>92</v>
      </c>
      <c r="AR39" s="65" t="str">
        <f>IF(BD31="","",BD31)</f>
        <v/>
      </c>
      <c r="AT39" s="78"/>
      <c r="AU39" s="77"/>
      <c r="AW39" s="64" t="str">
        <f>IF(BF35="","",BF35)</f>
        <v/>
      </c>
      <c r="AX39" s="61" t="s">
        <v>92</v>
      </c>
      <c r="AY39" s="65" t="str">
        <f>IF(BD35="","",BD35)</f>
        <v/>
      </c>
      <c r="BA39" s="78"/>
      <c r="BB39" s="640"/>
      <c r="BC39" s="641"/>
      <c r="BD39" s="641"/>
      <c r="BE39" s="641"/>
      <c r="BF39" s="641"/>
      <c r="BG39" s="641"/>
      <c r="BH39" s="642"/>
      <c r="BI39" s="77"/>
      <c r="BK39" s="129"/>
      <c r="BL39" s="634" t="s">
        <v>92</v>
      </c>
      <c r="BM39" s="634"/>
      <c r="BN39" s="130"/>
      <c r="BP39" s="78"/>
      <c r="BQ39" s="608"/>
      <c r="BR39" s="608"/>
      <c r="BS39" s="608"/>
      <c r="BT39" s="608"/>
      <c r="BU39" s="76"/>
    </row>
    <row r="40" spans="1:106" ht="3.75" customHeight="1" x14ac:dyDescent="0.15">
      <c r="A40" s="62"/>
      <c r="C40" s="938"/>
      <c r="D40" s="79"/>
      <c r="E40" s="80"/>
      <c r="F40" s="81"/>
      <c r="G40" s="82"/>
      <c r="H40" s="83"/>
      <c r="I40" s="80"/>
      <c r="J40" s="84"/>
      <c r="K40" s="79"/>
      <c r="L40" s="80"/>
      <c r="M40" s="81"/>
      <c r="N40" s="82"/>
      <c r="O40" s="83"/>
      <c r="P40" s="80"/>
      <c r="Q40" s="84"/>
      <c r="R40" s="643"/>
      <c r="S40" s="644"/>
      <c r="T40" s="644"/>
      <c r="U40" s="644"/>
      <c r="V40" s="644"/>
      <c r="W40" s="644"/>
      <c r="X40" s="645"/>
      <c r="Y40" s="195"/>
      <c r="Z40" s="196"/>
      <c r="AA40" s="196"/>
      <c r="AB40" s="197"/>
      <c r="AC40" s="196"/>
      <c r="AD40" s="196"/>
      <c r="AE40" s="198"/>
      <c r="AF40" s="608"/>
      <c r="AG40" s="608"/>
      <c r="AH40" s="608"/>
      <c r="AI40" s="608"/>
      <c r="AJ40" s="76"/>
      <c r="AK40" s="76"/>
      <c r="AM40" s="938"/>
      <c r="AN40" s="79"/>
      <c r="AO40" s="80"/>
      <c r="AP40" s="81"/>
      <c r="AQ40" s="82"/>
      <c r="AR40" s="83"/>
      <c r="AS40" s="80"/>
      <c r="AT40" s="84"/>
      <c r="AU40" s="79"/>
      <c r="AV40" s="80"/>
      <c r="AW40" s="81"/>
      <c r="AX40" s="82"/>
      <c r="AY40" s="83"/>
      <c r="AZ40" s="80"/>
      <c r="BA40" s="84"/>
      <c r="BB40" s="643"/>
      <c r="BC40" s="644"/>
      <c r="BD40" s="644"/>
      <c r="BE40" s="644"/>
      <c r="BF40" s="644"/>
      <c r="BG40" s="644"/>
      <c r="BH40" s="645"/>
      <c r="BI40" s="79"/>
      <c r="BJ40" s="80"/>
      <c r="BK40" s="81"/>
      <c r="BL40" s="82"/>
      <c r="BM40" s="82"/>
      <c r="BN40" s="83"/>
      <c r="BO40" s="80"/>
      <c r="BP40" s="84"/>
      <c r="BQ40" s="608"/>
      <c r="BR40" s="608"/>
      <c r="BS40" s="608"/>
      <c r="BT40" s="608"/>
      <c r="BU40" s="76"/>
    </row>
    <row r="41" spans="1:106" x14ac:dyDescent="0.15">
      <c r="A41" s="62"/>
      <c r="C41" s="937"/>
      <c r="D41" s="611"/>
      <c r="E41" s="611"/>
      <c r="F41" s="611"/>
      <c r="G41" s="75"/>
      <c r="H41" s="611"/>
      <c r="I41" s="611"/>
      <c r="J41" s="611"/>
      <c r="K41" s="611"/>
      <c r="L41" s="611"/>
      <c r="M41" s="611"/>
      <c r="N41" s="75"/>
      <c r="O41" s="611"/>
      <c r="P41" s="611"/>
      <c r="Q41" s="611"/>
      <c r="R41" s="611"/>
      <c r="S41" s="611"/>
      <c r="T41" s="611"/>
      <c r="U41" s="75"/>
      <c r="V41" s="611"/>
      <c r="W41" s="611"/>
      <c r="X41" s="611"/>
      <c r="Y41" s="937"/>
      <c r="Z41" s="937"/>
      <c r="AA41" s="937"/>
      <c r="AB41" s="192"/>
      <c r="AC41" s="937"/>
      <c r="AD41" s="937"/>
      <c r="AE41" s="937"/>
      <c r="AF41" s="937"/>
      <c r="AG41" s="937"/>
      <c r="AH41" s="937"/>
      <c r="AI41" s="937"/>
      <c r="AJ41" s="76"/>
      <c r="AK41" s="76"/>
      <c r="AM41" s="938" t="str">
        <f>IF(ISERROR(MATCH('南(13時刻)'!AL41,予選学校名!$H$3:$H$16,0)),"",INDEX(予選学校名!$H$3:$K$16,MATCH('南(13時刻)'!AL41,予選学校名!$H$3:$H$16,0),2))</f>
        <v/>
      </c>
      <c r="AN41" s="610" t="str">
        <f>IF(AP42="","",SUM(AP42,AP43))</f>
        <v/>
      </c>
      <c r="AO41" s="611"/>
      <c r="AP41" s="611"/>
      <c r="AQ41" s="75" t="str">
        <f>IF(AN41="","",IF(AN41&gt;AR41,"○",IF(AN41&lt;AR41,"●","△")))</f>
        <v/>
      </c>
      <c r="AR41" s="611" t="str">
        <f>IF(AR42="","",SUM(AR42,AR43))</f>
        <v/>
      </c>
      <c r="AS41" s="611"/>
      <c r="AT41" s="612"/>
      <c r="AU41" s="610" t="str">
        <f>IF(AW42="","",SUM(AW42,AW43))</f>
        <v/>
      </c>
      <c r="AV41" s="611"/>
      <c r="AW41" s="611"/>
      <c r="AX41" s="75" t="str">
        <f>IF(AU41="","",IF(AU41&gt;AY41,"○",IF(AU41&lt;AY41,"●","△")))</f>
        <v/>
      </c>
      <c r="AY41" s="611" t="str">
        <f>IF(AY42="","",SUM(AY42,AY43))</f>
        <v/>
      </c>
      <c r="AZ41" s="611"/>
      <c r="BA41" s="612"/>
      <c r="BB41" s="610" t="str">
        <f>IF(BD42="","",SUM(BD42,BD43))</f>
        <v/>
      </c>
      <c r="BC41" s="611"/>
      <c r="BD41" s="611"/>
      <c r="BE41" s="75" t="str">
        <f>IF(BB41="","",IF(BB41&gt;BF41,"○",IF(BB41&lt;BF41,"●","△")))</f>
        <v/>
      </c>
      <c r="BF41" s="611" t="str">
        <f>IF(BF42="","",SUM(BF42,BF43))</f>
        <v/>
      </c>
      <c r="BG41" s="611"/>
      <c r="BH41" s="612"/>
      <c r="BI41" s="636"/>
      <c r="BJ41" s="637"/>
      <c r="BK41" s="637"/>
      <c r="BL41" s="638"/>
      <c r="BM41" s="638"/>
      <c r="BN41" s="638"/>
      <c r="BO41" s="638"/>
      <c r="BP41" s="639"/>
      <c r="BQ41" s="608" t="str">
        <f>IF(COUNT(AN42:BP42)=0,"",COUNTIF(AN41:BP41,"○")*3+COUNTIF(AN41:BP41,"△"))</f>
        <v/>
      </c>
      <c r="BR41" s="608" t="str">
        <f>IF(BQ41="","",SUM(BN29:BN44)/2-SUM(BI29:BI44))</f>
        <v/>
      </c>
      <c r="BS41" s="608" t="str">
        <f>IF(BQ41="","",SUM(BN29:BN44)/2)</f>
        <v/>
      </c>
      <c r="BT41" s="608" t="str">
        <f>IF(OR(BQ41="",MOD(COUNT(AN41:BP41),2)=1),"",RANK(BU41,$BU$29:$BU$44))</f>
        <v/>
      </c>
      <c r="BU41" s="76" t="str">
        <f>IF(OR(BQ41="",MOD(COUNT(AN41:BP41),2)=1),"",BQ41*10000+BR41*100+BS41)</f>
        <v/>
      </c>
      <c r="BX41" s="635" t="s">
        <v>93</v>
      </c>
      <c r="BY41" s="635"/>
      <c r="BZ41" s="635"/>
      <c r="CA41" s="635"/>
      <c r="CB41" s="635"/>
      <c r="CC41" s="635"/>
      <c r="CD41" s="635"/>
      <c r="CE41" s="635"/>
      <c r="CF41" s="635"/>
      <c r="CG41" s="635"/>
      <c r="CH41" s="635"/>
      <c r="CI41" s="635"/>
      <c r="CJ41" s="635"/>
      <c r="CK41" s="635"/>
      <c r="CL41" s="635"/>
      <c r="CM41" s="635"/>
      <c r="CN41" s="635"/>
      <c r="CO41" s="635"/>
      <c r="CP41" s="635"/>
      <c r="CQ41" s="635"/>
      <c r="CR41" s="635"/>
      <c r="CS41" s="635"/>
      <c r="CT41" s="635"/>
      <c r="CU41" s="635"/>
      <c r="CV41" s="635"/>
      <c r="CW41" s="635"/>
      <c r="CX41" s="635"/>
    </row>
    <row r="42" spans="1:106" x14ac:dyDescent="0.15">
      <c r="A42" s="62"/>
      <c r="C42" s="615"/>
      <c r="AF42" s="615"/>
      <c r="AG42" s="615"/>
      <c r="AH42" s="615"/>
      <c r="AI42" s="615"/>
      <c r="AJ42" s="76"/>
      <c r="AK42" s="76"/>
      <c r="AM42" s="938"/>
      <c r="AN42" s="77"/>
      <c r="AP42" s="64" t="str">
        <f>IF(BN30="","",BN30)</f>
        <v/>
      </c>
      <c r="AQ42" s="61" t="s">
        <v>92</v>
      </c>
      <c r="AR42" s="65" t="str">
        <f>IF(BK30="","",BK30)</f>
        <v/>
      </c>
      <c r="AT42" s="78"/>
      <c r="AU42" s="77"/>
      <c r="AW42" s="64" t="str">
        <f>IF(BN34="","",BN34)</f>
        <v/>
      </c>
      <c r="AX42" s="61" t="s">
        <v>92</v>
      </c>
      <c r="AY42" s="65" t="str">
        <f>IF(BK34="","",BK34)</f>
        <v/>
      </c>
      <c r="BA42" s="78"/>
      <c r="BB42" s="77"/>
      <c r="BD42" s="64" t="str">
        <f>IF(BN38="","",BN38)</f>
        <v/>
      </c>
      <c r="BE42" s="61" t="s">
        <v>92</v>
      </c>
      <c r="BF42" s="65" t="str">
        <f>IF(BK38="","",BK38)</f>
        <v/>
      </c>
      <c r="BH42" s="78"/>
      <c r="BI42" s="640"/>
      <c r="BJ42" s="641"/>
      <c r="BK42" s="641"/>
      <c r="BL42" s="641"/>
      <c r="BM42" s="641"/>
      <c r="BN42" s="641"/>
      <c r="BO42" s="641"/>
      <c r="BP42" s="642"/>
      <c r="BQ42" s="608"/>
      <c r="BR42" s="608"/>
      <c r="BS42" s="608"/>
      <c r="BT42" s="608"/>
      <c r="BU42" s="76"/>
      <c r="BX42" s="635"/>
      <c r="BY42" s="635"/>
      <c r="BZ42" s="635"/>
      <c r="CA42" s="635"/>
      <c r="CB42" s="635"/>
      <c r="CC42" s="635"/>
      <c r="CD42" s="635"/>
      <c r="CE42" s="635"/>
      <c r="CF42" s="635"/>
      <c r="CG42" s="635"/>
      <c r="CH42" s="635"/>
      <c r="CI42" s="635"/>
      <c r="CJ42" s="635"/>
      <c r="CK42" s="635"/>
      <c r="CL42" s="635"/>
      <c r="CM42" s="635"/>
      <c r="CN42" s="635"/>
      <c r="CO42" s="635"/>
      <c r="CP42" s="635"/>
      <c r="CQ42" s="635"/>
      <c r="CR42" s="635"/>
      <c r="CS42" s="635"/>
      <c r="CT42" s="635"/>
      <c r="CU42" s="635"/>
      <c r="CV42" s="635"/>
      <c r="CW42" s="635"/>
      <c r="CX42" s="635"/>
    </row>
    <row r="43" spans="1:106" x14ac:dyDescent="0.15">
      <c r="A43" s="62"/>
      <c r="C43" s="615"/>
      <c r="AF43" s="615"/>
      <c r="AG43" s="615"/>
      <c r="AH43" s="615"/>
      <c r="AI43" s="615"/>
      <c r="AJ43" s="76"/>
      <c r="AK43" s="76"/>
      <c r="AM43" s="938"/>
      <c r="AN43" s="77"/>
      <c r="AP43" s="64" t="str">
        <f>IF(BN31="","",BN31)</f>
        <v/>
      </c>
      <c r="AQ43" s="61" t="s">
        <v>92</v>
      </c>
      <c r="AR43" s="65" t="str">
        <f>IF(BK31="","",BK31)</f>
        <v/>
      </c>
      <c r="AT43" s="78"/>
      <c r="AU43" s="77"/>
      <c r="AW43" s="64" t="str">
        <f>IF(BN35="","",BN35)</f>
        <v/>
      </c>
      <c r="AX43" s="61" t="s">
        <v>92</v>
      </c>
      <c r="AY43" s="65" t="str">
        <f>IF(BK35="","",BK35)</f>
        <v/>
      </c>
      <c r="BA43" s="78"/>
      <c r="BB43" s="77"/>
      <c r="BD43" s="64" t="str">
        <f>IF(BN39="","",BN39)</f>
        <v/>
      </c>
      <c r="BE43" s="61" t="s">
        <v>92</v>
      </c>
      <c r="BF43" s="65" t="str">
        <f>IF(BK39="","",BK39)</f>
        <v/>
      </c>
      <c r="BH43" s="78"/>
      <c r="BI43" s="640"/>
      <c r="BJ43" s="641"/>
      <c r="BK43" s="641"/>
      <c r="BL43" s="641"/>
      <c r="BM43" s="641"/>
      <c r="BN43" s="641"/>
      <c r="BO43" s="641"/>
      <c r="BP43" s="642"/>
      <c r="BQ43" s="608"/>
      <c r="BR43" s="608"/>
      <c r="BS43" s="608"/>
      <c r="BT43" s="608"/>
      <c r="BU43" s="76"/>
      <c r="BX43" s="635"/>
      <c r="BY43" s="635"/>
      <c r="BZ43" s="635"/>
      <c r="CA43" s="635"/>
      <c r="CB43" s="635"/>
      <c r="CC43" s="635"/>
      <c r="CD43" s="635"/>
      <c r="CE43" s="635"/>
      <c r="CF43" s="635"/>
      <c r="CG43" s="635"/>
      <c r="CH43" s="635"/>
      <c r="CI43" s="635"/>
      <c r="CJ43" s="635"/>
      <c r="CK43" s="635"/>
      <c r="CL43" s="635"/>
      <c r="CM43" s="635"/>
      <c r="CN43" s="635"/>
      <c r="CO43" s="635"/>
      <c r="CP43" s="635"/>
      <c r="CQ43" s="635"/>
      <c r="CR43" s="635"/>
      <c r="CS43" s="635"/>
      <c r="CT43" s="635"/>
      <c r="CU43" s="635"/>
      <c r="CV43" s="635"/>
      <c r="CW43" s="635"/>
      <c r="CX43" s="635"/>
    </row>
    <row r="44" spans="1:106" ht="3.75" customHeight="1" x14ac:dyDescent="0.15">
      <c r="A44" s="62"/>
      <c r="C44" s="615"/>
      <c r="AF44" s="615"/>
      <c r="AG44" s="615"/>
      <c r="AH44" s="615"/>
      <c r="AI44" s="615"/>
      <c r="AJ44" s="76"/>
      <c r="AK44" s="76"/>
      <c r="AM44" s="938"/>
      <c r="AN44" s="79"/>
      <c r="AO44" s="80"/>
      <c r="AP44" s="81"/>
      <c r="AQ44" s="82"/>
      <c r="AR44" s="83"/>
      <c r="AS44" s="80"/>
      <c r="AT44" s="84"/>
      <c r="AU44" s="79"/>
      <c r="AV44" s="80"/>
      <c r="AW44" s="81"/>
      <c r="AX44" s="82"/>
      <c r="AY44" s="83"/>
      <c r="AZ44" s="80"/>
      <c r="BA44" s="84"/>
      <c r="BB44" s="79"/>
      <c r="BC44" s="80"/>
      <c r="BD44" s="81"/>
      <c r="BE44" s="82"/>
      <c r="BF44" s="83"/>
      <c r="BG44" s="80"/>
      <c r="BH44" s="84"/>
      <c r="BI44" s="643"/>
      <c r="BJ44" s="644"/>
      <c r="BK44" s="644"/>
      <c r="BL44" s="644"/>
      <c r="BM44" s="644"/>
      <c r="BN44" s="644"/>
      <c r="BO44" s="644"/>
      <c r="BP44" s="645"/>
      <c r="BQ44" s="608"/>
      <c r="BR44" s="608"/>
      <c r="BS44" s="608"/>
      <c r="BT44" s="608"/>
      <c r="BU44" s="76"/>
    </row>
    <row r="46" spans="1:106" ht="43.5" customHeight="1" x14ac:dyDescent="0.15">
      <c r="A46" s="62"/>
      <c r="BX46" s="86" t="s">
        <v>146</v>
      </c>
      <c r="CV46" s="86" t="s">
        <v>147</v>
      </c>
    </row>
    <row r="47" spans="1:106" ht="22.5" customHeight="1" x14ac:dyDescent="0.15">
      <c r="A47" s="62"/>
      <c r="CA47" s="624" t="s">
        <v>95</v>
      </c>
      <c r="CB47" s="624"/>
      <c r="CC47" s="624"/>
      <c r="CD47" s="199" t="str">
        <f>IF(I3="","",I3)</f>
        <v/>
      </c>
      <c r="CY47" s="624" t="s">
        <v>148</v>
      </c>
      <c r="CZ47" s="624"/>
      <c r="DA47" s="624"/>
      <c r="DB47" s="200" t="str">
        <f>IF(AP3="","",AP3)</f>
        <v/>
      </c>
    </row>
    <row r="48" spans="1:106" ht="3" customHeight="1" x14ac:dyDescent="0.15">
      <c r="A48" s="62"/>
      <c r="CA48" s="87"/>
      <c r="CB48" s="87"/>
      <c r="CC48" s="87"/>
      <c r="CD48" s="199"/>
      <c r="CY48" s="87"/>
      <c r="CZ48" s="87"/>
      <c r="DA48" s="87"/>
      <c r="DB48" s="200"/>
    </row>
    <row r="49" spans="1:119" x14ac:dyDescent="0.15">
      <c r="A49" s="62"/>
      <c r="CG49" s="620"/>
      <c r="DE49" s="620"/>
    </row>
    <row r="50" spans="1:119" x14ac:dyDescent="0.15">
      <c r="CE50" s="624" t="str">
        <f>IF(CE53="","",SUM(CE53:CF56))</f>
        <v/>
      </c>
      <c r="CF50" s="624"/>
      <c r="CG50" s="620"/>
      <c r="CI50" s="621" t="str">
        <f>IF(CI53="","",SUM(CI53:CJ56))</f>
        <v/>
      </c>
      <c r="CJ50" s="621"/>
      <c r="DC50" s="624" t="str">
        <f>IF(DC53="","",SUM(DC53:DD56))</f>
        <v/>
      </c>
      <c r="DD50" s="624"/>
      <c r="DE50" s="620"/>
      <c r="DG50" s="621" t="str">
        <f>IF(DG53="","",SUM(DG53:DH56))</f>
        <v/>
      </c>
      <c r="DH50" s="621"/>
    </row>
    <row r="51" spans="1:119" s="85" customFormat="1" hidden="1" x14ac:dyDescent="0.15">
      <c r="A51" s="88"/>
      <c r="D51" s="88"/>
      <c r="E51" s="88"/>
      <c r="F51" s="89"/>
      <c r="G51" s="90"/>
      <c r="H51" s="91"/>
      <c r="I51" s="88"/>
      <c r="J51" s="88"/>
      <c r="K51" s="88"/>
      <c r="L51" s="88"/>
      <c r="M51" s="89"/>
      <c r="N51" s="90"/>
      <c r="O51" s="91"/>
      <c r="P51" s="88"/>
      <c r="Q51" s="88"/>
      <c r="R51" s="88"/>
      <c r="S51" s="88"/>
      <c r="T51" s="89"/>
      <c r="U51" s="90"/>
      <c r="V51" s="91"/>
      <c r="W51" s="88"/>
      <c r="X51" s="88"/>
      <c r="AB51" s="92"/>
      <c r="AN51" s="88"/>
      <c r="AO51" s="88"/>
      <c r="AP51" s="89"/>
      <c r="AQ51" s="90"/>
      <c r="AR51" s="91"/>
      <c r="AS51" s="88"/>
      <c r="AT51" s="88"/>
      <c r="AU51" s="88"/>
      <c r="AV51" s="88"/>
      <c r="AW51" s="89"/>
      <c r="AX51" s="90"/>
      <c r="AY51" s="91"/>
      <c r="AZ51" s="88"/>
      <c r="BA51" s="88"/>
      <c r="BB51" s="88"/>
      <c r="BC51" s="88"/>
      <c r="BD51" s="89"/>
      <c r="BE51" s="90"/>
      <c r="BF51" s="91"/>
      <c r="BG51" s="88"/>
      <c r="BH51" s="88"/>
      <c r="BI51" s="88"/>
      <c r="BJ51" s="88"/>
      <c r="BK51" s="89"/>
      <c r="BL51" s="90"/>
      <c r="BM51" s="90"/>
      <c r="BN51" s="91"/>
      <c r="BO51" s="88"/>
      <c r="BP51" s="88"/>
      <c r="BU51" s="62"/>
      <c r="CE51" s="629" t="str">
        <f>IF(CE53="","",SUM(CE53:CF58))</f>
        <v/>
      </c>
      <c r="CF51" s="629"/>
      <c r="CG51" s="620"/>
      <c r="CI51" s="630" t="str">
        <f>IF(CI53="","",SUM(CI53:CJ58))</f>
        <v/>
      </c>
      <c r="CJ51" s="630"/>
      <c r="DC51" s="629" t="str">
        <f>IF(DC53="","",SUM(DC53:DD58))</f>
        <v/>
      </c>
      <c r="DD51" s="629"/>
      <c r="DE51" s="620"/>
      <c r="DG51" s="630" t="str">
        <f>IF(DG53="","",SUM(DG53:DH58))</f>
        <v/>
      </c>
      <c r="DH51" s="630"/>
    </row>
    <row r="52" spans="1:119" ht="7.5" customHeight="1" thickBot="1" x14ac:dyDescent="0.2">
      <c r="CB52" s="625"/>
      <c r="CC52" s="625"/>
      <c r="CD52" s="625"/>
      <c r="CE52" s="625"/>
      <c r="CF52" s="625"/>
      <c r="CG52" s="632"/>
      <c r="CH52" s="625"/>
      <c r="CI52" s="625"/>
      <c r="CJ52" s="625"/>
      <c r="CK52" s="625"/>
      <c r="CL52" s="625"/>
      <c r="CM52" s="625"/>
      <c r="CZ52" s="625"/>
      <c r="DA52" s="625"/>
      <c r="DB52" s="625"/>
      <c r="DC52" s="625"/>
      <c r="DD52" s="625"/>
      <c r="DE52" s="632"/>
      <c r="DF52" s="625"/>
      <c r="DG52" s="625"/>
      <c r="DH52" s="625"/>
      <c r="DI52" s="625"/>
      <c r="DJ52" s="625"/>
      <c r="DK52" s="625"/>
    </row>
    <row r="53" spans="1:119" ht="14.25" customHeight="1" thickTop="1" x14ac:dyDescent="0.15">
      <c r="BY53" s="631" t="str">
        <f>IF(BY59=CC59,"",IF(CC59&lt;BY59,BX67,CD67))</f>
        <v/>
      </c>
      <c r="BZ53" s="631"/>
      <c r="CA53" s="620"/>
      <c r="CE53" s="614"/>
      <c r="CF53" s="614"/>
      <c r="CG53" s="615" t="s">
        <v>92</v>
      </c>
      <c r="CH53" s="615"/>
      <c r="CI53" s="616"/>
      <c r="CJ53" s="616"/>
      <c r="CN53" s="619"/>
      <c r="CO53" s="628" t="str">
        <f>IF(CK59=CO59,"",IF(CO59&lt;CK59,CJ67,CP67))</f>
        <v/>
      </c>
      <c r="CP53" s="628"/>
      <c r="CW53" s="631" t="str">
        <f>IF(CW59=DA59,"",IF(DA59&lt;CW59,CV67,DB67))</f>
        <v/>
      </c>
      <c r="CX53" s="631"/>
      <c r="CY53" s="620"/>
      <c r="DC53" s="614"/>
      <c r="DD53" s="614"/>
      <c r="DE53" s="615" t="s">
        <v>92</v>
      </c>
      <c r="DF53" s="615"/>
      <c r="DG53" s="616"/>
      <c r="DH53" s="616"/>
      <c r="DL53" s="619"/>
      <c r="DM53" s="628" t="str">
        <f>IF(DI59=DM59,"",IF(DM59&lt;DI59,DH67,DN67))</f>
        <v/>
      </c>
      <c r="DN53" s="628"/>
    </row>
    <row r="54" spans="1:119" x14ac:dyDescent="0.15">
      <c r="BY54" s="631"/>
      <c r="BZ54" s="631"/>
      <c r="CA54" s="620"/>
      <c r="CE54" s="614"/>
      <c r="CF54" s="614"/>
      <c r="CG54" s="615" t="s">
        <v>92</v>
      </c>
      <c r="CH54" s="615"/>
      <c r="CI54" s="616"/>
      <c r="CJ54" s="616"/>
      <c r="CN54" s="619"/>
      <c r="CO54" s="628"/>
      <c r="CP54" s="628"/>
      <c r="CW54" s="631"/>
      <c r="CX54" s="631"/>
      <c r="CY54" s="620"/>
      <c r="DC54" s="614"/>
      <c r="DD54" s="614"/>
      <c r="DE54" s="615" t="s">
        <v>92</v>
      </c>
      <c r="DF54" s="615"/>
      <c r="DG54" s="616"/>
      <c r="DH54" s="616"/>
      <c r="DL54" s="619"/>
      <c r="DM54" s="628"/>
      <c r="DN54" s="628"/>
    </row>
    <row r="55" spans="1:119" x14ac:dyDescent="0.15">
      <c r="A55" s="31" t="str">
        <f>IF(CE51=CI51,"",IF(BY53=BX67,CD67,BX67))</f>
        <v/>
      </c>
      <c r="BY55" s="631"/>
      <c r="BZ55" s="631"/>
      <c r="CA55" s="620"/>
      <c r="CE55" s="614"/>
      <c r="CF55" s="614"/>
      <c r="CG55" s="615" t="str">
        <f>IF(CE55="","","－")</f>
        <v/>
      </c>
      <c r="CH55" s="615"/>
      <c r="CI55" s="616"/>
      <c r="CJ55" s="616"/>
      <c r="CN55" s="619"/>
      <c r="CO55" s="628"/>
      <c r="CP55" s="628"/>
      <c r="CW55" s="631"/>
      <c r="CX55" s="631"/>
      <c r="CY55" s="620"/>
      <c r="DC55" s="614"/>
      <c r="DD55" s="614"/>
      <c r="DE55" s="615" t="str">
        <f>IF(DC55="","","－")</f>
        <v/>
      </c>
      <c r="DF55" s="615"/>
      <c r="DG55" s="616"/>
      <c r="DH55" s="616"/>
      <c r="DL55" s="619"/>
      <c r="DM55" s="628"/>
      <c r="DN55" s="628"/>
    </row>
    <row r="56" spans="1:119" x14ac:dyDescent="0.15">
      <c r="A56" s="31" t="str">
        <f>IF(CE51=CI51,"",IF(CO53=CP67,CJ67,CP67))</f>
        <v/>
      </c>
      <c r="BY56" s="631"/>
      <c r="BZ56" s="631"/>
      <c r="CA56" s="620"/>
      <c r="CE56" s="614"/>
      <c r="CF56" s="614"/>
      <c r="CG56" s="615" t="str">
        <f>IF(CE56="","","－")</f>
        <v/>
      </c>
      <c r="CH56" s="615"/>
      <c r="CI56" s="616"/>
      <c r="CJ56" s="616"/>
      <c r="CN56" s="619"/>
      <c r="CO56" s="628"/>
      <c r="CP56" s="628"/>
      <c r="CW56" s="631"/>
      <c r="CX56" s="631"/>
      <c r="CY56" s="620"/>
      <c r="DC56" s="614"/>
      <c r="DD56" s="614"/>
      <c r="DE56" s="615" t="str">
        <f>IF(DC56="","","－")</f>
        <v/>
      </c>
      <c r="DF56" s="615"/>
      <c r="DG56" s="616"/>
      <c r="DH56" s="616"/>
      <c r="DL56" s="619"/>
      <c r="DM56" s="628"/>
      <c r="DN56" s="628"/>
    </row>
    <row r="57" spans="1:119" x14ac:dyDescent="0.15">
      <c r="CA57" s="620"/>
      <c r="CE57" s="614"/>
      <c r="CF57" s="614"/>
      <c r="CG57" s="615" t="str">
        <f>IF(CE57="","","PK")</f>
        <v/>
      </c>
      <c r="CH57" s="615"/>
      <c r="CI57" s="616"/>
      <c r="CJ57" s="616"/>
      <c r="CN57" s="619"/>
      <c r="CY57" s="620"/>
      <c r="DC57" s="614"/>
      <c r="DD57" s="614"/>
      <c r="DE57" s="615" t="str">
        <f>IF(DC57="","","PK")</f>
        <v/>
      </c>
      <c r="DF57" s="615"/>
      <c r="DG57" s="616"/>
      <c r="DH57" s="616"/>
      <c r="DL57" s="619"/>
    </row>
    <row r="58" spans="1:119" x14ac:dyDescent="0.15">
      <c r="BY58" s="624" t="str">
        <f>IF(BY61="","",SUM(BY61:BZ64))</f>
        <v/>
      </c>
      <c r="BZ58" s="624"/>
      <c r="CA58" s="620"/>
      <c r="CC58" s="621" t="str">
        <f>IF(CC61="","",SUM(CC61:CD64))</f>
        <v/>
      </c>
      <c r="CD58" s="621"/>
      <c r="CG58" s="615"/>
      <c r="CH58" s="615"/>
      <c r="CK58" s="624" t="str">
        <f>IF(CK61="","",SUM(CK61:CL64))</f>
        <v/>
      </c>
      <c r="CL58" s="624"/>
      <c r="CN58" s="619"/>
      <c r="CO58" s="621" t="str">
        <f>IF(CO61="","",SUM(CO61:CP64))</f>
        <v/>
      </c>
      <c r="CP58" s="621"/>
      <c r="CW58" s="624" t="str">
        <f>IF(CW61="","",SUM(CW61:CX64))</f>
        <v/>
      </c>
      <c r="CX58" s="624"/>
      <c r="CY58" s="620"/>
      <c r="DA58" s="621" t="str">
        <f>IF(DA61="","",SUM(DA61:DB64))</f>
        <v/>
      </c>
      <c r="DB58" s="621"/>
      <c r="DE58" s="615"/>
      <c r="DF58" s="615"/>
      <c r="DI58" s="624" t="str">
        <f>IF(DI61="","",SUM(DI61:DJ64))</f>
        <v/>
      </c>
      <c r="DJ58" s="624"/>
      <c r="DL58" s="619"/>
      <c r="DM58" s="621" t="str">
        <f>IF(DM61="","",SUM(DM61:DN64))</f>
        <v/>
      </c>
      <c r="DN58" s="621"/>
    </row>
    <row r="59" spans="1:119" s="85" customFormat="1" hidden="1" x14ac:dyDescent="0.15">
      <c r="A59" s="88"/>
      <c r="D59" s="88"/>
      <c r="E59" s="88"/>
      <c r="F59" s="89"/>
      <c r="G59" s="90"/>
      <c r="H59" s="91"/>
      <c r="I59" s="88"/>
      <c r="J59" s="88"/>
      <c r="K59" s="88"/>
      <c r="L59" s="88"/>
      <c r="M59" s="89"/>
      <c r="N59" s="90"/>
      <c r="O59" s="91"/>
      <c r="P59" s="88"/>
      <c r="Q59" s="88"/>
      <c r="R59" s="88"/>
      <c r="S59" s="88"/>
      <c r="T59" s="89"/>
      <c r="U59" s="90"/>
      <c r="V59" s="91"/>
      <c r="W59" s="88"/>
      <c r="X59" s="88"/>
      <c r="AB59" s="92"/>
      <c r="AN59" s="88"/>
      <c r="AO59" s="88"/>
      <c r="AP59" s="89"/>
      <c r="AQ59" s="90"/>
      <c r="AR59" s="91"/>
      <c r="AS59" s="88"/>
      <c r="AT59" s="88"/>
      <c r="AU59" s="88"/>
      <c r="AV59" s="88"/>
      <c r="AW59" s="89"/>
      <c r="AX59" s="90"/>
      <c r="AY59" s="91"/>
      <c r="AZ59" s="88"/>
      <c r="BA59" s="88"/>
      <c r="BB59" s="88"/>
      <c r="BC59" s="88"/>
      <c r="BD59" s="89"/>
      <c r="BE59" s="90"/>
      <c r="BF59" s="91"/>
      <c r="BG59" s="88"/>
      <c r="BH59" s="88"/>
      <c r="BI59" s="88"/>
      <c r="BJ59" s="88"/>
      <c r="BK59" s="89"/>
      <c r="BL59" s="90"/>
      <c r="BM59" s="90"/>
      <c r="BN59" s="91"/>
      <c r="BO59" s="88"/>
      <c r="BP59" s="88"/>
      <c r="BU59" s="62"/>
      <c r="BY59" s="629" t="str">
        <f>IF(BY61="","",SUM(BY61:BZ66))</f>
        <v/>
      </c>
      <c r="BZ59" s="629"/>
      <c r="CA59" s="620"/>
      <c r="CC59" s="630" t="str">
        <f>IF(CC61="","",SUM(CC61:CD66))</f>
        <v/>
      </c>
      <c r="CD59" s="630"/>
      <c r="CK59" s="629" t="str">
        <f>IF(CK61="","",SUM(CK61:CL66))</f>
        <v/>
      </c>
      <c r="CL59" s="629"/>
      <c r="CN59" s="619"/>
      <c r="CO59" s="630" t="str">
        <f>IF(CO61="","",SUM(CO61:CP66))</f>
        <v/>
      </c>
      <c r="CP59" s="630"/>
      <c r="CW59" s="629" t="str">
        <f>IF(CW61="","",SUM(CW61:CX66))</f>
        <v/>
      </c>
      <c r="CX59" s="629"/>
      <c r="CY59" s="620"/>
      <c r="DA59" s="630" t="str">
        <f>IF(DA61="","",SUM(DA61:DB66))</f>
        <v/>
      </c>
      <c r="DB59" s="630"/>
      <c r="DI59" s="629" t="str">
        <f>IF(DI61="","",SUM(DI61:DJ66))</f>
        <v/>
      </c>
      <c r="DJ59" s="629"/>
      <c r="DL59" s="619"/>
      <c r="DM59" s="630" t="str">
        <f>IF(DM61="","",SUM(DM61:DN66))</f>
        <v/>
      </c>
      <c r="DN59" s="630"/>
    </row>
    <row r="60" spans="1:119" ht="7.5" customHeight="1" thickBot="1" x14ac:dyDescent="0.2">
      <c r="BY60" s="625"/>
      <c r="BZ60" s="625"/>
      <c r="CA60" s="632"/>
      <c r="CB60" s="625"/>
      <c r="CC60" s="625"/>
      <c r="CD60" s="625"/>
      <c r="CK60" s="625"/>
      <c r="CL60" s="625"/>
      <c r="CM60" s="625"/>
      <c r="CN60" s="627"/>
      <c r="CO60" s="625"/>
      <c r="CP60" s="625"/>
      <c r="CW60" s="625"/>
      <c r="CX60" s="625"/>
      <c r="CY60" s="632"/>
      <c r="CZ60" s="625"/>
      <c r="DA60" s="625"/>
      <c r="DB60" s="625"/>
      <c r="DI60" s="625"/>
      <c r="DJ60" s="625"/>
      <c r="DK60" s="625"/>
      <c r="DL60" s="627"/>
      <c r="DM60" s="625"/>
      <c r="DN60" s="625"/>
    </row>
    <row r="61" spans="1:119" ht="15" thickTop="1" x14ac:dyDescent="0.15">
      <c r="BX61" s="620"/>
      <c r="BY61" s="614"/>
      <c r="BZ61" s="614"/>
      <c r="CA61" s="615" t="s">
        <v>92</v>
      </c>
      <c r="CB61" s="615"/>
      <c r="CC61" s="616"/>
      <c r="CD61" s="616"/>
      <c r="CE61" s="619"/>
      <c r="CJ61" s="620"/>
      <c r="CK61" s="614"/>
      <c r="CL61" s="614"/>
      <c r="CM61" s="615" t="s">
        <v>92</v>
      </c>
      <c r="CN61" s="615"/>
      <c r="CO61" s="616"/>
      <c r="CP61" s="616"/>
      <c r="CQ61" s="619"/>
      <c r="CV61" s="620"/>
      <c r="CW61" s="614"/>
      <c r="CX61" s="614"/>
      <c r="CY61" s="615" t="s">
        <v>92</v>
      </c>
      <c r="CZ61" s="615"/>
      <c r="DA61" s="616"/>
      <c r="DB61" s="616"/>
      <c r="DC61" s="619"/>
      <c r="DH61" s="620"/>
      <c r="DI61" s="614"/>
      <c r="DJ61" s="614"/>
      <c r="DK61" s="615" t="s">
        <v>92</v>
      </c>
      <c r="DL61" s="615"/>
      <c r="DM61" s="616"/>
      <c r="DN61" s="616"/>
      <c r="DO61" s="619"/>
    </row>
    <row r="62" spans="1:119" x14ac:dyDescent="0.15">
      <c r="BX62" s="620"/>
      <c r="BY62" s="614"/>
      <c r="BZ62" s="614"/>
      <c r="CA62" s="615" t="s">
        <v>92</v>
      </c>
      <c r="CB62" s="615"/>
      <c r="CC62" s="616"/>
      <c r="CD62" s="616"/>
      <c r="CE62" s="619"/>
      <c r="CJ62" s="620"/>
      <c r="CK62" s="614"/>
      <c r="CL62" s="614"/>
      <c r="CM62" s="615" t="s">
        <v>92</v>
      </c>
      <c r="CN62" s="615"/>
      <c r="CO62" s="616"/>
      <c r="CP62" s="616"/>
      <c r="CQ62" s="619"/>
      <c r="CV62" s="620"/>
      <c r="CW62" s="614"/>
      <c r="CX62" s="614"/>
      <c r="CY62" s="615" t="s">
        <v>92</v>
      </c>
      <c r="CZ62" s="615"/>
      <c r="DA62" s="616"/>
      <c r="DB62" s="616"/>
      <c r="DC62" s="619"/>
      <c r="DH62" s="620"/>
      <c r="DI62" s="614"/>
      <c r="DJ62" s="614"/>
      <c r="DK62" s="615" t="s">
        <v>92</v>
      </c>
      <c r="DL62" s="615"/>
      <c r="DM62" s="616"/>
      <c r="DN62" s="616"/>
      <c r="DO62" s="619"/>
    </row>
    <row r="63" spans="1:119" x14ac:dyDescent="0.15">
      <c r="BX63" s="620"/>
      <c r="BY63" s="614"/>
      <c r="BZ63" s="614"/>
      <c r="CA63" s="615" t="str">
        <f>IF(BY63="","","－")</f>
        <v/>
      </c>
      <c r="CB63" s="615"/>
      <c r="CC63" s="616"/>
      <c r="CD63" s="616"/>
      <c r="CE63" s="619"/>
      <c r="CJ63" s="620"/>
      <c r="CK63" s="614"/>
      <c r="CL63" s="614"/>
      <c r="CM63" s="615" t="str">
        <f>IF(CK63="","","－")</f>
        <v/>
      </c>
      <c r="CN63" s="615"/>
      <c r="CO63" s="616"/>
      <c r="CP63" s="616"/>
      <c r="CQ63" s="619"/>
      <c r="CV63" s="620"/>
      <c r="CW63" s="614"/>
      <c r="CX63" s="614"/>
      <c r="CY63" s="615" t="str">
        <f>IF(CW63="","","－")</f>
        <v/>
      </c>
      <c r="CZ63" s="615"/>
      <c r="DA63" s="616"/>
      <c r="DB63" s="616"/>
      <c r="DC63" s="619"/>
      <c r="DH63" s="620"/>
      <c r="DI63" s="614"/>
      <c r="DJ63" s="614"/>
      <c r="DK63" s="615" t="str">
        <f>IF(DI63="","","－")</f>
        <v/>
      </c>
      <c r="DL63" s="615"/>
      <c r="DM63" s="616"/>
      <c r="DN63" s="616"/>
      <c r="DO63" s="619"/>
    </row>
    <row r="64" spans="1:119" x14ac:dyDescent="0.15">
      <c r="BX64" s="620"/>
      <c r="BY64" s="614"/>
      <c r="BZ64" s="614"/>
      <c r="CA64" s="615" t="str">
        <f>IF(BY64="","","－")</f>
        <v/>
      </c>
      <c r="CB64" s="615"/>
      <c r="CC64" s="616"/>
      <c r="CD64" s="616"/>
      <c r="CE64" s="619"/>
      <c r="CJ64" s="620"/>
      <c r="CK64" s="614"/>
      <c r="CL64" s="614"/>
      <c r="CM64" s="615" t="str">
        <f>IF(CK64="","","－")</f>
        <v/>
      </c>
      <c r="CN64" s="615"/>
      <c r="CO64" s="616"/>
      <c r="CP64" s="616"/>
      <c r="CQ64" s="619"/>
      <c r="CV64" s="620"/>
      <c r="CW64" s="614"/>
      <c r="CX64" s="614"/>
      <c r="CY64" s="615" t="str">
        <f>IF(CW64="","","－")</f>
        <v/>
      </c>
      <c r="CZ64" s="615"/>
      <c r="DA64" s="616"/>
      <c r="DB64" s="616"/>
      <c r="DC64" s="619"/>
      <c r="DH64" s="620"/>
      <c r="DI64" s="614"/>
      <c r="DJ64" s="614"/>
      <c r="DK64" s="615" t="str">
        <f>IF(DI64="","","－")</f>
        <v/>
      </c>
      <c r="DL64" s="615"/>
      <c r="DM64" s="616"/>
      <c r="DN64" s="616"/>
      <c r="DO64" s="619"/>
    </row>
    <row r="65" spans="76:122" x14ac:dyDescent="0.15">
      <c r="BX65" s="620"/>
      <c r="BY65" s="614"/>
      <c r="BZ65" s="614"/>
      <c r="CA65" s="615" t="str">
        <f>IF(BY65="","","PK")</f>
        <v/>
      </c>
      <c r="CB65" s="615"/>
      <c r="CC65" s="616"/>
      <c r="CD65" s="616"/>
      <c r="CE65" s="619"/>
      <c r="CJ65" s="620"/>
      <c r="CK65" s="614"/>
      <c r="CL65" s="614"/>
      <c r="CM65" s="615" t="str">
        <f>IF(CK65="","","PK")</f>
        <v/>
      </c>
      <c r="CN65" s="615"/>
      <c r="CO65" s="616"/>
      <c r="CP65" s="616"/>
      <c r="CQ65" s="619"/>
      <c r="CV65" s="620"/>
      <c r="CW65" s="614"/>
      <c r="CX65" s="614"/>
      <c r="CY65" s="615" t="str">
        <f>IF(CW65="","","PK")</f>
        <v/>
      </c>
      <c r="CZ65" s="615"/>
      <c r="DA65" s="616"/>
      <c r="DB65" s="616"/>
      <c r="DC65" s="619"/>
      <c r="DH65" s="620"/>
      <c r="DI65" s="614"/>
      <c r="DJ65" s="614"/>
      <c r="DK65" s="615" t="str">
        <f>IF(DI65="","","PK")</f>
        <v/>
      </c>
      <c r="DL65" s="615"/>
      <c r="DM65" s="616"/>
      <c r="DN65" s="616"/>
      <c r="DO65" s="619"/>
    </row>
    <row r="66" spans="76:122" x14ac:dyDescent="0.15">
      <c r="BX66" s="620"/>
      <c r="CA66" s="615"/>
      <c r="CB66" s="615"/>
      <c r="CE66" s="619"/>
      <c r="CJ66" s="620"/>
      <c r="CM66" s="615"/>
      <c r="CN66" s="615"/>
      <c r="CQ66" s="619"/>
      <c r="CV66" s="620"/>
      <c r="CY66" s="615"/>
      <c r="CZ66" s="615"/>
      <c r="DC66" s="619"/>
      <c r="DH66" s="620"/>
      <c r="DK66" s="615"/>
      <c r="DL66" s="615"/>
      <c r="DO66" s="619"/>
    </row>
    <row r="67" spans="76:122" ht="183.75" customHeight="1" x14ac:dyDescent="0.15">
      <c r="BX67" s="617" t="str">
        <f>IF(ISERROR(MATCH(1,$AI$10:$AI$25,0)),"A1位(　　　　　)",INDEX($C$10:$C$25,MATCH(1,$AI$10:$AI$25,0),1))</f>
        <v>A1位(　　　　　)</v>
      </c>
      <c r="BY67" s="617"/>
      <c r="BZ67" s="94"/>
      <c r="CA67" s="94"/>
      <c r="CB67" s="94"/>
      <c r="CC67" s="94"/>
      <c r="CD67" s="617" t="str">
        <f>IF(ISERROR(MATCH(1,$BT$29:$BT$44,0)),"D1位(　　　　　)",INDEX($AM$29:$AM$44,MATCH(1,$BT$29:$BT$44,0),1))</f>
        <v>D1位(　　　　　)</v>
      </c>
      <c r="CE67" s="617"/>
      <c r="CF67" s="94"/>
      <c r="CG67" s="94"/>
      <c r="CH67" s="94"/>
      <c r="CI67" s="94"/>
      <c r="CJ67" s="617" t="str">
        <f>IF(ISERROR(MATCH(1,$BR$10:$BR$21,0)),"C1位(　　　　　)",INDEX($AM$10:$AM$25,MATCH(1,$BR$10:$BR$25,0),1))</f>
        <v>C1位(　　　　　)</v>
      </c>
      <c r="CK67" s="617"/>
      <c r="CL67" s="94"/>
      <c r="CM67" s="94"/>
      <c r="CN67" s="94"/>
      <c r="CO67" s="94"/>
      <c r="CP67" s="617" t="str">
        <f>IF(ISERROR(MATCH(1,$AI$29:$AI$44,0)),"B1位(　　　　　)",INDEX($C$29:$C$44,MATCH(1,$AI$29:$AI$44,0),1))</f>
        <v>B1位(　　　　　)</v>
      </c>
      <c r="CQ67" s="617"/>
      <c r="CR67" s="94"/>
      <c r="CS67" s="94"/>
      <c r="CT67" s="94"/>
      <c r="CU67" s="94"/>
      <c r="CV67" s="617" t="str">
        <f>IF(ISERROR(MATCH(2,$AI$10:$AI$25,0)),"A2位(　　　　　)",INDEX($C$10:$C$25,MATCH(2,$AI$10:$AI$25,0),1))</f>
        <v>A2位(　　　　　)</v>
      </c>
      <c r="CW67" s="617"/>
      <c r="CX67" s="94"/>
      <c r="CY67" s="94"/>
      <c r="CZ67" s="94"/>
      <c r="DA67" s="94"/>
      <c r="DB67" s="617" t="str">
        <f>IF(ISERROR(MATCH(2,$BT$29:$BT$44,0)),"D2位(　　　　　)",INDEX($AM$29:$AM$44,MATCH(2,$BT$29:$BT$44,0),1))</f>
        <v>D2位(　　　　　)</v>
      </c>
      <c r="DC67" s="617"/>
      <c r="DD67" s="94"/>
      <c r="DE67" s="94"/>
      <c r="DF67" s="94"/>
      <c r="DG67" s="94"/>
      <c r="DH67" s="617" t="str">
        <f>IF(ISERROR(MATCH(2,$BR$10:$BR$21,0)),"C2位(　　　　　)",INDEX($AM$10:$AM$25,MATCH(2,$BR$10:$BR$25,0),1))</f>
        <v>C2位(　　　　　)</v>
      </c>
      <c r="DI67" s="617"/>
      <c r="DJ67" s="94"/>
      <c r="DK67" s="94"/>
      <c r="DL67" s="94"/>
      <c r="DM67" s="94"/>
      <c r="DN67" s="617" t="str">
        <f>IF(ISERROR(MATCH(2,$AI$29:$AI$44,0)),"B2位(　　　　　)",INDEX($C$29:$C$44,MATCH(2,$AI$29:$AI$44,0),1))</f>
        <v>B2位(　　　　　)</v>
      </c>
      <c r="DO67" s="617"/>
      <c r="DP67" s="76"/>
      <c r="DQ67" s="76"/>
      <c r="DR67" s="76"/>
    </row>
  </sheetData>
  <mergeCells count="397">
    <mergeCell ref="F4:H4"/>
    <mergeCell ref="I4:AG4"/>
    <mergeCell ref="AH4:AI4"/>
    <mergeCell ref="F5:H5"/>
    <mergeCell ref="I5:AG5"/>
    <mergeCell ref="AH5:AI5"/>
    <mergeCell ref="C1:BT1"/>
    <mergeCell ref="F3:H3"/>
    <mergeCell ref="I3:AG3"/>
    <mergeCell ref="AH3:AI3"/>
    <mergeCell ref="AK3:AM3"/>
    <mergeCell ref="AP3:BJ3"/>
    <mergeCell ref="BK3:BP3"/>
    <mergeCell ref="I6:AG6"/>
    <mergeCell ref="AH6:AI6"/>
    <mergeCell ref="C8:J8"/>
    <mergeCell ref="AM8:AT8"/>
    <mergeCell ref="D9:J9"/>
    <mergeCell ref="K9:Q9"/>
    <mergeCell ref="R9:X9"/>
    <mergeCell ref="Y9:AE9"/>
    <mergeCell ref="AN9:AT9"/>
    <mergeCell ref="AU9:BA9"/>
    <mergeCell ref="BB9:BH9"/>
    <mergeCell ref="BI9:BL9"/>
    <mergeCell ref="BM9:BP9"/>
    <mergeCell ref="C10:C13"/>
    <mergeCell ref="D10:J13"/>
    <mergeCell ref="K10:M10"/>
    <mergeCell ref="O10:Q10"/>
    <mergeCell ref="R10:T10"/>
    <mergeCell ref="V10:X10"/>
    <mergeCell ref="BI10:BL13"/>
    <mergeCell ref="BM10:BP13"/>
    <mergeCell ref="BS14:BS17"/>
    <mergeCell ref="AI14:AI17"/>
    <mergeCell ref="AM14:AM17"/>
    <mergeCell ref="AN14:AP14"/>
    <mergeCell ref="AR14:AT14"/>
    <mergeCell ref="AU14:BA17"/>
    <mergeCell ref="BB14:BD14"/>
    <mergeCell ref="BS10:BS13"/>
    <mergeCell ref="C14:C17"/>
    <mergeCell ref="D14:F14"/>
    <mergeCell ref="H14:J14"/>
    <mergeCell ref="K14:Q17"/>
    <mergeCell ref="R14:T14"/>
    <mergeCell ref="AM10:AM13"/>
    <mergeCell ref="AN10:AT13"/>
    <mergeCell ref="AU10:AW10"/>
    <mergeCell ref="AY10:BA10"/>
    <mergeCell ref="BB10:BD10"/>
    <mergeCell ref="BF10:BH10"/>
    <mergeCell ref="Y10:AA10"/>
    <mergeCell ref="AC10:AE10"/>
    <mergeCell ref="AF10:AF13"/>
    <mergeCell ref="AG10:AG13"/>
    <mergeCell ref="AH10:AH13"/>
    <mergeCell ref="C18:C21"/>
    <mergeCell ref="D18:F18"/>
    <mergeCell ref="BQ10:BQ13"/>
    <mergeCell ref="BF14:BH14"/>
    <mergeCell ref="BI14:BL17"/>
    <mergeCell ref="BM14:BP17"/>
    <mergeCell ref="BQ14:BQ17"/>
    <mergeCell ref="BR14:BR17"/>
    <mergeCell ref="BR10:BR13"/>
    <mergeCell ref="AI10:AI13"/>
    <mergeCell ref="V14:X14"/>
    <mergeCell ref="Y14:AA14"/>
    <mergeCell ref="AC14:AE14"/>
    <mergeCell ref="AF14:AF17"/>
    <mergeCell ref="AG14:AG17"/>
    <mergeCell ref="AH14:AH17"/>
    <mergeCell ref="BM18:BP21"/>
    <mergeCell ref="BQ18:BQ21"/>
    <mergeCell ref="BR18:BR21"/>
    <mergeCell ref="H22:J22"/>
    <mergeCell ref="K22:M22"/>
    <mergeCell ref="O22:Q22"/>
    <mergeCell ref="AM18:AM21"/>
    <mergeCell ref="AN18:AP18"/>
    <mergeCell ref="AR18:AT18"/>
    <mergeCell ref="AU18:AW18"/>
    <mergeCell ref="Y18:AA18"/>
    <mergeCell ref="AC18:AE18"/>
    <mergeCell ref="AF18:AF21"/>
    <mergeCell ref="AG18:AG21"/>
    <mergeCell ref="AH18:AH21"/>
    <mergeCell ref="AI18:AI21"/>
    <mergeCell ref="BT22:BT25"/>
    <mergeCell ref="C27:J27"/>
    <mergeCell ref="AM27:AT27"/>
    <mergeCell ref="BI22:BP25"/>
    <mergeCell ref="BQ22:BQ25"/>
    <mergeCell ref="BR22:BR25"/>
    <mergeCell ref="H18:J18"/>
    <mergeCell ref="K18:M18"/>
    <mergeCell ref="O18:Q18"/>
    <mergeCell ref="R18:X21"/>
    <mergeCell ref="Y22:AA22"/>
    <mergeCell ref="AC22:AE22"/>
    <mergeCell ref="AF22:AF25"/>
    <mergeCell ref="AG22:AG25"/>
    <mergeCell ref="BI18:BL21"/>
    <mergeCell ref="R22:T22"/>
    <mergeCell ref="V22:X22"/>
    <mergeCell ref="AH22:AH25"/>
    <mergeCell ref="AI22:AI25"/>
    <mergeCell ref="AM22:AM25"/>
    <mergeCell ref="AN22:AP22"/>
    <mergeCell ref="AR22:AT22"/>
    <mergeCell ref="AU22:AW22"/>
    <mergeCell ref="C22:C25"/>
    <mergeCell ref="BS18:BS21"/>
    <mergeCell ref="AY18:BA18"/>
    <mergeCell ref="BB18:BH21"/>
    <mergeCell ref="BS22:BS25"/>
    <mergeCell ref="AY22:BA22"/>
    <mergeCell ref="BB22:BD22"/>
    <mergeCell ref="BF22:BH22"/>
    <mergeCell ref="C29:C32"/>
    <mergeCell ref="D29:J32"/>
    <mergeCell ref="K29:M29"/>
    <mergeCell ref="O29:Q29"/>
    <mergeCell ref="R29:T29"/>
    <mergeCell ref="V29:X29"/>
    <mergeCell ref="Y29:AA29"/>
    <mergeCell ref="AC29:AE29"/>
    <mergeCell ref="D28:J28"/>
    <mergeCell ref="K28:Q28"/>
    <mergeCell ref="R28:X28"/>
    <mergeCell ref="Y28:AE28"/>
    <mergeCell ref="AN28:AT28"/>
    <mergeCell ref="AU28:BA28"/>
    <mergeCell ref="BB28:BH28"/>
    <mergeCell ref="BI28:BP28"/>
    <mergeCell ref="D22:F22"/>
    <mergeCell ref="K33:Q36"/>
    <mergeCell ref="R33:T33"/>
    <mergeCell ref="V33:X33"/>
    <mergeCell ref="BN29:BP29"/>
    <mergeCell ref="BQ29:BQ32"/>
    <mergeCell ref="BR29:BR32"/>
    <mergeCell ref="BS29:BS32"/>
    <mergeCell ref="AF29:AF32"/>
    <mergeCell ref="AG29:AG32"/>
    <mergeCell ref="AH29:AH32"/>
    <mergeCell ref="AI29:AI32"/>
    <mergeCell ref="AM29:AM32"/>
    <mergeCell ref="AN29:AT32"/>
    <mergeCell ref="BT29:BT32"/>
    <mergeCell ref="BL30:BM30"/>
    <mergeCell ref="BL31:BM31"/>
    <mergeCell ref="AU29:AW29"/>
    <mergeCell ref="AY29:BA29"/>
    <mergeCell ref="BB29:BD29"/>
    <mergeCell ref="BF29:BH29"/>
    <mergeCell ref="BI29:BK29"/>
    <mergeCell ref="BL29:BM29"/>
    <mergeCell ref="C37:C40"/>
    <mergeCell ref="D37:F37"/>
    <mergeCell ref="H37:J37"/>
    <mergeCell ref="K37:M37"/>
    <mergeCell ref="O37:Q37"/>
    <mergeCell ref="R37:X40"/>
    <mergeCell ref="Y37:AA37"/>
    <mergeCell ref="BI33:BK33"/>
    <mergeCell ref="BL33:BM33"/>
    <mergeCell ref="AM33:AM36"/>
    <mergeCell ref="AN33:AP33"/>
    <mergeCell ref="AR33:AT33"/>
    <mergeCell ref="AU33:BA36"/>
    <mergeCell ref="BB33:BD33"/>
    <mergeCell ref="BF33:BH33"/>
    <mergeCell ref="Y33:AA33"/>
    <mergeCell ref="AC33:AE33"/>
    <mergeCell ref="AF33:AF36"/>
    <mergeCell ref="AG33:AG36"/>
    <mergeCell ref="AH33:AH36"/>
    <mergeCell ref="AI33:AI36"/>
    <mergeCell ref="C33:C36"/>
    <mergeCell ref="D33:F33"/>
    <mergeCell ref="H33:J33"/>
    <mergeCell ref="BT33:BT36"/>
    <mergeCell ref="BL34:BM34"/>
    <mergeCell ref="BL35:BM35"/>
    <mergeCell ref="BN33:BP33"/>
    <mergeCell ref="BQ33:BQ36"/>
    <mergeCell ref="BR33:BR36"/>
    <mergeCell ref="BS33:BS36"/>
    <mergeCell ref="BL37:BM37"/>
    <mergeCell ref="BN37:BP37"/>
    <mergeCell ref="BQ37:BQ40"/>
    <mergeCell ref="BR37:BR40"/>
    <mergeCell ref="BS37:BS40"/>
    <mergeCell ref="BT37:BT40"/>
    <mergeCell ref="BL38:BM38"/>
    <mergeCell ref="BL39:BM39"/>
    <mergeCell ref="AY37:BA37"/>
    <mergeCell ref="BB37:BH40"/>
    <mergeCell ref="BI37:BK37"/>
    <mergeCell ref="V41:X41"/>
    <mergeCell ref="Y41:AA41"/>
    <mergeCell ref="AC41:AE41"/>
    <mergeCell ref="AF41:AF44"/>
    <mergeCell ref="AG41:AG44"/>
    <mergeCell ref="AH41:AH44"/>
    <mergeCell ref="AC37:AE37"/>
    <mergeCell ref="AF37:AF40"/>
    <mergeCell ref="AG37:AG40"/>
    <mergeCell ref="AH37:AH40"/>
    <mergeCell ref="AI37:AI40"/>
    <mergeCell ref="AM37:AM40"/>
    <mergeCell ref="AN37:AP37"/>
    <mergeCell ref="AR37:AT37"/>
    <mergeCell ref="AU37:AW37"/>
    <mergeCell ref="C41:C44"/>
    <mergeCell ref="D41:F41"/>
    <mergeCell ref="H41:J41"/>
    <mergeCell ref="K41:M41"/>
    <mergeCell ref="O41:Q41"/>
    <mergeCell ref="R41:T41"/>
    <mergeCell ref="BB41:BD41"/>
    <mergeCell ref="BF41:BH41"/>
    <mergeCell ref="BI41:BP44"/>
    <mergeCell ref="BQ41:BQ44"/>
    <mergeCell ref="BR41:BR44"/>
    <mergeCell ref="BS41:BS44"/>
    <mergeCell ref="AI41:AI44"/>
    <mergeCell ref="AM41:AM44"/>
    <mergeCell ref="AN41:AP41"/>
    <mergeCell ref="AR41:AT41"/>
    <mergeCell ref="AU41:AW41"/>
    <mergeCell ref="AY41:BA41"/>
    <mergeCell ref="BT41:BT44"/>
    <mergeCell ref="BX41:CX43"/>
    <mergeCell ref="CA47:CC47"/>
    <mergeCell ref="CY47:DA47"/>
    <mergeCell ref="CG49:CG52"/>
    <mergeCell ref="DE49:DE52"/>
    <mergeCell ref="CE50:CF50"/>
    <mergeCell ref="CI50:CJ50"/>
    <mergeCell ref="DC50:DD50"/>
    <mergeCell ref="DG50:DH50"/>
    <mergeCell ref="CE51:CF51"/>
    <mergeCell ref="CI51:CJ51"/>
    <mergeCell ref="DC51:DD51"/>
    <mergeCell ref="DG51:DH51"/>
    <mergeCell ref="CB52:CF52"/>
    <mergeCell ref="CH52:CM52"/>
    <mergeCell ref="CZ52:DD52"/>
    <mergeCell ref="DF52:DK52"/>
    <mergeCell ref="BY53:BZ56"/>
    <mergeCell ref="CA53:CA60"/>
    <mergeCell ref="CE53:CF53"/>
    <mergeCell ref="CG53:CH53"/>
    <mergeCell ref="CI53:CJ53"/>
    <mergeCell ref="CN53:CN60"/>
    <mergeCell ref="CI55:CJ55"/>
    <mergeCell ref="CE56:CF56"/>
    <mergeCell ref="CG56:CH56"/>
    <mergeCell ref="CI56:CJ56"/>
    <mergeCell ref="CK60:CM60"/>
    <mergeCell ref="DM53:DN56"/>
    <mergeCell ref="CE54:CF54"/>
    <mergeCell ref="CG54:CH54"/>
    <mergeCell ref="CI54:CJ54"/>
    <mergeCell ref="DC54:DD54"/>
    <mergeCell ref="DE54:DF54"/>
    <mergeCell ref="DG54:DH54"/>
    <mergeCell ref="CE55:CF55"/>
    <mergeCell ref="CG55:CH55"/>
    <mergeCell ref="CO53:CP56"/>
    <mergeCell ref="CW53:CX56"/>
    <mergeCell ref="CY53:CY60"/>
    <mergeCell ref="DC53:DD53"/>
    <mergeCell ref="DE53:DF53"/>
    <mergeCell ref="DG53:DH53"/>
    <mergeCell ref="DC55:DD55"/>
    <mergeCell ref="DE55:DF55"/>
    <mergeCell ref="DG55:DH55"/>
    <mergeCell ref="DC56:DD56"/>
    <mergeCell ref="DE56:DF56"/>
    <mergeCell ref="DG56:DH56"/>
    <mergeCell ref="CE57:CF57"/>
    <mergeCell ref="CG57:CH57"/>
    <mergeCell ref="CI57:CJ57"/>
    <mergeCell ref="DC57:DD57"/>
    <mergeCell ref="DE57:DF57"/>
    <mergeCell ref="DG57:DH57"/>
    <mergeCell ref="DL53:DL60"/>
    <mergeCell ref="DA58:DB58"/>
    <mergeCell ref="DE58:DF58"/>
    <mergeCell ref="DI58:DJ58"/>
    <mergeCell ref="DM58:DN58"/>
    <mergeCell ref="BY59:BZ59"/>
    <mergeCell ref="CC59:CD59"/>
    <mergeCell ref="CK59:CL59"/>
    <mergeCell ref="CO59:CP59"/>
    <mergeCell ref="CW59:CX59"/>
    <mergeCell ref="DA59:DB59"/>
    <mergeCell ref="BY58:BZ58"/>
    <mergeCell ref="CC58:CD58"/>
    <mergeCell ref="CG58:CH58"/>
    <mergeCell ref="CK58:CL58"/>
    <mergeCell ref="CO58:CP58"/>
    <mergeCell ref="CW58:CX58"/>
    <mergeCell ref="DI59:DJ59"/>
    <mergeCell ref="DM59:DN59"/>
    <mergeCell ref="BY60:BZ60"/>
    <mergeCell ref="CB60:CD60"/>
    <mergeCell ref="CO60:CP60"/>
    <mergeCell ref="CW60:CX60"/>
    <mergeCell ref="CZ60:DB60"/>
    <mergeCell ref="DI60:DK60"/>
    <mergeCell ref="DM60:DN60"/>
    <mergeCell ref="DM61:DN61"/>
    <mergeCell ref="DO61:DO66"/>
    <mergeCell ref="CO62:CP62"/>
    <mergeCell ref="CW62:CX62"/>
    <mergeCell ref="CY62:CZ62"/>
    <mergeCell ref="CY61:CZ61"/>
    <mergeCell ref="DA61:DB61"/>
    <mergeCell ref="DC61:DC66"/>
    <mergeCell ref="DH61:DH66"/>
    <mergeCell ref="DI61:DJ61"/>
    <mergeCell ref="DK61:DL61"/>
    <mergeCell ref="DA62:DB62"/>
    <mergeCell ref="DI62:DJ62"/>
    <mergeCell ref="DK62:DL62"/>
    <mergeCell ref="CW64:CX64"/>
    <mergeCell ref="CY64:CZ64"/>
    <mergeCell ref="DA64:DB64"/>
    <mergeCell ref="CQ61:CQ66"/>
    <mergeCell ref="DM62:DN62"/>
    <mergeCell ref="CW63:CX63"/>
    <mergeCell ref="CY63:CZ63"/>
    <mergeCell ref="DA63:DB63"/>
    <mergeCell ref="CV61:CV66"/>
    <mergeCell ref="CW61:CX61"/>
    <mergeCell ref="CW65:CX65"/>
    <mergeCell ref="BY61:BZ61"/>
    <mergeCell ref="CA61:CB61"/>
    <mergeCell ref="CC61:CD61"/>
    <mergeCell ref="CE61:CE66"/>
    <mergeCell ref="CC65:CD65"/>
    <mergeCell ref="CK65:CL65"/>
    <mergeCell ref="CM65:CN65"/>
    <mergeCell ref="DK63:DL63"/>
    <mergeCell ref="DM63:DN63"/>
    <mergeCell ref="CO65:CP65"/>
    <mergeCell ref="BY64:BZ64"/>
    <mergeCell ref="CA64:CB64"/>
    <mergeCell ref="CC64:CD64"/>
    <mergeCell ref="CK64:CL64"/>
    <mergeCell ref="CM64:CN64"/>
    <mergeCell ref="CO64:CP64"/>
    <mergeCell ref="CJ61:CJ66"/>
    <mergeCell ref="BY62:BZ62"/>
    <mergeCell ref="CA62:CB62"/>
    <mergeCell ref="CC62:CD62"/>
    <mergeCell ref="CK62:CL62"/>
    <mergeCell ref="CM62:CN62"/>
    <mergeCell ref="CK61:CL61"/>
    <mergeCell ref="CM61:CN61"/>
    <mergeCell ref="CO61:CP61"/>
    <mergeCell ref="BY63:BZ63"/>
    <mergeCell ref="CA63:CB63"/>
    <mergeCell ref="CC63:CD63"/>
    <mergeCell ref="CK63:CL63"/>
    <mergeCell ref="CM63:CN63"/>
    <mergeCell ref="CO63:CP63"/>
    <mergeCell ref="DH67:DI67"/>
    <mergeCell ref="DN67:DO67"/>
    <mergeCell ref="BX67:BY67"/>
    <mergeCell ref="CD67:CE67"/>
    <mergeCell ref="CJ67:CK67"/>
    <mergeCell ref="CP67:CQ67"/>
    <mergeCell ref="CV67:CW67"/>
    <mergeCell ref="DB67:DC67"/>
    <mergeCell ref="CY65:CZ65"/>
    <mergeCell ref="DA65:DB65"/>
    <mergeCell ref="DI65:DJ65"/>
    <mergeCell ref="DK65:DL65"/>
    <mergeCell ref="DM65:DN65"/>
    <mergeCell ref="CA66:CB66"/>
    <mergeCell ref="CM66:CN66"/>
    <mergeCell ref="CY66:CZ66"/>
    <mergeCell ref="DK66:DL66"/>
    <mergeCell ref="BX61:BX66"/>
    <mergeCell ref="DI64:DJ64"/>
    <mergeCell ref="DK64:DL64"/>
    <mergeCell ref="DM64:DN64"/>
    <mergeCell ref="DI63:DJ63"/>
    <mergeCell ref="BY65:BZ65"/>
    <mergeCell ref="CA65:CB65"/>
  </mergeCells>
  <phoneticPr fontId="2"/>
  <conditionalFormatting sqref="BX61:BX66">
    <cfRule type="expression" dxfId="301" priority="32" stopIfTrue="1">
      <formula>$BY$59&lt;=$CC$59</formula>
    </cfRule>
  </conditionalFormatting>
  <conditionalFormatting sqref="BY60:BZ60">
    <cfRule type="expression" dxfId="300" priority="29" stopIfTrue="1">
      <formula>$BY$59&lt;=$CC$59</formula>
    </cfRule>
  </conditionalFormatting>
  <conditionalFormatting sqref="CA53:CA60">
    <cfRule type="expression" dxfId="299" priority="25" stopIfTrue="1">
      <formula>$BY$59=$CC$59</formula>
    </cfRule>
    <cfRule type="expression" dxfId="298" priority="26" stopIfTrue="1">
      <formula>$BY$59&lt;$CC$59</formula>
    </cfRule>
  </conditionalFormatting>
  <conditionalFormatting sqref="CB60:CD60">
    <cfRule type="expression" dxfId="297" priority="28" stopIfTrue="1">
      <formula>$CC$59&lt;=$BY$59</formula>
    </cfRule>
  </conditionalFormatting>
  <conditionalFormatting sqref="CB52:CF52">
    <cfRule type="expression" dxfId="296" priority="19" stopIfTrue="1">
      <formula>$CE$51&lt;=$CI$51</formula>
    </cfRule>
  </conditionalFormatting>
  <conditionalFormatting sqref="CE61:CE66">
    <cfRule type="expression" dxfId="295" priority="27" stopIfTrue="1">
      <formula>$CC$59&lt;=$BY$59</formula>
    </cfRule>
  </conditionalFormatting>
  <conditionalFormatting sqref="CG49:CG52">
    <cfRule type="expression" dxfId="294" priority="16" stopIfTrue="1">
      <formula>$CE$51=$CI$51</formula>
    </cfRule>
    <cfRule type="expression" dxfId="293" priority="17" stopIfTrue="1">
      <formula>$CE$51&lt;$CI$51</formula>
    </cfRule>
  </conditionalFormatting>
  <conditionalFormatting sqref="CH52:CM52">
    <cfRule type="expression" dxfId="292" priority="18" stopIfTrue="1">
      <formula>$CI$51&lt;=$CE$51</formula>
    </cfRule>
  </conditionalFormatting>
  <conditionalFormatting sqref="CJ61:CJ66">
    <cfRule type="expression" dxfId="291" priority="31" stopIfTrue="1">
      <formula>$CK$59&lt;=$CO$59</formula>
    </cfRule>
  </conditionalFormatting>
  <conditionalFormatting sqref="CK60:CM60">
    <cfRule type="expression" dxfId="290" priority="24" stopIfTrue="1">
      <formula>$CK$59&lt;=$CO$59</formula>
    </cfRule>
  </conditionalFormatting>
  <conditionalFormatting sqref="CN53:CN60">
    <cfRule type="expression" dxfId="289" priority="20" stopIfTrue="1">
      <formula>$CO$59=$CK$59</formula>
    </cfRule>
    <cfRule type="expression" dxfId="288" priority="21" stopIfTrue="1">
      <formula>$CO$59&lt;$CK$59</formula>
    </cfRule>
  </conditionalFormatting>
  <conditionalFormatting sqref="CO60:CP60">
    <cfRule type="expression" dxfId="287" priority="23" stopIfTrue="1">
      <formula>$CO$59&lt;=$CK$59</formula>
    </cfRule>
  </conditionalFormatting>
  <conditionalFormatting sqref="CQ61:CQ66">
    <cfRule type="expression" dxfId="286" priority="22" stopIfTrue="1">
      <formula>$CO$59&lt;=$CK$59</formula>
    </cfRule>
  </conditionalFormatting>
  <conditionalFormatting sqref="CV61:CV66">
    <cfRule type="expression" dxfId="285" priority="30" stopIfTrue="1">
      <formula>$CW$59&lt;=$DA$59</formula>
    </cfRule>
  </conditionalFormatting>
  <conditionalFormatting sqref="CW60:CX60">
    <cfRule type="expression" dxfId="284" priority="14" stopIfTrue="1">
      <formula>$CW$59&lt;=$DA$59</formula>
    </cfRule>
  </conditionalFormatting>
  <conditionalFormatting sqref="CY53:CY60">
    <cfRule type="expression" dxfId="283" priority="10" stopIfTrue="1">
      <formula>$CW$59=$DA$59</formula>
    </cfRule>
    <cfRule type="expression" dxfId="282" priority="11" stopIfTrue="1">
      <formula>$CW$59&lt;$DA$59</formula>
    </cfRule>
  </conditionalFormatting>
  <conditionalFormatting sqref="CZ60:DB60">
    <cfRule type="expression" dxfId="281" priority="13" stopIfTrue="1">
      <formula>$DA$59&lt;=$CW$59</formula>
    </cfRule>
  </conditionalFormatting>
  <conditionalFormatting sqref="CZ52:DD52">
    <cfRule type="expression" dxfId="280" priority="4" stopIfTrue="1">
      <formula>$DC$51&lt;=$DG$51</formula>
    </cfRule>
  </conditionalFormatting>
  <conditionalFormatting sqref="DC61:DC66">
    <cfRule type="expression" dxfId="279" priority="12" stopIfTrue="1">
      <formula>$DA$59&lt;=$CW$59</formula>
    </cfRule>
  </conditionalFormatting>
  <conditionalFormatting sqref="DE49:DE52">
    <cfRule type="expression" dxfId="278" priority="1" stopIfTrue="1">
      <formula>$DC$51=$DG$51</formula>
    </cfRule>
    <cfRule type="expression" dxfId="277" priority="2" stopIfTrue="1">
      <formula>$DC$51&lt;$DG$51</formula>
    </cfRule>
  </conditionalFormatting>
  <conditionalFormatting sqref="DF52:DK52">
    <cfRule type="expression" dxfId="276" priority="3" stopIfTrue="1">
      <formula>$DG$51&lt;=$DC$51</formula>
    </cfRule>
  </conditionalFormatting>
  <conditionalFormatting sqref="DH61:DH66">
    <cfRule type="expression" dxfId="275" priority="15" stopIfTrue="1">
      <formula>$DI$59&lt;=$DM$59</formula>
    </cfRule>
  </conditionalFormatting>
  <conditionalFormatting sqref="DI60:DK60">
    <cfRule type="expression" dxfId="274" priority="9" stopIfTrue="1">
      <formula>$DI$59&lt;=$DM$59</formula>
    </cfRule>
  </conditionalFormatting>
  <conditionalFormatting sqref="DL53:DL60">
    <cfRule type="expression" dxfId="273" priority="5" stopIfTrue="1">
      <formula>$DM$59=$DI$59</formula>
    </cfRule>
    <cfRule type="expression" dxfId="272" priority="6" stopIfTrue="1">
      <formula>$DM$59&lt;$DI$59</formula>
    </cfRule>
  </conditionalFormatting>
  <conditionalFormatting sqref="DM60:DN60">
    <cfRule type="expression" dxfId="271" priority="8" stopIfTrue="1">
      <formula>$DM$59&lt;=$DI$59</formula>
    </cfRule>
  </conditionalFormatting>
  <conditionalFormatting sqref="DO61:DO66">
    <cfRule type="expression" dxfId="270" priority="7" stopIfTrue="1">
      <formula>$DM$59&lt;=$DI$59</formula>
    </cfRule>
  </conditionalFormatting>
  <printOptions horizontalCentered="1"/>
  <pageMargins left="0.39370078740157483" right="0.39370078740157483" top="0.59055118110236227" bottom="0.59055118110236227" header="0.31496062992125984" footer="0.31496062992125984"/>
  <pageSetup paperSize="9" scale="76"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DR67"/>
  <sheetViews>
    <sheetView showGridLines="0" topLeftCell="C7" zoomScale="70" zoomScaleNormal="70" workbookViewId="0">
      <selection activeCell="AM41" sqref="AM41:AM44"/>
    </sheetView>
  </sheetViews>
  <sheetFormatPr defaultColWidth="9" defaultRowHeight="14.25" x14ac:dyDescent="0.15"/>
  <cols>
    <col min="1" max="1" width="9" style="31" hidden="1" customWidth="1"/>
    <col min="2" max="2" width="3.375" style="62" hidden="1" customWidth="1"/>
    <col min="3" max="3" width="4" style="62" bestFit="1" customWidth="1"/>
    <col min="4" max="5" width="0.625" style="31" customWidth="1"/>
    <col min="6" max="6" width="2.5" style="64" customWidth="1"/>
    <col min="7" max="7" width="2.5" style="61" customWidth="1"/>
    <col min="8" max="8" width="2.5" style="65" customWidth="1"/>
    <col min="9" max="12" width="0.625" style="31" customWidth="1"/>
    <col min="13" max="13" width="2.5" style="64" customWidth="1"/>
    <col min="14" max="14" width="2.5" style="61" customWidth="1"/>
    <col min="15" max="15" width="2.5" style="65" customWidth="1"/>
    <col min="16" max="19" width="0.625" style="31" customWidth="1"/>
    <col min="20" max="20" width="2.5" style="64" customWidth="1"/>
    <col min="21" max="21" width="2.5" style="61" customWidth="1"/>
    <col min="22" max="22" width="2.5" style="65" customWidth="1"/>
    <col min="23" max="24" width="0.625" style="31" customWidth="1"/>
    <col min="25" max="26" width="0.625" style="62" hidden="1" customWidth="1"/>
    <col min="27" max="27" width="2.375" style="62" hidden="1" customWidth="1"/>
    <col min="28" max="28" width="2.375" style="76" hidden="1" customWidth="1"/>
    <col min="29" max="29" width="2.375" style="62" hidden="1" customWidth="1"/>
    <col min="30" max="31" width="0.625" style="62" hidden="1" customWidth="1"/>
    <col min="32" max="35" width="5" style="62" customWidth="1"/>
    <col min="36" max="36" width="6.375" style="62" hidden="1" customWidth="1"/>
    <col min="37" max="37" width="1.875" style="62" customWidth="1"/>
    <col min="38" max="38" width="4.375" style="62" hidden="1" customWidth="1"/>
    <col min="39" max="39" width="4" style="62" customWidth="1"/>
    <col min="40" max="41" width="0.625" style="31" customWidth="1"/>
    <col min="42" max="42" width="2.5" style="64" customWidth="1"/>
    <col min="43" max="43" width="2.5" style="61" customWidth="1"/>
    <col min="44" max="44" width="2.5" style="65" customWidth="1"/>
    <col min="45" max="48" width="0.625" style="31" customWidth="1"/>
    <col min="49" max="49" width="2.5" style="64" customWidth="1"/>
    <col min="50" max="50" width="2.5" style="61" customWidth="1"/>
    <col min="51" max="51" width="2.5" style="65" customWidth="1"/>
    <col min="52" max="55" width="0.625" style="31" customWidth="1"/>
    <col min="56" max="56" width="2.5" style="64" customWidth="1"/>
    <col min="57" max="57" width="2.5" style="61" customWidth="1"/>
    <col min="58" max="58" width="2.5" style="65" customWidth="1"/>
    <col min="59" max="62" width="0.625" style="31" customWidth="1"/>
    <col min="63" max="63" width="2.5" style="64" customWidth="1"/>
    <col min="64" max="65" width="1.25" style="61" customWidth="1"/>
    <col min="66" max="66" width="2.5" style="65" customWidth="1"/>
    <col min="67" max="68" width="0.625" style="31" customWidth="1"/>
    <col min="69" max="72" width="5" style="62" customWidth="1"/>
    <col min="73" max="73" width="9" style="62" hidden="1" customWidth="1"/>
    <col min="74" max="74" width="9" style="62"/>
    <col min="75" max="122" width="2.375" style="62" customWidth="1"/>
    <col min="123" max="16384" width="9" style="62"/>
  </cols>
  <sheetData>
    <row r="1" spans="1:80" ht="24.75" x14ac:dyDescent="0.15">
      <c r="C1" s="953" t="str">
        <f ca="1">"令和"&amp;IF(YEAR(NOW())=2019,"元",YEAR(NOW())-2018)&amp;"年度 第"&amp;YEAR(NOW())-1999&amp;"回 加賀地区中学校サッカー大会 《 南加賀ブロック 》"</f>
        <v>令和6年度 第25回 加賀地区中学校サッカー大会 《 南加賀ブロック 》</v>
      </c>
      <c r="D1" s="953"/>
      <c r="E1" s="953"/>
      <c r="F1" s="953"/>
      <c r="G1" s="953"/>
      <c r="H1" s="953"/>
      <c r="I1" s="953"/>
      <c r="J1" s="953"/>
      <c r="K1" s="953"/>
      <c r="L1" s="953"/>
      <c r="M1" s="953"/>
      <c r="N1" s="953"/>
      <c r="O1" s="953"/>
      <c r="P1" s="953"/>
      <c r="Q1" s="953"/>
      <c r="R1" s="953"/>
      <c r="S1" s="953"/>
      <c r="T1" s="953"/>
      <c r="U1" s="953"/>
      <c r="V1" s="953"/>
      <c r="W1" s="953"/>
      <c r="X1" s="953"/>
      <c r="Y1" s="953"/>
      <c r="Z1" s="953"/>
      <c r="AA1" s="953"/>
      <c r="AB1" s="953"/>
      <c r="AC1" s="953"/>
      <c r="AD1" s="953"/>
      <c r="AE1" s="953"/>
      <c r="AF1" s="953"/>
      <c r="AG1" s="953"/>
      <c r="AH1" s="953"/>
      <c r="AI1" s="953"/>
      <c r="AJ1" s="953"/>
      <c r="AK1" s="953"/>
      <c r="AL1" s="953"/>
      <c r="AM1" s="953"/>
      <c r="AN1" s="953"/>
      <c r="AO1" s="953"/>
      <c r="AP1" s="953"/>
      <c r="AQ1" s="953"/>
      <c r="AR1" s="953"/>
      <c r="AS1" s="953"/>
      <c r="AT1" s="953"/>
      <c r="AU1" s="953"/>
      <c r="AV1" s="953"/>
      <c r="AW1" s="953"/>
      <c r="AX1" s="953"/>
      <c r="AY1" s="953"/>
      <c r="AZ1" s="953"/>
      <c r="BA1" s="953"/>
      <c r="BB1" s="953"/>
      <c r="BC1" s="953"/>
      <c r="BD1" s="953"/>
      <c r="BE1" s="953"/>
      <c r="BF1" s="953"/>
      <c r="BG1" s="953"/>
      <c r="BH1" s="953"/>
      <c r="BI1" s="953"/>
      <c r="BJ1" s="953"/>
      <c r="BK1" s="953"/>
      <c r="BL1" s="953"/>
      <c r="BM1" s="953"/>
      <c r="BN1" s="953"/>
      <c r="BO1" s="953"/>
      <c r="BP1" s="953"/>
      <c r="BQ1" s="953"/>
      <c r="BR1" s="953"/>
      <c r="BS1" s="953"/>
      <c r="BT1" s="953"/>
      <c r="BW1" s="31" t="s">
        <v>149</v>
      </c>
      <c r="BX1" s="62">
        <v>15</v>
      </c>
      <c r="BY1" s="62" t="s">
        <v>150</v>
      </c>
      <c r="BZ1" s="62" t="str">
        <f t="shared" ref="BZ1:BZ10" si="0">CHAR(10)</f>
        <v xml:space="preserve">
</v>
      </c>
      <c r="CA1" s="96" t="s">
        <v>104</v>
      </c>
      <c r="CB1" s="62" t="str">
        <f>BX1&amp;BY1&amp;BZ1&amp;CA1</f>
        <v>15日
9:00</v>
      </c>
    </row>
    <row r="2" spans="1:80" x14ac:dyDescent="0.15">
      <c r="A2" s="31" t="str">
        <f>IF(CE51=CI51,"",IF(CE51&gt;CI51,BY53,CO53))</f>
        <v/>
      </c>
      <c r="BW2" s="31" t="s">
        <v>151</v>
      </c>
      <c r="BX2" s="62">
        <f>BX1</f>
        <v>15</v>
      </c>
      <c r="BY2" s="62" t="s">
        <v>150</v>
      </c>
      <c r="BZ2" s="62" t="str">
        <f t="shared" si="0"/>
        <v xml:space="preserve">
</v>
      </c>
      <c r="CA2" s="96" t="s">
        <v>152</v>
      </c>
      <c r="CB2" s="62" t="str">
        <f t="shared" ref="CB2:CB10" si="1">BX2&amp;BY2&amp;BZ2&amp;CA2</f>
        <v>15日
10:15</v>
      </c>
    </row>
    <row r="3" spans="1:80" ht="25.5" customHeight="1" x14ac:dyDescent="0.15">
      <c r="A3" s="31" t="str">
        <f>IF(CE51=CI51,"",IF(CE51&lt;CI51,BY53,CO53))</f>
        <v/>
      </c>
      <c r="F3" s="634" t="s">
        <v>77</v>
      </c>
      <c r="G3" s="634"/>
      <c r="H3" s="634"/>
      <c r="I3" s="954" t="str">
        <f>IF(A2="","",IF(VLOOKUP(A2,予選学校名!$I$3:$L$32,3,FALSE)="",IF(VLOOKUP(A2,予選学校名!$I$3:$L$32,4,FALSE)="","",VLOOKUP(A2,予選学校名!$I$3:$L$32,4,FALSE)),VLOOKUP(A2,予選学校名!$I$3:$L$32,3,FALSE)&amp;"立")&amp;A2&amp;"中学校")</f>
        <v/>
      </c>
      <c r="J3" s="955"/>
      <c r="K3" s="955"/>
      <c r="L3" s="955"/>
      <c r="M3" s="955"/>
      <c r="N3" s="955"/>
      <c r="O3" s="955"/>
      <c r="P3" s="955"/>
      <c r="Q3" s="955"/>
      <c r="R3" s="955"/>
      <c r="S3" s="955"/>
      <c r="T3" s="955"/>
      <c r="U3" s="955"/>
      <c r="V3" s="955"/>
      <c r="W3" s="955"/>
      <c r="X3" s="955"/>
      <c r="Y3" s="955"/>
      <c r="Z3" s="955"/>
      <c r="AA3" s="955"/>
      <c r="AB3" s="955"/>
      <c r="AC3" s="955"/>
      <c r="AD3" s="955"/>
      <c r="AE3" s="955"/>
      <c r="AF3" s="955"/>
      <c r="AG3" s="955"/>
      <c r="AH3" s="956" t="str">
        <f>IF(A2="","","("&amp;VLOOKUP(A2,予選学校名!$I$3:$L$32,2,FALSE)&amp;")")</f>
        <v/>
      </c>
      <c r="AI3" s="956"/>
      <c r="AK3" s="615" t="s">
        <v>109</v>
      </c>
      <c r="AL3" s="615"/>
      <c r="AM3" s="615"/>
      <c r="AN3" s="62"/>
      <c r="AO3" s="62"/>
      <c r="AP3" s="954" t="str">
        <f>IF(A6="","",IF(VLOOKUP(A6,予選学校名!$I$3:$L$32,3,FALSE)="",IF(VLOOKUP(A6,予選学校名!$I$3:$L$32,4,FALSE)="","",VLOOKUP(A6,予選学校名!$I$3:$L$32,4,FALSE)),VLOOKUP(A6,予選学校名!$I$3:$L$32,3,FALSE)&amp;"立")&amp;A6&amp;"中学校")</f>
        <v/>
      </c>
      <c r="AQ3" s="954"/>
      <c r="AR3" s="954"/>
      <c r="AS3" s="954"/>
      <c r="AT3" s="954"/>
      <c r="AU3" s="954"/>
      <c r="AV3" s="954"/>
      <c r="AW3" s="954"/>
      <c r="AX3" s="954"/>
      <c r="AY3" s="954"/>
      <c r="AZ3" s="954"/>
      <c r="BA3" s="954"/>
      <c r="BB3" s="954"/>
      <c r="BC3" s="954"/>
      <c r="BD3" s="954"/>
      <c r="BE3" s="954"/>
      <c r="BF3" s="954"/>
      <c r="BG3" s="954"/>
      <c r="BH3" s="954"/>
      <c r="BI3" s="954"/>
      <c r="BJ3" s="954"/>
      <c r="BK3" s="957" t="str">
        <f>IF(A6="","",IF(VLOOKUP(A6,予選学校名!$I$3:$L$32,3,FALSE)="",IF(VLOOKUP(A6,予選学校名!$I$3:$L$32,4,FALSE)="","",VLOOKUP(A6,予選学校名!$I$3:$L$32,4,FALSE)),"("&amp;VLOOKUP(A6,予選学校名!$I$3:$L$32,2,FALSE)&amp;")"))</f>
        <v/>
      </c>
      <c r="BL3" s="957"/>
      <c r="BM3" s="957"/>
      <c r="BN3" s="957"/>
      <c r="BO3" s="957"/>
      <c r="BP3" s="957"/>
      <c r="BW3" s="31" t="s">
        <v>153</v>
      </c>
      <c r="BX3" s="62">
        <f t="shared" ref="BX3:BX10" si="2">BX2</f>
        <v>15</v>
      </c>
      <c r="BY3" s="62" t="s">
        <v>150</v>
      </c>
      <c r="BZ3" s="62" t="str">
        <f t="shared" si="0"/>
        <v xml:space="preserve">
</v>
      </c>
      <c r="CA3" s="96" t="s">
        <v>154</v>
      </c>
      <c r="CB3" s="62" t="str">
        <f t="shared" si="1"/>
        <v>15日
11:30</v>
      </c>
    </row>
    <row r="4" spans="1:80" ht="25.5" customHeight="1" x14ac:dyDescent="0.15">
      <c r="A4" s="31" t="str">
        <f>IF(CE51=CI51,"",IF(BY53=A2,A55,A56))</f>
        <v/>
      </c>
      <c r="F4" s="634" t="s">
        <v>79</v>
      </c>
      <c r="G4" s="634"/>
      <c r="H4" s="634"/>
      <c r="I4" s="950" t="str">
        <f>IF(A3="","",IF(VLOOKUP(A3,予選学校名!$I$3:$L$32,3,FALSE)="",IF(VLOOKUP(A3,予選学校名!$I$3:$L$32,4,FALSE)="","",VLOOKUP(A3,予選学校名!$I$3:$L$32,4,FALSE)),VLOOKUP(A3,予選学校名!$I$3:$L$32,3,FALSE)&amp;"立")&amp;A3&amp;"中学校")</f>
        <v/>
      </c>
      <c r="J4" s="951"/>
      <c r="K4" s="951"/>
      <c r="L4" s="951"/>
      <c r="M4" s="951"/>
      <c r="N4" s="951"/>
      <c r="O4" s="951"/>
      <c r="P4" s="951"/>
      <c r="Q4" s="951"/>
      <c r="R4" s="951"/>
      <c r="S4" s="951"/>
      <c r="T4" s="951"/>
      <c r="U4" s="951"/>
      <c r="V4" s="951"/>
      <c r="W4" s="951"/>
      <c r="X4" s="951"/>
      <c r="Y4" s="951"/>
      <c r="Z4" s="951"/>
      <c r="AA4" s="951"/>
      <c r="AB4" s="951"/>
      <c r="AC4" s="951"/>
      <c r="AD4" s="951"/>
      <c r="AE4" s="951"/>
      <c r="AF4" s="951"/>
      <c r="AG4" s="951"/>
      <c r="AH4" s="952" t="str">
        <f>IF(A3="","",IF(VLOOKUP(A3,予選学校名!$I$3:$L$32,3,FALSE)="",IF(VLOOKUP(A3,予選学校名!$I$3:$L$32,4,FALSE)="","",VLOOKUP(A3,予選学校名!$I$3:$L$32,4,FALSE)),"("&amp;VLOOKUP(A3,予選学校名!$I$3:$L$32,2,FALSE)&amp;")"))</f>
        <v/>
      </c>
      <c r="AI4" s="952"/>
      <c r="BW4" s="31" t="s">
        <v>155</v>
      </c>
      <c r="BX4" s="62">
        <f t="shared" si="2"/>
        <v>15</v>
      </c>
      <c r="BY4" s="62" t="s">
        <v>150</v>
      </c>
      <c r="BZ4" s="62" t="str">
        <f t="shared" si="0"/>
        <v xml:space="preserve">
</v>
      </c>
      <c r="CA4" s="96" t="s">
        <v>156</v>
      </c>
      <c r="CB4" s="62" t="str">
        <f t="shared" si="1"/>
        <v>15日
12:45</v>
      </c>
    </row>
    <row r="5" spans="1:80" ht="25.5" customHeight="1" x14ac:dyDescent="0.15">
      <c r="A5" s="31" t="str">
        <f>IF(CE51=CI51,"",IF(BY53=A2,A56,A55))</f>
        <v/>
      </c>
      <c r="F5" s="634" t="s">
        <v>80</v>
      </c>
      <c r="G5" s="634"/>
      <c r="H5" s="634"/>
      <c r="I5" s="950" t="str">
        <f>IF(A4="","",IF(VLOOKUP(A4,予選学校名!$I$3:$L$32,3,FALSE)="",IF(VLOOKUP(A4,予選学校名!$I$3:$L$32,4,FALSE)="","",VLOOKUP(A4,予選学校名!$I$3:$L$32,4,FALSE)),VLOOKUP(A4,予選学校名!$I$3:$L$32,3,FALSE)&amp;"立")&amp;A4&amp;"中学校")</f>
        <v/>
      </c>
      <c r="J5" s="951"/>
      <c r="K5" s="951"/>
      <c r="L5" s="951"/>
      <c r="M5" s="951"/>
      <c r="N5" s="951"/>
      <c r="O5" s="951"/>
      <c r="P5" s="951"/>
      <c r="Q5" s="951"/>
      <c r="R5" s="951"/>
      <c r="S5" s="951"/>
      <c r="T5" s="951"/>
      <c r="U5" s="951"/>
      <c r="V5" s="951"/>
      <c r="W5" s="951"/>
      <c r="X5" s="951"/>
      <c r="Y5" s="951"/>
      <c r="Z5" s="951"/>
      <c r="AA5" s="951"/>
      <c r="AB5" s="951"/>
      <c r="AC5" s="951"/>
      <c r="AD5" s="951"/>
      <c r="AE5" s="951"/>
      <c r="AF5" s="951"/>
      <c r="AG5" s="951"/>
      <c r="AH5" s="952" t="str">
        <f>IF(A4="","",IF(VLOOKUP(A4,予選学校名!$I$3:$L$32,3,FALSE)="",IF(VLOOKUP(A4,予選学校名!$I$3:$L$32,4,FALSE)="","",VLOOKUP(A4,予選学校名!$I$3:$L$32,4,FALSE)),"("&amp;VLOOKUP(A4,予選学校名!$I$3:$L$32,2,FALSE)&amp;")"))</f>
        <v/>
      </c>
      <c r="AI5" s="952"/>
      <c r="BW5" s="31" t="s">
        <v>157</v>
      </c>
      <c r="BX5" s="62">
        <f t="shared" si="2"/>
        <v>15</v>
      </c>
      <c r="BY5" s="62" t="s">
        <v>150</v>
      </c>
      <c r="BZ5" s="62" t="str">
        <f t="shared" si="0"/>
        <v xml:space="preserve">
</v>
      </c>
      <c r="CA5" s="96" t="s">
        <v>158</v>
      </c>
      <c r="CB5" s="62" t="str">
        <f t="shared" si="1"/>
        <v>15日
14:00</v>
      </c>
    </row>
    <row r="6" spans="1:80" ht="25.5" customHeight="1" x14ac:dyDescent="0.15">
      <c r="A6" s="31" t="str">
        <f>IF(DC51=DG51,"",IF(DC51&gt;DG51,CW53,DM53))</f>
        <v/>
      </c>
      <c r="I6" s="950" t="str">
        <f>IF(A5="","",IF(VLOOKUP(A5,予選学校名!$I$3:$L$32,3,FALSE)="",IF(VLOOKUP(A5,予選学校名!$I$3:$L$32,4,FALSE)="","",VLOOKUP(A5,予選学校名!$I$3:$L$32,4,FALSE)),VLOOKUP(A5,予選学校名!$I$3:$L$32,3,FALSE)&amp;"立")&amp;A5&amp;"中学校")</f>
        <v/>
      </c>
      <c r="J6" s="951"/>
      <c r="K6" s="951"/>
      <c r="L6" s="951"/>
      <c r="M6" s="951"/>
      <c r="N6" s="951"/>
      <c r="O6" s="951"/>
      <c r="P6" s="951"/>
      <c r="Q6" s="951"/>
      <c r="R6" s="951"/>
      <c r="S6" s="951"/>
      <c r="T6" s="951"/>
      <c r="U6" s="951"/>
      <c r="V6" s="951"/>
      <c r="W6" s="951"/>
      <c r="X6" s="951"/>
      <c r="Y6" s="951"/>
      <c r="Z6" s="951"/>
      <c r="AA6" s="951"/>
      <c r="AB6" s="951"/>
      <c r="AC6" s="951"/>
      <c r="AD6" s="951"/>
      <c r="AE6" s="951"/>
      <c r="AF6" s="951"/>
      <c r="AG6" s="951"/>
      <c r="AH6" s="952" t="str">
        <f>IF(A5="","",IF(VLOOKUP(A5,予選学校名!$I$3:$L$32,3,FALSE)="",IF(VLOOKUP(A5,予選学校名!$I$3:$L$32,4,FALSE)="","",VLOOKUP(A5,予選学校名!$I$3:$L$32,4,FALSE)),"("&amp;VLOOKUP(A5,予選学校名!$I$3:$L$32,2,FALSE)&amp;")"))</f>
        <v/>
      </c>
      <c r="AI6" s="952"/>
      <c r="BW6" s="31" t="s">
        <v>159</v>
      </c>
      <c r="BX6" s="62">
        <f>BX5</f>
        <v>15</v>
      </c>
      <c r="BY6" s="62" t="s">
        <v>150</v>
      </c>
      <c r="BZ6" s="62" t="str">
        <f t="shared" si="0"/>
        <v xml:space="preserve">
</v>
      </c>
      <c r="CA6" s="96" t="s">
        <v>160</v>
      </c>
      <c r="CB6" s="62" t="str">
        <f t="shared" si="1"/>
        <v>15日
15:15</v>
      </c>
    </row>
    <row r="7" spans="1:80" x14ac:dyDescent="0.15">
      <c r="BW7" s="31" t="s">
        <v>161</v>
      </c>
      <c r="BX7" s="62">
        <f>BX6+1</f>
        <v>16</v>
      </c>
      <c r="BY7" s="62" t="s">
        <v>150</v>
      </c>
      <c r="BZ7" s="62" t="str">
        <f t="shared" si="0"/>
        <v xml:space="preserve">
</v>
      </c>
      <c r="CA7" s="96" t="s">
        <v>104</v>
      </c>
      <c r="CB7" s="62" t="str">
        <f t="shared" si="1"/>
        <v>16日
9:00</v>
      </c>
    </row>
    <row r="8" spans="1:80" s="68" customFormat="1" ht="18" x14ac:dyDescent="0.15">
      <c r="A8" s="67"/>
      <c r="C8" s="942" t="s">
        <v>81</v>
      </c>
      <c r="D8" s="942"/>
      <c r="E8" s="942"/>
      <c r="F8" s="942"/>
      <c r="G8" s="942"/>
      <c r="H8" s="942"/>
      <c r="I8" s="942"/>
      <c r="J8" s="942"/>
      <c r="K8" s="67"/>
      <c r="L8" s="67"/>
      <c r="M8" s="69"/>
      <c r="N8" s="70"/>
      <c r="O8" s="71"/>
      <c r="P8" s="67"/>
      <c r="Q8" s="67"/>
      <c r="R8" s="67"/>
      <c r="S8" s="67"/>
      <c r="T8" s="69"/>
      <c r="U8" s="70"/>
      <c r="V8" s="71"/>
      <c r="W8" s="67"/>
      <c r="X8" s="67"/>
      <c r="AB8" s="93"/>
      <c r="AM8" s="942" t="s">
        <v>142</v>
      </c>
      <c r="AN8" s="942"/>
      <c r="AO8" s="942"/>
      <c r="AP8" s="942"/>
      <c r="AQ8" s="942"/>
      <c r="AR8" s="942"/>
      <c r="AS8" s="942"/>
      <c r="AT8" s="942"/>
      <c r="AU8" s="67"/>
      <c r="AV8" s="67"/>
      <c r="AW8" s="69"/>
      <c r="AX8" s="70"/>
      <c r="AY8" s="71"/>
      <c r="AZ8" s="67"/>
      <c r="BA8" s="67"/>
      <c r="BB8" s="67"/>
      <c r="BC8" s="67"/>
      <c r="BD8" s="69"/>
      <c r="BE8" s="70"/>
      <c r="BF8" s="71"/>
      <c r="BG8" s="67"/>
      <c r="BH8" s="67"/>
      <c r="BI8" s="67"/>
      <c r="BJ8" s="67"/>
      <c r="BK8" s="69"/>
      <c r="BL8" s="70"/>
      <c r="BM8" s="70"/>
      <c r="BN8" s="71"/>
      <c r="BO8" s="67"/>
      <c r="BP8" s="67"/>
      <c r="BW8" s="31" t="s">
        <v>162</v>
      </c>
      <c r="BX8" s="62">
        <f t="shared" si="2"/>
        <v>16</v>
      </c>
      <c r="BY8" s="62" t="s">
        <v>150</v>
      </c>
      <c r="BZ8" s="62" t="str">
        <f t="shared" si="0"/>
        <v xml:space="preserve">
</v>
      </c>
      <c r="CA8" s="96" t="s">
        <v>152</v>
      </c>
      <c r="CB8" s="62" t="str">
        <f t="shared" si="1"/>
        <v>16日
10:15</v>
      </c>
    </row>
    <row r="9" spans="1:80" ht="28.5" x14ac:dyDescent="0.15">
      <c r="C9" s="72"/>
      <c r="D9" s="941" t="str">
        <f>C10</f>
        <v>松任</v>
      </c>
      <c r="E9" s="941"/>
      <c r="F9" s="941"/>
      <c r="G9" s="941"/>
      <c r="H9" s="941"/>
      <c r="I9" s="941"/>
      <c r="J9" s="941"/>
      <c r="K9" s="941" t="str">
        <f>C14</f>
        <v>美川</v>
      </c>
      <c r="L9" s="941"/>
      <c r="M9" s="941"/>
      <c r="N9" s="941"/>
      <c r="O9" s="941"/>
      <c r="P9" s="941"/>
      <c r="Q9" s="941"/>
      <c r="R9" s="941" t="str">
        <f>C18</f>
        <v>根上</v>
      </c>
      <c r="S9" s="941"/>
      <c r="T9" s="941"/>
      <c r="U9" s="941"/>
      <c r="V9" s="941"/>
      <c r="W9" s="941"/>
      <c r="X9" s="941"/>
      <c r="Y9" s="608">
        <f>J18</f>
        <v>0</v>
      </c>
      <c r="Z9" s="608"/>
      <c r="AA9" s="608"/>
      <c r="AB9" s="608"/>
      <c r="AC9" s="608"/>
      <c r="AD9" s="608"/>
      <c r="AE9" s="608"/>
      <c r="AF9" s="73" t="s">
        <v>88</v>
      </c>
      <c r="AG9" s="74" t="s">
        <v>143</v>
      </c>
      <c r="AH9" s="73" t="s">
        <v>90</v>
      </c>
      <c r="AI9" s="73" t="s">
        <v>91</v>
      </c>
      <c r="AJ9" s="76"/>
      <c r="AK9" s="76"/>
      <c r="AM9" s="72"/>
      <c r="AN9" s="941" t="str">
        <f>AM10</f>
        <v>北辰</v>
      </c>
      <c r="AO9" s="941"/>
      <c r="AP9" s="941"/>
      <c r="AQ9" s="941"/>
      <c r="AR9" s="941"/>
      <c r="AS9" s="941"/>
      <c r="AT9" s="941"/>
      <c r="AU9" s="941" t="str">
        <f>AM14</f>
        <v>北星</v>
      </c>
      <c r="AV9" s="941"/>
      <c r="AW9" s="941"/>
      <c r="AX9" s="941"/>
      <c r="AY9" s="941"/>
      <c r="AZ9" s="941"/>
      <c r="BA9" s="941"/>
      <c r="BB9" s="941" t="str">
        <f>AM18</f>
        <v>松陽</v>
      </c>
      <c r="BC9" s="941"/>
      <c r="BD9" s="941"/>
      <c r="BE9" s="941"/>
      <c r="BF9" s="941"/>
      <c r="BG9" s="941"/>
      <c r="BH9" s="941"/>
      <c r="BI9" s="946" t="s">
        <v>88</v>
      </c>
      <c r="BJ9" s="947"/>
      <c r="BK9" s="947"/>
      <c r="BL9" s="948"/>
      <c r="BM9" s="949" t="s">
        <v>144</v>
      </c>
      <c r="BN9" s="947"/>
      <c r="BO9" s="947"/>
      <c r="BP9" s="948"/>
      <c r="BQ9" s="73" t="s">
        <v>90</v>
      </c>
      <c r="BR9" s="73" t="s">
        <v>91</v>
      </c>
      <c r="BS9" s="191"/>
      <c r="BW9" s="31" t="s">
        <v>163</v>
      </c>
      <c r="BX9" s="62">
        <f t="shared" si="2"/>
        <v>16</v>
      </c>
      <c r="BY9" s="62" t="s">
        <v>150</v>
      </c>
      <c r="BZ9" s="62" t="str">
        <f t="shared" si="0"/>
        <v xml:space="preserve">
</v>
      </c>
      <c r="CA9" s="96" t="s">
        <v>154</v>
      </c>
      <c r="CB9" s="62" t="str">
        <f t="shared" si="1"/>
        <v>16日
11:30</v>
      </c>
    </row>
    <row r="10" spans="1:80" x14ac:dyDescent="0.15">
      <c r="B10" s="62">
        <v>1</v>
      </c>
      <c r="C10" s="938" t="str">
        <f>IF(ISERROR(MATCH('南(13時刻)'!B10,予選学校名!$H$3:$H$16,0)),"",INDEX(予選学校名!$H$3:$K$16,MATCH('南(13時刻)'!B10,予選学校名!$H$3:$H$16,0),2))</f>
        <v>松任</v>
      </c>
      <c r="D10" s="636"/>
      <c r="E10" s="637"/>
      <c r="F10" s="637"/>
      <c r="G10" s="638"/>
      <c r="H10" s="638"/>
      <c r="I10" s="638"/>
      <c r="J10" s="639"/>
      <c r="K10" s="670" t="str">
        <f>VLOOKUP(D14,$BW$1:$CB$10,6)</f>
        <v>16日
12:45</v>
      </c>
      <c r="L10" s="671"/>
      <c r="M10" s="671"/>
      <c r="N10" s="671"/>
      <c r="O10" s="671"/>
      <c r="P10" s="671"/>
      <c r="Q10" s="672"/>
      <c r="R10" s="670" t="str">
        <f>VLOOKUP(D18,$BW$1:$CB$10,6)</f>
        <v>15日
10:15</v>
      </c>
      <c r="S10" s="671"/>
      <c r="T10" s="671"/>
      <c r="U10" s="671"/>
      <c r="V10" s="671"/>
      <c r="W10" s="671"/>
      <c r="X10" s="672"/>
      <c r="Y10" s="940"/>
      <c r="Z10" s="937"/>
      <c r="AA10" s="937"/>
      <c r="AB10" s="192"/>
      <c r="AC10" s="937"/>
      <c r="AD10" s="937"/>
      <c r="AE10" s="939"/>
      <c r="AF10" s="608" t="str">
        <f>IF(COUNT(D11:AE11)=0,"",COUNTIF(D10:AE10,"○")*3+COUNTIF(D10:AE10,"△"))</f>
        <v/>
      </c>
      <c r="AG10" s="608" t="str">
        <f>IF(AF10="","",SUM(H10:H21)/2-SUM(F10:F21))</f>
        <v/>
      </c>
      <c r="AH10" s="608" t="str">
        <f>IF(AF10="","",SUM(H10:H21)/2)</f>
        <v/>
      </c>
      <c r="AI10" s="608" t="str">
        <f>IF(OR(AF10="",MOD(COUNT(D10:AE10),2)=1),"",RANK(AJ10,$AJ$10:$AJ$25))</f>
        <v/>
      </c>
      <c r="AJ10" s="76" t="str">
        <f>IF(OR(AF10="",MOD(COUNT(D10:AE10),2)=1),"",AF10*10000+AG10*100+AH10)</f>
        <v/>
      </c>
      <c r="AK10" s="76"/>
      <c r="AL10" s="62">
        <v>7</v>
      </c>
      <c r="AM10" s="938" t="str">
        <f>IF(ISERROR(MATCH('南(13時刻)'!AL10,予選学校名!$H$3:$H$16,0)),"",INDEX(予選学校名!$H$3:$K$16,MATCH('南(13時刻)'!AL10,予選学校名!$H$3:$H$16,0),2))</f>
        <v>北辰</v>
      </c>
      <c r="AN10" s="636"/>
      <c r="AO10" s="637"/>
      <c r="AP10" s="637"/>
      <c r="AQ10" s="638"/>
      <c r="AR10" s="638"/>
      <c r="AS10" s="638"/>
      <c r="AT10" s="639"/>
      <c r="AU10" s="670" t="str">
        <f>VLOOKUP(AN14,$BW$1:$CB$10,6)</f>
        <v>16日
10:15</v>
      </c>
      <c r="AV10" s="671"/>
      <c r="AW10" s="671"/>
      <c r="AX10" s="671"/>
      <c r="AY10" s="671"/>
      <c r="AZ10" s="671"/>
      <c r="BA10" s="672"/>
      <c r="BB10" s="670" t="str">
        <f>VLOOKUP(AN18,$BW$1:$CB$10,6)</f>
        <v>15日
12:45</v>
      </c>
      <c r="BC10" s="671"/>
      <c r="BD10" s="671"/>
      <c r="BE10" s="671"/>
      <c r="BF10" s="671"/>
      <c r="BG10" s="671"/>
      <c r="BH10" s="672"/>
      <c r="BI10" s="610" t="str">
        <f>IF(COUNT(AN11:BH11)=0,"",COUNTIF(AN10:BH10,"○")*3+COUNTIF(AN10:BH10,"△"))</f>
        <v/>
      </c>
      <c r="BJ10" s="611"/>
      <c r="BK10" s="611"/>
      <c r="BL10" s="612"/>
      <c r="BM10" s="611" t="str">
        <f>IF(BI10="","",SUM(AR10:AR21)/2-SUM(AP10:AP21))</f>
        <v/>
      </c>
      <c r="BN10" s="611"/>
      <c r="BO10" s="611"/>
      <c r="BP10" s="612"/>
      <c r="BQ10" s="608" t="str">
        <f>IF(BI10="","",SUM(AR10:AR21)/2)</f>
        <v/>
      </c>
      <c r="BR10" s="608" t="str">
        <f>IF(OR(BI10="",MOD(COUNT(AN10:BH10),2)=1),"",RANK(BU10,$BU$10:$BU$25))</f>
        <v/>
      </c>
      <c r="BS10" s="773"/>
      <c r="BT10" s="115" t="str">
        <f>IF(OR(BI10="",MOD(COUNT(AN10:BH10),2)=1),"",BI10*10000+BQ10*100+BR10)</f>
        <v/>
      </c>
      <c r="BU10" s="76" t="str">
        <f>IF(OR(BI10="",MOD(COUNT(AN10:BH10),2)=1),"",BI10*10000+BM10*100+BQ10)</f>
        <v/>
      </c>
      <c r="BW10" s="62" t="s">
        <v>164</v>
      </c>
      <c r="BX10" s="62">
        <f t="shared" si="2"/>
        <v>16</v>
      </c>
      <c r="BY10" s="62" t="s">
        <v>150</v>
      </c>
      <c r="BZ10" s="62" t="str">
        <f t="shared" si="0"/>
        <v xml:space="preserve">
</v>
      </c>
      <c r="CA10" s="62" t="s">
        <v>156</v>
      </c>
      <c r="CB10" s="62" t="str">
        <f t="shared" si="1"/>
        <v>16日
12:45</v>
      </c>
    </row>
    <row r="11" spans="1:80" x14ac:dyDescent="0.15">
      <c r="C11" s="938"/>
      <c r="D11" s="640"/>
      <c r="E11" s="641"/>
      <c r="F11" s="641"/>
      <c r="G11" s="641"/>
      <c r="H11" s="641"/>
      <c r="I11" s="641"/>
      <c r="J11" s="642"/>
      <c r="K11" s="673"/>
      <c r="L11" s="674"/>
      <c r="M11" s="674"/>
      <c r="N11" s="674"/>
      <c r="O11" s="674"/>
      <c r="P11" s="674"/>
      <c r="Q11" s="675"/>
      <c r="R11" s="673"/>
      <c r="S11" s="674"/>
      <c r="T11" s="674"/>
      <c r="U11" s="674"/>
      <c r="V11" s="674"/>
      <c r="W11" s="674"/>
      <c r="X11" s="675"/>
      <c r="Y11" s="193"/>
      <c r="AB11" s="76" t="s">
        <v>92</v>
      </c>
      <c r="AE11" s="194"/>
      <c r="AF11" s="608"/>
      <c r="AG11" s="608"/>
      <c r="AH11" s="608"/>
      <c r="AI11" s="608"/>
      <c r="AJ11" s="76"/>
      <c r="AK11" s="76"/>
      <c r="AM11" s="938"/>
      <c r="AN11" s="640"/>
      <c r="AO11" s="641"/>
      <c r="AP11" s="641"/>
      <c r="AQ11" s="641"/>
      <c r="AR11" s="641"/>
      <c r="AS11" s="641"/>
      <c r="AT11" s="642"/>
      <c r="AU11" s="673"/>
      <c r="AV11" s="674"/>
      <c r="AW11" s="674"/>
      <c r="AX11" s="674"/>
      <c r="AY11" s="674"/>
      <c r="AZ11" s="674"/>
      <c r="BA11" s="675"/>
      <c r="BB11" s="673"/>
      <c r="BC11" s="674"/>
      <c r="BD11" s="674"/>
      <c r="BE11" s="674"/>
      <c r="BF11" s="674"/>
      <c r="BG11" s="674"/>
      <c r="BH11" s="675"/>
      <c r="BI11" s="752"/>
      <c r="BJ11" s="634"/>
      <c r="BK11" s="634"/>
      <c r="BL11" s="750"/>
      <c r="BM11" s="634"/>
      <c r="BN11" s="634"/>
      <c r="BO11" s="634"/>
      <c r="BP11" s="750"/>
      <c r="BQ11" s="608"/>
      <c r="BR11" s="608"/>
      <c r="BS11" s="773"/>
      <c r="BT11" s="115"/>
      <c r="BU11" s="76"/>
    </row>
    <row r="12" spans="1:80" x14ac:dyDescent="0.15">
      <c r="C12" s="938"/>
      <c r="D12" s="640"/>
      <c r="E12" s="641"/>
      <c r="F12" s="641"/>
      <c r="G12" s="641"/>
      <c r="H12" s="641"/>
      <c r="I12" s="641"/>
      <c r="J12" s="642"/>
      <c r="K12" s="673"/>
      <c r="L12" s="674"/>
      <c r="M12" s="674"/>
      <c r="N12" s="674"/>
      <c r="O12" s="674"/>
      <c r="P12" s="674"/>
      <c r="Q12" s="675"/>
      <c r="R12" s="673"/>
      <c r="S12" s="674"/>
      <c r="T12" s="674"/>
      <c r="U12" s="674"/>
      <c r="V12" s="674"/>
      <c r="W12" s="674"/>
      <c r="X12" s="675"/>
      <c r="Y12" s="193"/>
      <c r="AB12" s="76" t="s">
        <v>92</v>
      </c>
      <c r="AE12" s="194"/>
      <c r="AF12" s="608"/>
      <c r="AG12" s="608"/>
      <c r="AH12" s="608"/>
      <c r="AI12" s="608"/>
      <c r="AJ12" s="76"/>
      <c r="AK12" s="76"/>
      <c r="AM12" s="938"/>
      <c r="AN12" s="640"/>
      <c r="AO12" s="641"/>
      <c r="AP12" s="641"/>
      <c r="AQ12" s="641"/>
      <c r="AR12" s="641"/>
      <c r="AS12" s="641"/>
      <c r="AT12" s="642"/>
      <c r="AU12" s="673"/>
      <c r="AV12" s="674"/>
      <c r="AW12" s="674"/>
      <c r="AX12" s="674"/>
      <c r="AY12" s="674"/>
      <c r="AZ12" s="674"/>
      <c r="BA12" s="675"/>
      <c r="BB12" s="673"/>
      <c r="BC12" s="674"/>
      <c r="BD12" s="674"/>
      <c r="BE12" s="674"/>
      <c r="BF12" s="674"/>
      <c r="BG12" s="674"/>
      <c r="BH12" s="675"/>
      <c r="BI12" s="752"/>
      <c r="BJ12" s="634"/>
      <c r="BK12" s="634"/>
      <c r="BL12" s="750"/>
      <c r="BM12" s="634"/>
      <c r="BN12" s="634"/>
      <c r="BO12" s="634"/>
      <c r="BP12" s="750"/>
      <c r="BQ12" s="608"/>
      <c r="BR12" s="608"/>
      <c r="BS12" s="773"/>
      <c r="BT12" s="115"/>
      <c r="BU12" s="76"/>
    </row>
    <row r="13" spans="1:80" ht="3.75" customHeight="1" x14ac:dyDescent="0.15">
      <c r="C13" s="938"/>
      <c r="D13" s="643"/>
      <c r="E13" s="644"/>
      <c r="F13" s="644"/>
      <c r="G13" s="644"/>
      <c r="H13" s="644"/>
      <c r="I13" s="644"/>
      <c r="J13" s="645"/>
      <c r="K13" s="676"/>
      <c r="L13" s="677"/>
      <c r="M13" s="677"/>
      <c r="N13" s="677"/>
      <c r="O13" s="677"/>
      <c r="P13" s="677"/>
      <c r="Q13" s="678"/>
      <c r="R13" s="676"/>
      <c r="S13" s="677"/>
      <c r="T13" s="677"/>
      <c r="U13" s="677"/>
      <c r="V13" s="677"/>
      <c r="W13" s="677"/>
      <c r="X13" s="678"/>
      <c r="Y13" s="195"/>
      <c r="Z13" s="196"/>
      <c r="AA13" s="196"/>
      <c r="AB13" s="197"/>
      <c r="AC13" s="196"/>
      <c r="AD13" s="196"/>
      <c r="AE13" s="198"/>
      <c r="AF13" s="608"/>
      <c r="AG13" s="608"/>
      <c r="AH13" s="608"/>
      <c r="AI13" s="608"/>
      <c r="AJ13" s="76"/>
      <c r="AK13" s="76"/>
      <c r="AM13" s="938"/>
      <c r="AN13" s="643"/>
      <c r="AO13" s="644"/>
      <c r="AP13" s="644"/>
      <c r="AQ13" s="644"/>
      <c r="AR13" s="644"/>
      <c r="AS13" s="644"/>
      <c r="AT13" s="645"/>
      <c r="AU13" s="676"/>
      <c r="AV13" s="677"/>
      <c r="AW13" s="677"/>
      <c r="AX13" s="677"/>
      <c r="AY13" s="677"/>
      <c r="AZ13" s="677"/>
      <c r="BA13" s="678"/>
      <c r="BB13" s="676"/>
      <c r="BC13" s="677"/>
      <c r="BD13" s="677"/>
      <c r="BE13" s="677"/>
      <c r="BF13" s="677"/>
      <c r="BG13" s="677"/>
      <c r="BH13" s="678"/>
      <c r="BI13" s="943"/>
      <c r="BJ13" s="944"/>
      <c r="BK13" s="944"/>
      <c r="BL13" s="945"/>
      <c r="BM13" s="944"/>
      <c r="BN13" s="944"/>
      <c r="BO13" s="944"/>
      <c r="BP13" s="945"/>
      <c r="BQ13" s="608"/>
      <c r="BR13" s="608"/>
      <c r="BS13" s="773"/>
      <c r="BT13" s="115"/>
      <c r="BU13" s="76" t="str">
        <f t="shared" ref="BU13:BU21" si="3">IF(OR(BI13="",MOD(COUNT(AN13:BH13),2)=1),"",BI13*10000+BM13*100+BQ13)</f>
        <v/>
      </c>
    </row>
    <row r="14" spans="1:80" x14ac:dyDescent="0.15">
      <c r="B14" s="62">
        <v>2</v>
      </c>
      <c r="C14" s="938" t="str">
        <f>IF(ISERROR(MATCH('南(13時刻)'!B14,予選学校名!$H$3:$H$16,0)),"",INDEX(予選学校名!$H$3:$K$16,MATCH('南(13時刻)'!B14,予選学校名!$H$3:$H$16,0),2))</f>
        <v>美川</v>
      </c>
      <c r="D14" s="977" t="s">
        <v>165</v>
      </c>
      <c r="E14" s="654"/>
      <c r="F14" s="654"/>
      <c r="G14" s="654"/>
      <c r="H14" s="654"/>
      <c r="I14" s="654"/>
      <c r="J14" s="655"/>
      <c r="K14" s="988"/>
      <c r="L14" s="989"/>
      <c r="M14" s="989"/>
      <c r="N14" s="990"/>
      <c r="O14" s="990"/>
      <c r="P14" s="990"/>
      <c r="Q14" s="991"/>
      <c r="R14" s="670" t="str">
        <f>VLOOKUP(K18,$BW$1:$CB$10,6)</f>
        <v>16日
9:00</v>
      </c>
      <c r="S14" s="671"/>
      <c r="T14" s="671"/>
      <c r="U14" s="671"/>
      <c r="V14" s="671"/>
      <c r="W14" s="671"/>
      <c r="X14" s="672"/>
      <c r="Y14" s="940"/>
      <c r="Z14" s="937"/>
      <c r="AA14" s="937"/>
      <c r="AB14" s="192"/>
      <c r="AC14" s="937"/>
      <c r="AD14" s="937"/>
      <c r="AE14" s="939"/>
      <c r="AF14" s="608" t="str">
        <f>IF(COUNT(D15:AE15)=0,"",COUNTIF(D14:AE14,"○")*3+COUNTIF(D14:AE14,"△"))</f>
        <v/>
      </c>
      <c r="AG14" s="608" t="str">
        <f>IF(AF14="","",SUM(O10:O21)/2-SUM(M10:M21))</f>
        <v/>
      </c>
      <c r="AH14" s="608" t="str">
        <f>IF(AF14="","",SUM(O10:O21)/2)</f>
        <v/>
      </c>
      <c r="AI14" s="608" t="str">
        <f>IF(OR(AF14="",MOD(COUNT(D14:AE14),2)=1),"",RANK(AJ14,$AJ$10:$AJ$25))</f>
        <v/>
      </c>
      <c r="AJ14" s="76" t="str">
        <f>IF(OR(AF14="",MOD(COUNT(D14:AE14),2)=1),"",AF14*10000+AG14*100+AH14)</f>
        <v/>
      </c>
      <c r="AK14" s="76"/>
      <c r="AL14" s="62">
        <v>8</v>
      </c>
      <c r="AM14" s="938" t="str">
        <f>IF(ISERROR(MATCH('南(13時刻)'!AL14,予選学校名!$H$3:$H$16,0)),"",INDEX(予選学校名!$H$3:$K$16,MATCH('南(13時刻)'!AL14,予選学校名!$H$3:$H$16,0),2))</f>
        <v>北星</v>
      </c>
      <c r="AN14" s="977" t="s">
        <v>166</v>
      </c>
      <c r="AO14" s="654"/>
      <c r="AP14" s="654"/>
      <c r="AQ14" s="654"/>
      <c r="AR14" s="654"/>
      <c r="AS14" s="654"/>
      <c r="AT14" s="655"/>
      <c r="AU14" s="988"/>
      <c r="AV14" s="989"/>
      <c r="AW14" s="989"/>
      <c r="AX14" s="990"/>
      <c r="AY14" s="990"/>
      <c r="AZ14" s="990"/>
      <c r="BA14" s="991"/>
      <c r="BB14" s="670" t="str">
        <f>VLOOKUP(AU18,$BW$1:$CB$10,6)</f>
        <v>15日
9:00</v>
      </c>
      <c r="BC14" s="671"/>
      <c r="BD14" s="671"/>
      <c r="BE14" s="671"/>
      <c r="BF14" s="671"/>
      <c r="BG14" s="671"/>
      <c r="BH14" s="672"/>
      <c r="BI14" s="610" t="str">
        <f>IF(COUNT(AN15:BH15)=0,"",COUNTIF(AN14:BH14,"○")*3+COUNTIF(AN14:BH14,"△"))</f>
        <v/>
      </c>
      <c r="BJ14" s="611"/>
      <c r="BK14" s="611"/>
      <c r="BL14" s="612"/>
      <c r="BM14" s="611" t="str">
        <f>IF(BI14="","",SUM(AY10:AY21)/2-SUM(AW10:AW21))</f>
        <v/>
      </c>
      <c r="BN14" s="611"/>
      <c r="BO14" s="611"/>
      <c r="BP14" s="612"/>
      <c r="BQ14" s="608" t="str">
        <f>IF(BI14="","",SUM(AY10:AY21)/2)</f>
        <v/>
      </c>
      <c r="BR14" s="608" t="str">
        <f t="shared" ref="BR14" si="4">IF(OR(BI14="",MOD(COUNT(AN14:BH14),2)=1),"",RANK(BU14,$BU$10:$BU$25))</f>
        <v/>
      </c>
      <c r="BS14" s="773"/>
      <c r="BT14" s="115" t="str">
        <f t="shared" ref="BT14" si="5">IF(OR(BI14="",MOD(COUNT(AN14:BH14),2)=1),"",BI14*10000+BQ14*100+BR14)</f>
        <v/>
      </c>
      <c r="BU14" s="76" t="str">
        <f t="shared" si="3"/>
        <v/>
      </c>
    </row>
    <row r="15" spans="1:80" x14ac:dyDescent="0.15">
      <c r="C15" s="938"/>
      <c r="D15" s="656"/>
      <c r="E15" s="657"/>
      <c r="F15" s="657"/>
      <c r="G15" s="657"/>
      <c r="H15" s="657"/>
      <c r="I15" s="657"/>
      <c r="J15" s="658"/>
      <c r="K15" s="992"/>
      <c r="L15" s="993"/>
      <c r="M15" s="993"/>
      <c r="N15" s="993"/>
      <c r="O15" s="993"/>
      <c r="P15" s="993"/>
      <c r="Q15" s="994"/>
      <c r="R15" s="673"/>
      <c r="S15" s="674"/>
      <c r="T15" s="674"/>
      <c r="U15" s="674"/>
      <c r="V15" s="674"/>
      <c r="W15" s="674"/>
      <c r="X15" s="675"/>
      <c r="Y15" s="193"/>
      <c r="AB15" s="76" t="s">
        <v>92</v>
      </c>
      <c r="AE15" s="194"/>
      <c r="AF15" s="608"/>
      <c r="AG15" s="608"/>
      <c r="AH15" s="608"/>
      <c r="AI15" s="608"/>
      <c r="AJ15" s="76"/>
      <c r="AK15" s="76"/>
      <c r="AM15" s="938"/>
      <c r="AN15" s="656"/>
      <c r="AO15" s="657"/>
      <c r="AP15" s="657"/>
      <c r="AQ15" s="657"/>
      <c r="AR15" s="657"/>
      <c r="AS15" s="657"/>
      <c r="AT15" s="658"/>
      <c r="AU15" s="992"/>
      <c r="AV15" s="993"/>
      <c r="AW15" s="993"/>
      <c r="AX15" s="993"/>
      <c r="AY15" s="993"/>
      <c r="AZ15" s="993"/>
      <c r="BA15" s="994"/>
      <c r="BB15" s="673"/>
      <c r="BC15" s="674"/>
      <c r="BD15" s="674"/>
      <c r="BE15" s="674"/>
      <c r="BF15" s="674"/>
      <c r="BG15" s="674"/>
      <c r="BH15" s="675"/>
      <c r="BI15" s="752"/>
      <c r="BJ15" s="634"/>
      <c r="BK15" s="634"/>
      <c r="BL15" s="750"/>
      <c r="BM15" s="634"/>
      <c r="BN15" s="634"/>
      <c r="BO15" s="634"/>
      <c r="BP15" s="750"/>
      <c r="BQ15" s="608"/>
      <c r="BR15" s="608"/>
      <c r="BS15" s="773"/>
      <c r="BT15" s="115"/>
      <c r="BU15" s="76"/>
    </row>
    <row r="16" spans="1:80" x14ac:dyDescent="0.15">
      <c r="C16" s="938"/>
      <c r="D16" s="656"/>
      <c r="E16" s="657"/>
      <c r="F16" s="657"/>
      <c r="G16" s="657"/>
      <c r="H16" s="657"/>
      <c r="I16" s="657"/>
      <c r="J16" s="658"/>
      <c r="K16" s="992"/>
      <c r="L16" s="993"/>
      <c r="M16" s="993"/>
      <c r="N16" s="993"/>
      <c r="O16" s="993"/>
      <c r="P16" s="993"/>
      <c r="Q16" s="994"/>
      <c r="R16" s="673"/>
      <c r="S16" s="674"/>
      <c r="T16" s="674"/>
      <c r="U16" s="674"/>
      <c r="V16" s="674"/>
      <c r="W16" s="674"/>
      <c r="X16" s="675"/>
      <c r="Y16" s="193"/>
      <c r="AB16" s="76" t="s">
        <v>92</v>
      </c>
      <c r="AE16" s="194"/>
      <c r="AF16" s="608"/>
      <c r="AG16" s="608"/>
      <c r="AH16" s="608"/>
      <c r="AI16" s="608"/>
      <c r="AJ16" s="76"/>
      <c r="AK16" s="76"/>
      <c r="AM16" s="938"/>
      <c r="AN16" s="656"/>
      <c r="AO16" s="657"/>
      <c r="AP16" s="657"/>
      <c r="AQ16" s="657"/>
      <c r="AR16" s="657"/>
      <c r="AS16" s="657"/>
      <c r="AT16" s="658"/>
      <c r="AU16" s="992"/>
      <c r="AV16" s="993"/>
      <c r="AW16" s="993"/>
      <c r="AX16" s="993"/>
      <c r="AY16" s="993"/>
      <c r="AZ16" s="993"/>
      <c r="BA16" s="994"/>
      <c r="BB16" s="673"/>
      <c r="BC16" s="674"/>
      <c r="BD16" s="674"/>
      <c r="BE16" s="674"/>
      <c r="BF16" s="674"/>
      <c r="BG16" s="674"/>
      <c r="BH16" s="675"/>
      <c r="BI16" s="752"/>
      <c r="BJ16" s="634"/>
      <c r="BK16" s="634"/>
      <c r="BL16" s="750"/>
      <c r="BM16" s="634"/>
      <c r="BN16" s="634"/>
      <c r="BO16" s="634"/>
      <c r="BP16" s="750"/>
      <c r="BQ16" s="608"/>
      <c r="BR16" s="608"/>
      <c r="BS16" s="773"/>
      <c r="BT16" s="115"/>
      <c r="BU16" s="76"/>
    </row>
    <row r="17" spans="1:73" ht="3.75" customHeight="1" x14ac:dyDescent="0.15">
      <c r="C17" s="938"/>
      <c r="D17" s="659"/>
      <c r="E17" s="660"/>
      <c r="F17" s="660"/>
      <c r="G17" s="660"/>
      <c r="H17" s="660"/>
      <c r="I17" s="660"/>
      <c r="J17" s="661"/>
      <c r="K17" s="995"/>
      <c r="L17" s="996"/>
      <c r="M17" s="996"/>
      <c r="N17" s="996"/>
      <c r="O17" s="996"/>
      <c r="P17" s="996"/>
      <c r="Q17" s="997"/>
      <c r="R17" s="676"/>
      <c r="S17" s="677"/>
      <c r="T17" s="677"/>
      <c r="U17" s="677"/>
      <c r="V17" s="677"/>
      <c r="W17" s="677"/>
      <c r="X17" s="678"/>
      <c r="Y17" s="195"/>
      <c r="Z17" s="196"/>
      <c r="AA17" s="196"/>
      <c r="AB17" s="197"/>
      <c r="AC17" s="196"/>
      <c r="AD17" s="196"/>
      <c r="AE17" s="198"/>
      <c r="AF17" s="608"/>
      <c r="AG17" s="608"/>
      <c r="AH17" s="608"/>
      <c r="AI17" s="608"/>
      <c r="AJ17" s="76"/>
      <c r="AK17" s="76"/>
      <c r="AM17" s="938"/>
      <c r="AN17" s="659"/>
      <c r="AO17" s="660"/>
      <c r="AP17" s="660"/>
      <c r="AQ17" s="660"/>
      <c r="AR17" s="660"/>
      <c r="AS17" s="660"/>
      <c r="AT17" s="661"/>
      <c r="AU17" s="995"/>
      <c r="AV17" s="996"/>
      <c r="AW17" s="996"/>
      <c r="AX17" s="996"/>
      <c r="AY17" s="996"/>
      <c r="AZ17" s="996"/>
      <c r="BA17" s="997"/>
      <c r="BB17" s="676"/>
      <c r="BC17" s="677"/>
      <c r="BD17" s="677"/>
      <c r="BE17" s="677"/>
      <c r="BF17" s="677"/>
      <c r="BG17" s="677"/>
      <c r="BH17" s="678"/>
      <c r="BI17" s="943"/>
      <c r="BJ17" s="944"/>
      <c r="BK17" s="944"/>
      <c r="BL17" s="945"/>
      <c r="BM17" s="944"/>
      <c r="BN17" s="944"/>
      <c r="BO17" s="944"/>
      <c r="BP17" s="945"/>
      <c r="BQ17" s="608"/>
      <c r="BR17" s="608"/>
      <c r="BS17" s="773"/>
      <c r="BT17" s="115"/>
      <c r="BU17" s="76" t="str">
        <f t="shared" si="3"/>
        <v/>
      </c>
    </row>
    <row r="18" spans="1:73" x14ac:dyDescent="0.15">
      <c r="B18" s="62">
        <v>3</v>
      </c>
      <c r="C18" s="938" t="str">
        <f>IF(ISERROR(MATCH('南(13時刻)'!B18,予選学校名!$H$3:$H$16,0)),"",INDEX(予選学校名!$H$3:$K$16,MATCH('南(13時刻)'!B18,予選学校名!$H$3:$H$16,0),2))</f>
        <v>根上</v>
      </c>
      <c r="D18" s="977" t="s">
        <v>167</v>
      </c>
      <c r="E18" s="654"/>
      <c r="F18" s="654"/>
      <c r="G18" s="654"/>
      <c r="H18" s="654"/>
      <c r="I18" s="654"/>
      <c r="J18" s="655"/>
      <c r="K18" s="977" t="s">
        <v>168</v>
      </c>
      <c r="L18" s="654"/>
      <c r="M18" s="654"/>
      <c r="N18" s="654"/>
      <c r="O18" s="654"/>
      <c r="P18" s="654"/>
      <c r="Q18" s="655"/>
      <c r="R18" s="636"/>
      <c r="S18" s="637"/>
      <c r="T18" s="637"/>
      <c r="U18" s="638"/>
      <c r="V18" s="638"/>
      <c r="W18" s="638"/>
      <c r="X18" s="639"/>
      <c r="Y18" s="940"/>
      <c r="Z18" s="937"/>
      <c r="AA18" s="937"/>
      <c r="AB18" s="192"/>
      <c r="AC18" s="937"/>
      <c r="AD18" s="937"/>
      <c r="AE18" s="939"/>
      <c r="AF18" s="608" t="str">
        <f>IF(COUNT(D19:AE19)=0,"",COUNTIF(D18:AE18,"○")*3+COUNTIF(D18:AE18,"△"))</f>
        <v/>
      </c>
      <c r="AG18" s="608" t="str">
        <f>IF(AF18="","",SUM(V10:V21)/2-SUM(T10:T21))</f>
        <v/>
      </c>
      <c r="AH18" s="608" t="str">
        <f>IF(AF18="","",SUM(V10:V21)/2)</f>
        <v/>
      </c>
      <c r="AI18" s="608" t="str">
        <f>IF(OR(AF18="",MOD(COUNT(D18:AE18),2)=1),"",RANK(AJ18,$AJ$10:$AJ$25))</f>
        <v/>
      </c>
      <c r="AJ18" s="76" t="str">
        <f>IF(OR(AF18="",MOD(COUNT(D18:AE18),2)=1),"",AF18*10000+AG18*100+AH18)</f>
        <v/>
      </c>
      <c r="AK18" s="76"/>
      <c r="AL18" s="62">
        <v>9</v>
      </c>
      <c r="AM18" s="938" t="str">
        <f>IF(ISERROR(MATCH('南(13時刻)'!AL18,予選学校名!$H$3:$H$16,0)),"",INDEX(予選学校名!$H$3:$K$16,MATCH('南(13時刻)'!AL18,予選学校名!$H$3:$H$16,0),2))</f>
        <v>松陽</v>
      </c>
      <c r="AN18" s="977" t="s">
        <v>169</v>
      </c>
      <c r="AO18" s="654"/>
      <c r="AP18" s="654"/>
      <c r="AQ18" s="654"/>
      <c r="AR18" s="654"/>
      <c r="AS18" s="654"/>
      <c r="AT18" s="655"/>
      <c r="AU18" s="977" t="s">
        <v>170</v>
      </c>
      <c r="AV18" s="654"/>
      <c r="AW18" s="654"/>
      <c r="AX18" s="654"/>
      <c r="AY18" s="654"/>
      <c r="AZ18" s="654"/>
      <c r="BA18" s="655"/>
      <c r="BB18" s="636"/>
      <c r="BC18" s="637"/>
      <c r="BD18" s="637"/>
      <c r="BE18" s="638"/>
      <c r="BF18" s="638"/>
      <c r="BG18" s="638"/>
      <c r="BH18" s="639"/>
      <c r="BI18" s="610" t="str">
        <f>IF(COUNT(AN19:BH19)=0,"",COUNTIF(AN18:BH18,"○")*3+COUNTIF(AN18:BH18,"△"))</f>
        <v/>
      </c>
      <c r="BJ18" s="611"/>
      <c r="BK18" s="611"/>
      <c r="BL18" s="612"/>
      <c r="BM18" s="611" t="str">
        <f>IF(BI18="","",SUM(BF10:BF21)/2-SUM(BD10:BD21))</f>
        <v/>
      </c>
      <c r="BN18" s="611"/>
      <c r="BO18" s="611"/>
      <c r="BP18" s="612"/>
      <c r="BQ18" s="608" t="str">
        <f>IF(BI18="","",SUM(BF10:BF21)/2)</f>
        <v/>
      </c>
      <c r="BR18" s="608" t="str">
        <f t="shared" ref="BR18" si="6">IF(OR(BI18="",MOD(COUNT(AN18:BH18),2)=1),"",RANK(BU18,$BU$10:$BU$25))</f>
        <v/>
      </c>
      <c r="BS18" s="773"/>
      <c r="BT18" s="115" t="str">
        <f t="shared" ref="BT18" si="7">IF(OR(BI18="",MOD(COUNT(AN18:BH18),2)=1),"",BI18*10000+BQ18*100+BR18)</f>
        <v/>
      </c>
      <c r="BU18" s="76" t="str">
        <f t="shared" si="3"/>
        <v/>
      </c>
    </row>
    <row r="19" spans="1:73" x14ac:dyDescent="0.15">
      <c r="C19" s="938"/>
      <c r="D19" s="656"/>
      <c r="E19" s="657"/>
      <c r="F19" s="657"/>
      <c r="G19" s="657"/>
      <c r="H19" s="657"/>
      <c r="I19" s="657"/>
      <c r="J19" s="658"/>
      <c r="K19" s="656"/>
      <c r="L19" s="657"/>
      <c r="M19" s="657"/>
      <c r="N19" s="657"/>
      <c r="O19" s="657"/>
      <c r="P19" s="657"/>
      <c r="Q19" s="658"/>
      <c r="R19" s="640"/>
      <c r="S19" s="641"/>
      <c r="T19" s="641"/>
      <c r="U19" s="641"/>
      <c r="V19" s="641"/>
      <c r="W19" s="641"/>
      <c r="X19" s="642"/>
      <c r="Y19" s="193"/>
      <c r="AE19" s="194"/>
      <c r="AF19" s="608"/>
      <c r="AG19" s="608"/>
      <c r="AH19" s="608"/>
      <c r="AI19" s="608"/>
      <c r="AJ19" s="76"/>
      <c r="AK19" s="76"/>
      <c r="AM19" s="938"/>
      <c r="AN19" s="656"/>
      <c r="AO19" s="657"/>
      <c r="AP19" s="657"/>
      <c r="AQ19" s="657"/>
      <c r="AR19" s="657"/>
      <c r="AS19" s="657"/>
      <c r="AT19" s="658"/>
      <c r="AU19" s="656"/>
      <c r="AV19" s="657"/>
      <c r="AW19" s="657"/>
      <c r="AX19" s="657"/>
      <c r="AY19" s="657"/>
      <c r="AZ19" s="657"/>
      <c r="BA19" s="658"/>
      <c r="BB19" s="640"/>
      <c r="BC19" s="641"/>
      <c r="BD19" s="641"/>
      <c r="BE19" s="641"/>
      <c r="BF19" s="641"/>
      <c r="BG19" s="641"/>
      <c r="BH19" s="642"/>
      <c r="BI19" s="752"/>
      <c r="BJ19" s="634"/>
      <c r="BK19" s="634"/>
      <c r="BL19" s="750"/>
      <c r="BM19" s="634"/>
      <c r="BN19" s="634"/>
      <c r="BO19" s="634"/>
      <c r="BP19" s="750"/>
      <c r="BQ19" s="608"/>
      <c r="BR19" s="608"/>
      <c r="BS19" s="773"/>
      <c r="BT19" s="115"/>
      <c r="BU19" s="76"/>
    </row>
    <row r="20" spans="1:73" x14ac:dyDescent="0.15">
      <c r="C20" s="938"/>
      <c r="D20" s="656"/>
      <c r="E20" s="657"/>
      <c r="F20" s="657"/>
      <c r="G20" s="657"/>
      <c r="H20" s="657"/>
      <c r="I20" s="657"/>
      <c r="J20" s="658"/>
      <c r="K20" s="656"/>
      <c r="L20" s="657"/>
      <c r="M20" s="657"/>
      <c r="N20" s="657"/>
      <c r="O20" s="657"/>
      <c r="P20" s="657"/>
      <c r="Q20" s="658"/>
      <c r="R20" s="640"/>
      <c r="S20" s="641"/>
      <c r="T20" s="641"/>
      <c r="U20" s="641"/>
      <c r="V20" s="641"/>
      <c r="W20" s="641"/>
      <c r="X20" s="642"/>
      <c r="Y20" s="193"/>
      <c r="AE20" s="194"/>
      <c r="AF20" s="608"/>
      <c r="AG20" s="608"/>
      <c r="AH20" s="608"/>
      <c r="AI20" s="608"/>
      <c r="AJ20" s="76"/>
      <c r="AK20" s="76"/>
      <c r="AM20" s="938"/>
      <c r="AN20" s="656"/>
      <c r="AO20" s="657"/>
      <c r="AP20" s="657"/>
      <c r="AQ20" s="657"/>
      <c r="AR20" s="657"/>
      <c r="AS20" s="657"/>
      <c r="AT20" s="658"/>
      <c r="AU20" s="656"/>
      <c r="AV20" s="657"/>
      <c r="AW20" s="657"/>
      <c r="AX20" s="657"/>
      <c r="AY20" s="657"/>
      <c r="AZ20" s="657"/>
      <c r="BA20" s="658"/>
      <c r="BB20" s="640"/>
      <c r="BC20" s="641"/>
      <c r="BD20" s="641"/>
      <c r="BE20" s="641"/>
      <c r="BF20" s="641"/>
      <c r="BG20" s="641"/>
      <c r="BH20" s="642"/>
      <c r="BI20" s="752"/>
      <c r="BJ20" s="634"/>
      <c r="BK20" s="634"/>
      <c r="BL20" s="750"/>
      <c r="BM20" s="634"/>
      <c r="BN20" s="634"/>
      <c r="BO20" s="634"/>
      <c r="BP20" s="750"/>
      <c r="BQ20" s="608"/>
      <c r="BR20" s="608"/>
      <c r="BS20" s="773"/>
      <c r="BT20" s="115"/>
      <c r="BU20" s="76"/>
    </row>
    <row r="21" spans="1:73" ht="3.75" customHeight="1" x14ac:dyDescent="0.15">
      <c r="C21" s="938"/>
      <c r="D21" s="659"/>
      <c r="E21" s="660"/>
      <c r="F21" s="660"/>
      <c r="G21" s="660"/>
      <c r="H21" s="660"/>
      <c r="I21" s="660"/>
      <c r="J21" s="661"/>
      <c r="K21" s="659"/>
      <c r="L21" s="660"/>
      <c r="M21" s="660"/>
      <c r="N21" s="660"/>
      <c r="O21" s="660"/>
      <c r="P21" s="660"/>
      <c r="Q21" s="661"/>
      <c r="R21" s="643"/>
      <c r="S21" s="644"/>
      <c r="T21" s="644"/>
      <c r="U21" s="644"/>
      <c r="V21" s="644"/>
      <c r="W21" s="644"/>
      <c r="X21" s="645"/>
      <c r="Y21" s="195"/>
      <c r="Z21" s="196"/>
      <c r="AA21" s="196"/>
      <c r="AB21" s="197"/>
      <c r="AC21" s="196"/>
      <c r="AD21" s="196"/>
      <c r="AE21" s="198"/>
      <c r="AF21" s="608"/>
      <c r="AG21" s="608"/>
      <c r="AH21" s="608"/>
      <c r="AI21" s="608"/>
      <c r="AJ21" s="76"/>
      <c r="AK21" s="76"/>
      <c r="AM21" s="938"/>
      <c r="AN21" s="659"/>
      <c r="AO21" s="660"/>
      <c r="AP21" s="660"/>
      <c r="AQ21" s="660"/>
      <c r="AR21" s="660"/>
      <c r="AS21" s="660"/>
      <c r="AT21" s="661"/>
      <c r="AU21" s="659"/>
      <c r="AV21" s="660"/>
      <c r="AW21" s="660"/>
      <c r="AX21" s="660"/>
      <c r="AY21" s="660"/>
      <c r="AZ21" s="660"/>
      <c r="BA21" s="661"/>
      <c r="BB21" s="643"/>
      <c r="BC21" s="644"/>
      <c r="BD21" s="644"/>
      <c r="BE21" s="644"/>
      <c r="BF21" s="644"/>
      <c r="BG21" s="644"/>
      <c r="BH21" s="645"/>
      <c r="BI21" s="943"/>
      <c r="BJ21" s="944"/>
      <c r="BK21" s="944"/>
      <c r="BL21" s="945"/>
      <c r="BM21" s="944"/>
      <c r="BN21" s="944"/>
      <c r="BO21" s="944"/>
      <c r="BP21" s="945"/>
      <c r="BQ21" s="608"/>
      <c r="BR21" s="608"/>
      <c r="BS21" s="773"/>
      <c r="BT21" s="115"/>
      <c r="BU21" s="76" t="str">
        <f t="shared" si="3"/>
        <v/>
      </c>
    </row>
    <row r="22" spans="1:73" hidden="1" x14ac:dyDescent="0.15">
      <c r="C22" s="615"/>
      <c r="D22" s="611"/>
      <c r="E22" s="611"/>
      <c r="F22" s="611"/>
      <c r="G22" s="75"/>
      <c r="H22" s="611"/>
      <c r="I22" s="611"/>
      <c r="J22" s="611"/>
      <c r="K22" s="611"/>
      <c r="L22" s="611"/>
      <c r="M22" s="611"/>
      <c r="N22" s="75"/>
      <c r="O22" s="611"/>
      <c r="P22" s="611"/>
      <c r="Q22" s="611"/>
      <c r="R22" s="611"/>
      <c r="S22" s="611"/>
      <c r="T22" s="611"/>
      <c r="U22" s="75"/>
      <c r="V22" s="611"/>
      <c r="W22" s="611"/>
      <c r="X22" s="611"/>
      <c r="Y22" s="937"/>
      <c r="Z22" s="937"/>
      <c r="AA22" s="937"/>
      <c r="AB22" s="192"/>
      <c r="AC22" s="937"/>
      <c r="AD22" s="937"/>
      <c r="AE22" s="937"/>
      <c r="AF22" s="937"/>
      <c r="AG22" s="937"/>
      <c r="AH22" s="937"/>
      <c r="AI22" s="937"/>
      <c r="AJ22" s="76"/>
      <c r="AK22" s="76"/>
      <c r="AL22" s="62">
        <v>10</v>
      </c>
      <c r="AM22" s="938" t="str">
        <f>IF(ISERROR(MATCH('南(13時刻)'!AL22,予選学校名!$H$3:$H$16,0)),"",INDEX(予選学校名!$H$3:$K$16,MATCH('南(13時刻)'!AL22,予選学校名!$H$3:$H$16,0),2))</f>
        <v>布水</v>
      </c>
      <c r="AN22" s="610" t="str">
        <f>IF(AP23="","",SUM(AP23,AP24))</f>
        <v/>
      </c>
      <c r="AO22" s="611"/>
      <c r="AP22" s="611"/>
      <c r="AQ22" s="75" t="str">
        <f>IF(AN22="","",IF(AN22&gt;AR22,"○",IF(AN22&lt;AR22,"●","△")))</f>
        <v/>
      </c>
      <c r="AR22" s="611" t="str">
        <f>IF(AR23="","",SUM(AR23,AR24))</f>
        <v/>
      </c>
      <c r="AS22" s="611"/>
      <c r="AT22" s="612"/>
      <c r="AU22" s="610" t="str">
        <f>IF(AW23="","",SUM(AW23,AW24))</f>
        <v/>
      </c>
      <c r="AV22" s="611"/>
      <c r="AW22" s="611"/>
      <c r="AX22" s="75" t="str">
        <f>IF(AU22="","",IF(AU22&gt;AY22,"○",IF(AU22&lt;AY22,"●","△")))</f>
        <v/>
      </c>
      <c r="AY22" s="611" t="str">
        <f>IF(AY23="","",SUM(AY23,AY24))</f>
        <v/>
      </c>
      <c r="AZ22" s="611"/>
      <c r="BA22" s="612"/>
      <c r="BB22" s="610" t="str">
        <f>IF(BD23="","",SUM(BD23,BD24))</f>
        <v/>
      </c>
      <c r="BC22" s="611"/>
      <c r="BD22" s="611"/>
      <c r="BE22" s="75" t="str">
        <f>IF(BB22="","",IF(BB22&gt;BF22,"○",IF(BB22&lt;BF22,"●","△")))</f>
        <v/>
      </c>
      <c r="BF22" s="611" t="str">
        <f>IF(BF23="","",SUM(BF23,BF24))</f>
        <v/>
      </c>
      <c r="BG22" s="611"/>
      <c r="BH22" s="612"/>
      <c r="BI22" s="636"/>
      <c r="BJ22" s="637"/>
      <c r="BK22" s="637"/>
      <c r="BL22" s="638"/>
      <c r="BM22" s="638"/>
      <c r="BN22" s="638"/>
      <c r="BO22" s="638"/>
      <c r="BP22" s="639"/>
      <c r="BQ22" s="608" t="str">
        <f>IF(COUNT(AN23:BP23)=0,"",COUNTIF(AN22:BP22,"○")*3+COUNTIF(AN22:BP22,"△"))</f>
        <v/>
      </c>
      <c r="BR22" s="608" t="str">
        <f>IF(BQ22="","",SUM(BN10:BN25)/2-SUM(BI10:BI25))</f>
        <v/>
      </c>
      <c r="BS22" s="649" t="str">
        <f>IF(BQ22="","",SUM(BN10:BN25)/2)</f>
        <v/>
      </c>
      <c r="BT22" s="608" t="str">
        <f>IF(OR(BQ22="",MOD(COUNT(AN22:BP22),2)=1),"",RANK(BU22,$BU$10:$BU$25))</f>
        <v/>
      </c>
      <c r="BU22" s="76" t="str">
        <f>IF(OR(BQ22="",MOD(COUNT(AN22:BP22),2)=1),"",BQ22*10000+BR22*100+BS22)</f>
        <v/>
      </c>
    </row>
    <row r="23" spans="1:73" hidden="1" x14ac:dyDescent="0.15">
      <c r="C23" s="615"/>
      <c r="AF23" s="615"/>
      <c r="AG23" s="615"/>
      <c r="AH23" s="615"/>
      <c r="AI23" s="615"/>
      <c r="AJ23" s="76"/>
      <c r="AK23" s="76"/>
      <c r="AM23" s="938"/>
      <c r="AN23" s="77"/>
      <c r="AP23" s="64" t="str">
        <f>IF(BN11="","",BN11)</f>
        <v/>
      </c>
      <c r="AQ23" s="61" t="s">
        <v>92</v>
      </c>
      <c r="AR23" s="65" t="str">
        <f>IF(BK11="","",BK11)</f>
        <v/>
      </c>
      <c r="AT23" s="78"/>
      <c r="AU23" s="77"/>
      <c r="AW23" s="64" t="str">
        <f>IF(BN15="","",BN15)</f>
        <v/>
      </c>
      <c r="AX23" s="61" t="s">
        <v>92</v>
      </c>
      <c r="AY23" s="65" t="str">
        <f>IF(BK15="","",BK15)</f>
        <v/>
      </c>
      <c r="BA23" s="78"/>
      <c r="BB23" s="77"/>
      <c r="BD23" s="64" t="str">
        <f>IF(BN19="","",BN19)</f>
        <v/>
      </c>
      <c r="BE23" s="61" t="s">
        <v>92</v>
      </c>
      <c r="BF23" s="65" t="str">
        <f>IF(BK19="","",BK19)</f>
        <v/>
      </c>
      <c r="BH23" s="78"/>
      <c r="BI23" s="640"/>
      <c r="BJ23" s="641"/>
      <c r="BK23" s="641"/>
      <c r="BL23" s="641"/>
      <c r="BM23" s="641"/>
      <c r="BN23" s="641"/>
      <c r="BO23" s="641"/>
      <c r="BP23" s="642"/>
      <c r="BQ23" s="608"/>
      <c r="BR23" s="608"/>
      <c r="BS23" s="608"/>
      <c r="BT23" s="608"/>
      <c r="BU23" s="76"/>
    </row>
    <row r="24" spans="1:73" hidden="1" x14ac:dyDescent="0.15">
      <c r="C24" s="615"/>
      <c r="AF24" s="615"/>
      <c r="AG24" s="615"/>
      <c r="AH24" s="615"/>
      <c r="AI24" s="615"/>
      <c r="AJ24" s="76"/>
      <c r="AK24" s="76"/>
      <c r="AM24" s="938"/>
      <c r="AN24" s="77"/>
      <c r="AP24" s="64" t="str">
        <f>IF(BN12="","",BN12)</f>
        <v/>
      </c>
      <c r="AQ24" s="61" t="s">
        <v>92</v>
      </c>
      <c r="AR24" s="65" t="str">
        <f>IF(BK12="","",BK12)</f>
        <v/>
      </c>
      <c r="AT24" s="78"/>
      <c r="AU24" s="77"/>
      <c r="AW24" s="64" t="str">
        <f>IF(BN16="","",BN16)</f>
        <v/>
      </c>
      <c r="AX24" s="61" t="s">
        <v>92</v>
      </c>
      <c r="AY24" s="65" t="str">
        <f>IF(BK16="","",BK16)</f>
        <v/>
      </c>
      <c r="BA24" s="78"/>
      <c r="BB24" s="77"/>
      <c r="BD24" s="64" t="str">
        <f>IF(BN20="","",BN20)</f>
        <v/>
      </c>
      <c r="BE24" s="61" t="s">
        <v>92</v>
      </c>
      <c r="BF24" s="65" t="str">
        <f>IF(BK20="","",BK20)</f>
        <v/>
      </c>
      <c r="BH24" s="78"/>
      <c r="BI24" s="640"/>
      <c r="BJ24" s="641"/>
      <c r="BK24" s="641"/>
      <c r="BL24" s="641"/>
      <c r="BM24" s="641"/>
      <c r="BN24" s="641"/>
      <c r="BO24" s="641"/>
      <c r="BP24" s="642"/>
      <c r="BQ24" s="608"/>
      <c r="BR24" s="608"/>
      <c r="BS24" s="608"/>
      <c r="BT24" s="608"/>
      <c r="BU24" s="76"/>
    </row>
    <row r="25" spans="1:73" ht="3.75" hidden="1" customHeight="1" x14ac:dyDescent="0.15">
      <c r="C25" s="615"/>
      <c r="AF25" s="615"/>
      <c r="AG25" s="615"/>
      <c r="AH25" s="615"/>
      <c r="AI25" s="615"/>
      <c r="AJ25" s="76"/>
      <c r="AK25" s="76"/>
      <c r="AM25" s="938"/>
      <c r="AN25" s="79"/>
      <c r="AO25" s="80"/>
      <c r="AP25" s="81"/>
      <c r="AQ25" s="82"/>
      <c r="AR25" s="83"/>
      <c r="AS25" s="80"/>
      <c r="AT25" s="84"/>
      <c r="AU25" s="79"/>
      <c r="AV25" s="80"/>
      <c r="AW25" s="81"/>
      <c r="AX25" s="82"/>
      <c r="AY25" s="83"/>
      <c r="AZ25" s="80"/>
      <c r="BA25" s="84"/>
      <c r="BB25" s="79"/>
      <c r="BC25" s="80"/>
      <c r="BD25" s="81"/>
      <c r="BE25" s="82"/>
      <c r="BF25" s="83"/>
      <c r="BG25" s="80"/>
      <c r="BH25" s="84"/>
      <c r="BI25" s="643"/>
      <c r="BJ25" s="644"/>
      <c r="BK25" s="644"/>
      <c r="BL25" s="644"/>
      <c r="BM25" s="644"/>
      <c r="BN25" s="644"/>
      <c r="BO25" s="644"/>
      <c r="BP25" s="645"/>
      <c r="BQ25" s="608"/>
      <c r="BR25" s="608"/>
      <c r="BS25" s="608"/>
      <c r="BT25" s="608"/>
      <c r="BU25" s="76"/>
    </row>
    <row r="26" spans="1:73" ht="7.5" customHeight="1" x14ac:dyDescent="0.15"/>
    <row r="27" spans="1:73" s="68" customFormat="1" ht="18" x14ac:dyDescent="0.15">
      <c r="A27" s="67"/>
      <c r="C27" s="942" t="s">
        <v>82</v>
      </c>
      <c r="D27" s="942"/>
      <c r="E27" s="942"/>
      <c r="F27" s="942"/>
      <c r="G27" s="942"/>
      <c r="H27" s="942"/>
      <c r="I27" s="942"/>
      <c r="J27" s="942"/>
      <c r="K27" s="67"/>
      <c r="L27" s="67"/>
      <c r="M27" s="69"/>
      <c r="N27" s="70"/>
      <c r="O27" s="71"/>
      <c r="P27" s="67"/>
      <c r="Q27" s="67"/>
      <c r="R27" s="67"/>
      <c r="S27" s="67"/>
      <c r="T27" s="69"/>
      <c r="U27" s="70"/>
      <c r="V27" s="71"/>
      <c r="W27" s="67"/>
      <c r="X27" s="67"/>
      <c r="AB27" s="93"/>
      <c r="AM27" s="942" t="s">
        <v>145</v>
      </c>
      <c r="AN27" s="942"/>
      <c r="AO27" s="942"/>
      <c r="AP27" s="942"/>
      <c r="AQ27" s="942"/>
      <c r="AR27" s="942"/>
      <c r="AS27" s="942"/>
      <c r="AT27" s="942"/>
      <c r="AU27" s="67"/>
      <c r="AV27" s="67"/>
      <c r="AW27" s="69"/>
      <c r="AX27" s="70"/>
      <c r="AY27" s="71"/>
      <c r="AZ27" s="67"/>
      <c r="BA27" s="67"/>
      <c r="BB27" s="67"/>
      <c r="BC27" s="67"/>
      <c r="BD27" s="69"/>
      <c r="BE27" s="70"/>
      <c r="BF27" s="71"/>
      <c r="BG27" s="67"/>
      <c r="BH27" s="67"/>
      <c r="BI27" s="67"/>
      <c r="BJ27" s="67"/>
      <c r="BK27" s="69"/>
      <c r="BL27" s="70"/>
      <c r="BM27" s="70"/>
      <c r="BN27" s="71"/>
      <c r="BO27" s="67"/>
      <c r="BP27" s="67"/>
    </row>
    <row r="28" spans="1:73" ht="28.5" x14ac:dyDescent="0.15">
      <c r="C28" s="72"/>
      <c r="D28" s="941" t="str">
        <f>C29</f>
        <v>南部</v>
      </c>
      <c r="E28" s="941"/>
      <c r="F28" s="941"/>
      <c r="G28" s="941"/>
      <c r="H28" s="941"/>
      <c r="I28" s="941"/>
      <c r="J28" s="941"/>
      <c r="K28" s="941" t="str">
        <f>C33</f>
        <v>寺井</v>
      </c>
      <c r="L28" s="941"/>
      <c r="M28" s="941"/>
      <c r="N28" s="941"/>
      <c r="O28" s="941"/>
      <c r="P28" s="941"/>
      <c r="Q28" s="941"/>
      <c r="R28" s="941" t="str">
        <f>C37</f>
        <v>野々市</v>
      </c>
      <c r="S28" s="941"/>
      <c r="T28" s="941"/>
      <c r="U28" s="941"/>
      <c r="V28" s="941"/>
      <c r="W28" s="941"/>
      <c r="X28" s="941"/>
      <c r="Y28" s="608">
        <f>J37</f>
        <v>0</v>
      </c>
      <c r="Z28" s="608"/>
      <c r="AA28" s="608"/>
      <c r="AB28" s="608"/>
      <c r="AC28" s="608"/>
      <c r="AD28" s="608"/>
      <c r="AE28" s="608"/>
      <c r="AF28" s="73" t="s">
        <v>88</v>
      </c>
      <c r="AG28" s="74" t="s">
        <v>143</v>
      </c>
      <c r="AH28" s="73" t="s">
        <v>90</v>
      </c>
      <c r="AI28" s="73" t="s">
        <v>91</v>
      </c>
      <c r="AJ28" s="76"/>
      <c r="AK28" s="76"/>
      <c r="AM28" s="72"/>
      <c r="AN28" s="941" t="str">
        <f>AM29</f>
        <v>布水</v>
      </c>
      <c r="AO28" s="941"/>
      <c r="AP28" s="941"/>
      <c r="AQ28" s="941"/>
      <c r="AR28" s="941"/>
      <c r="AS28" s="941"/>
      <c r="AT28" s="941"/>
      <c r="AU28" s="941" t="str">
        <f>AM33</f>
        <v>丸内</v>
      </c>
      <c r="AV28" s="941"/>
      <c r="AW28" s="941"/>
      <c r="AX28" s="941"/>
      <c r="AY28" s="941"/>
      <c r="AZ28" s="941"/>
      <c r="BA28" s="941"/>
      <c r="BB28" s="941" t="str">
        <f>AM37</f>
        <v/>
      </c>
      <c r="BC28" s="941"/>
      <c r="BD28" s="941"/>
      <c r="BE28" s="941"/>
      <c r="BF28" s="941"/>
      <c r="BG28" s="941"/>
      <c r="BH28" s="941"/>
      <c r="BI28" s="941" t="str">
        <f>AM41</f>
        <v/>
      </c>
      <c r="BJ28" s="941"/>
      <c r="BK28" s="941"/>
      <c r="BL28" s="941"/>
      <c r="BM28" s="941"/>
      <c r="BN28" s="941"/>
      <c r="BO28" s="941"/>
      <c r="BP28" s="941"/>
      <c r="BQ28" s="73" t="s">
        <v>88</v>
      </c>
      <c r="BR28" s="74" t="s">
        <v>143</v>
      </c>
      <c r="BS28" s="73" t="s">
        <v>90</v>
      </c>
      <c r="BT28" s="73" t="s">
        <v>91</v>
      </c>
    </row>
    <row r="29" spans="1:73" x14ac:dyDescent="0.15">
      <c r="B29" s="62">
        <v>4</v>
      </c>
      <c r="C29" s="938" t="str">
        <f>IF(ISERROR(MATCH('南(13時刻)'!B29,予選学校名!$H$3:$H$16,0)),"",INDEX(予選学校名!$H$3:$K$16,MATCH('南(13時刻)'!B29,予選学校名!$H$3:$H$16,0),2))</f>
        <v>南部</v>
      </c>
      <c r="D29" s="636"/>
      <c r="E29" s="637"/>
      <c r="F29" s="637"/>
      <c r="G29" s="638"/>
      <c r="H29" s="638"/>
      <c r="I29" s="638"/>
      <c r="J29" s="639"/>
      <c r="K29" s="670" t="str">
        <f>VLOOKUP(D33,$BW$1:$CB$10,6)</f>
        <v>16日
12:45</v>
      </c>
      <c r="L29" s="671"/>
      <c r="M29" s="671"/>
      <c r="N29" s="671"/>
      <c r="O29" s="671"/>
      <c r="P29" s="671"/>
      <c r="Q29" s="672"/>
      <c r="R29" s="670" t="str">
        <f>VLOOKUP(D37,$BW$1:$CB$10,6)</f>
        <v>15日
11:30</v>
      </c>
      <c r="S29" s="671"/>
      <c r="T29" s="671"/>
      <c r="U29" s="671"/>
      <c r="V29" s="671"/>
      <c r="W29" s="671"/>
      <c r="X29" s="672"/>
      <c r="Y29" s="940"/>
      <c r="Z29" s="937"/>
      <c r="AA29" s="937"/>
      <c r="AB29" s="192"/>
      <c r="AC29" s="937"/>
      <c r="AD29" s="937"/>
      <c r="AE29" s="939"/>
      <c r="AF29" s="608" t="str">
        <f>IF(COUNT(D30:AE30)=0,"",COUNTIF(D29:AE29,"○")*3+COUNTIF(D29:AE29,"△"))</f>
        <v/>
      </c>
      <c r="AG29" s="608" t="str">
        <f>IF(AF29="","",SUM(H29:H40)/2-SUM(F29:F40))</f>
        <v/>
      </c>
      <c r="AH29" s="608" t="str">
        <f>IF(AF29="","",SUM(H29:H40)/2)</f>
        <v/>
      </c>
      <c r="AI29" s="608" t="str">
        <f>IF(OR(AF29="",MOD(COUNT(D29:AE29),2)=1),"",RANK(AJ29,$AJ$29:$AJ$44))</f>
        <v/>
      </c>
      <c r="AJ29" s="76" t="str">
        <f>IF(OR(AF29="",MOD(COUNT(D29:AE29),2)=1),"",AF29*10000+AG29*100+AH29)</f>
        <v/>
      </c>
      <c r="AK29" s="76"/>
      <c r="AL29" s="62">
        <v>10</v>
      </c>
      <c r="AM29" s="938" t="str">
        <f>IF(ISERROR(MATCH('南(13時刻)'!AL29,予選学校名!$H$3:$H$16,0)),"",INDEX(予選学校名!$H$3:$K$16,MATCH('南(13時刻)'!AL29,予選学校名!$H$3:$H$16,0),2))</f>
        <v>布水</v>
      </c>
      <c r="AN29" s="978"/>
      <c r="AO29" s="979"/>
      <c r="AP29" s="979"/>
      <c r="AQ29" s="980"/>
      <c r="AR29" s="980"/>
      <c r="AS29" s="980"/>
      <c r="AT29" s="981"/>
      <c r="AU29" s="670" t="str">
        <f>VLOOKUP(AN33,$BW$1:$CB$10,6)</f>
        <v>16日
10:15</v>
      </c>
      <c r="AV29" s="671"/>
      <c r="AW29" s="671"/>
      <c r="AX29" s="671"/>
      <c r="AY29" s="671"/>
      <c r="AZ29" s="671"/>
      <c r="BA29" s="672"/>
      <c r="BB29" s="670" t="str">
        <f>VLOOKUP(AN37,$BW$1:$CB$10,6)</f>
        <v>15日
14:00</v>
      </c>
      <c r="BC29" s="671"/>
      <c r="BD29" s="671"/>
      <c r="BE29" s="671"/>
      <c r="BF29" s="671"/>
      <c r="BG29" s="671"/>
      <c r="BH29" s="672"/>
      <c r="BI29" s="670" t="str">
        <f>VLOOKUP(AN41,$BW$1:$CB$10,6)</f>
        <v>15日
9:00</v>
      </c>
      <c r="BJ29" s="969"/>
      <c r="BK29" s="969"/>
      <c r="BL29" s="969"/>
      <c r="BM29" s="969"/>
      <c r="BN29" s="969"/>
      <c r="BO29" s="969"/>
      <c r="BP29" s="970"/>
      <c r="BQ29" s="608" t="str">
        <f>IF(COUNT(AN30:BP30)=0,"",COUNTIF(AN29:BP29,"○")*3+COUNTIF(AN29:BP29,"△"))</f>
        <v/>
      </c>
      <c r="BR29" s="608" t="str">
        <f>IF(BQ29="","",SUM(AR29:AR44)/2-SUM(AN29:AN44))</f>
        <v/>
      </c>
      <c r="BS29" s="608" t="str">
        <f>IF(BQ29="","",SUM(AR29:AR44)/2)</f>
        <v/>
      </c>
      <c r="BT29" s="608" t="str">
        <f>IF(OR(BQ29="",MOD(COUNT(AN29:BP29),2)=1),"",RANK(BU29,$BU$29:$BU$44))</f>
        <v/>
      </c>
      <c r="BU29" s="76" t="str">
        <f>IF(OR(BQ29="",MOD(COUNT(AN29:BP29),2)=1),"",BQ29*10000+BR29*100+BS29)</f>
        <v/>
      </c>
    </row>
    <row r="30" spans="1:73" x14ac:dyDescent="0.15">
      <c r="C30" s="938"/>
      <c r="D30" s="640"/>
      <c r="E30" s="641"/>
      <c r="F30" s="641"/>
      <c r="G30" s="641"/>
      <c r="H30" s="641"/>
      <c r="I30" s="641"/>
      <c r="J30" s="642"/>
      <c r="K30" s="673"/>
      <c r="L30" s="674"/>
      <c r="M30" s="674"/>
      <c r="N30" s="674"/>
      <c r="O30" s="674"/>
      <c r="P30" s="674"/>
      <c r="Q30" s="675"/>
      <c r="R30" s="673"/>
      <c r="S30" s="674"/>
      <c r="T30" s="674"/>
      <c r="U30" s="674"/>
      <c r="V30" s="674"/>
      <c r="W30" s="674"/>
      <c r="X30" s="675"/>
      <c r="Y30" s="193"/>
      <c r="AB30" s="76" t="s">
        <v>92</v>
      </c>
      <c r="AE30" s="194"/>
      <c r="AF30" s="608"/>
      <c r="AG30" s="608"/>
      <c r="AH30" s="608"/>
      <c r="AI30" s="608"/>
      <c r="AJ30" s="76"/>
      <c r="AK30" s="76"/>
      <c r="AM30" s="938"/>
      <c r="AN30" s="982"/>
      <c r="AO30" s="983"/>
      <c r="AP30" s="983"/>
      <c r="AQ30" s="983"/>
      <c r="AR30" s="983"/>
      <c r="AS30" s="983"/>
      <c r="AT30" s="984"/>
      <c r="AU30" s="673"/>
      <c r="AV30" s="674"/>
      <c r="AW30" s="674"/>
      <c r="AX30" s="674"/>
      <c r="AY30" s="674"/>
      <c r="AZ30" s="674"/>
      <c r="BA30" s="675"/>
      <c r="BB30" s="673"/>
      <c r="BC30" s="674"/>
      <c r="BD30" s="674"/>
      <c r="BE30" s="674"/>
      <c r="BF30" s="674"/>
      <c r="BG30" s="674"/>
      <c r="BH30" s="675"/>
      <c r="BI30" s="971"/>
      <c r="BJ30" s="972"/>
      <c r="BK30" s="972"/>
      <c r="BL30" s="972"/>
      <c r="BM30" s="972"/>
      <c r="BN30" s="972"/>
      <c r="BO30" s="972"/>
      <c r="BP30" s="973"/>
      <c r="BQ30" s="608"/>
      <c r="BR30" s="608"/>
      <c r="BS30" s="608"/>
      <c r="BT30" s="608"/>
      <c r="BU30" s="76"/>
    </row>
    <row r="31" spans="1:73" x14ac:dyDescent="0.15">
      <c r="C31" s="938"/>
      <c r="D31" s="640"/>
      <c r="E31" s="641"/>
      <c r="F31" s="641"/>
      <c r="G31" s="641"/>
      <c r="H31" s="641"/>
      <c r="I31" s="641"/>
      <c r="J31" s="642"/>
      <c r="K31" s="673"/>
      <c r="L31" s="674"/>
      <c r="M31" s="674"/>
      <c r="N31" s="674"/>
      <c r="O31" s="674"/>
      <c r="P31" s="674"/>
      <c r="Q31" s="675"/>
      <c r="R31" s="673"/>
      <c r="S31" s="674"/>
      <c r="T31" s="674"/>
      <c r="U31" s="674"/>
      <c r="V31" s="674"/>
      <c r="W31" s="674"/>
      <c r="X31" s="675"/>
      <c r="Y31" s="193"/>
      <c r="AB31" s="76" t="s">
        <v>92</v>
      </c>
      <c r="AE31" s="194"/>
      <c r="AF31" s="608"/>
      <c r="AG31" s="608"/>
      <c r="AH31" s="608"/>
      <c r="AI31" s="608"/>
      <c r="AJ31" s="76"/>
      <c r="AK31" s="76"/>
      <c r="AM31" s="938"/>
      <c r="AN31" s="982"/>
      <c r="AO31" s="983"/>
      <c r="AP31" s="983"/>
      <c r="AQ31" s="983"/>
      <c r="AR31" s="983"/>
      <c r="AS31" s="983"/>
      <c r="AT31" s="984"/>
      <c r="AU31" s="673"/>
      <c r="AV31" s="674"/>
      <c r="AW31" s="674"/>
      <c r="AX31" s="674"/>
      <c r="AY31" s="674"/>
      <c r="AZ31" s="674"/>
      <c r="BA31" s="675"/>
      <c r="BB31" s="673"/>
      <c r="BC31" s="674"/>
      <c r="BD31" s="674"/>
      <c r="BE31" s="674"/>
      <c r="BF31" s="674"/>
      <c r="BG31" s="674"/>
      <c r="BH31" s="675"/>
      <c r="BI31" s="971"/>
      <c r="BJ31" s="972"/>
      <c r="BK31" s="972"/>
      <c r="BL31" s="972"/>
      <c r="BM31" s="972"/>
      <c r="BN31" s="972"/>
      <c r="BO31" s="972"/>
      <c r="BP31" s="973"/>
      <c r="BQ31" s="608"/>
      <c r="BR31" s="608"/>
      <c r="BS31" s="608"/>
      <c r="BT31" s="608"/>
      <c r="BU31" s="76"/>
    </row>
    <row r="32" spans="1:73" ht="3.75" customHeight="1" x14ac:dyDescent="0.15">
      <c r="C32" s="938"/>
      <c r="D32" s="643"/>
      <c r="E32" s="644"/>
      <c r="F32" s="644"/>
      <c r="G32" s="644"/>
      <c r="H32" s="644"/>
      <c r="I32" s="644"/>
      <c r="J32" s="645"/>
      <c r="K32" s="676"/>
      <c r="L32" s="677"/>
      <c r="M32" s="677"/>
      <c r="N32" s="677"/>
      <c r="O32" s="677"/>
      <c r="P32" s="677"/>
      <c r="Q32" s="678"/>
      <c r="R32" s="676"/>
      <c r="S32" s="677"/>
      <c r="T32" s="677"/>
      <c r="U32" s="677"/>
      <c r="V32" s="677"/>
      <c r="W32" s="677"/>
      <c r="X32" s="678"/>
      <c r="Y32" s="195"/>
      <c r="Z32" s="196"/>
      <c r="AA32" s="196"/>
      <c r="AB32" s="197"/>
      <c r="AC32" s="196"/>
      <c r="AD32" s="196"/>
      <c r="AE32" s="198"/>
      <c r="AF32" s="608"/>
      <c r="AG32" s="608"/>
      <c r="AH32" s="608"/>
      <c r="AI32" s="608"/>
      <c r="AJ32" s="76"/>
      <c r="AK32" s="76"/>
      <c r="AM32" s="938"/>
      <c r="AN32" s="985"/>
      <c r="AO32" s="986"/>
      <c r="AP32" s="986"/>
      <c r="AQ32" s="986"/>
      <c r="AR32" s="986"/>
      <c r="AS32" s="986"/>
      <c r="AT32" s="987"/>
      <c r="AU32" s="676"/>
      <c r="AV32" s="677"/>
      <c r="AW32" s="677"/>
      <c r="AX32" s="677"/>
      <c r="AY32" s="677"/>
      <c r="AZ32" s="677"/>
      <c r="BA32" s="678"/>
      <c r="BB32" s="676"/>
      <c r="BC32" s="677"/>
      <c r="BD32" s="677"/>
      <c r="BE32" s="677"/>
      <c r="BF32" s="677"/>
      <c r="BG32" s="677"/>
      <c r="BH32" s="678"/>
      <c r="BI32" s="974"/>
      <c r="BJ32" s="975"/>
      <c r="BK32" s="975"/>
      <c r="BL32" s="975"/>
      <c r="BM32" s="975"/>
      <c r="BN32" s="975"/>
      <c r="BO32" s="975"/>
      <c r="BP32" s="976"/>
      <c r="BQ32" s="608"/>
      <c r="BR32" s="608"/>
      <c r="BS32" s="608"/>
      <c r="BT32" s="608"/>
      <c r="BU32" s="76"/>
    </row>
    <row r="33" spans="1:106" ht="14.25" customHeight="1" x14ac:dyDescent="0.15">
      <c r="A33" s="62"/>
      <c r="B33" s="62">
        <v>5</v>
      </c>
      <c r="C33" s="938" t="str">
        <f>IF(ISERROR(MATCH('南(13時刻)'!B33,予選学校名!$H$3:$H$16,0)),"",INDEX(予選学校名!$H$3:$K$16,MATCH('南(13時刻)'!B33,予選学校名!$H$3:$H$16,0),2))</f>
        <v>寺井</v>
      </c>
      <c r="D33" s="977" t="s">
        <v>165</v>
      </c>
      <c r="E33" s="654"/>
      <c r="F33" s="654"/>
      <c r="G33" s="654"/>
      <c r="H33" s="654"/>
      <c r="I33" s="654"/>
      <c r="J33" s="655"/>
      <c r="K33" s="988"/>
      <c r="L33" s="989"/>
      <c r="M33" s="989"/>
      <c r="N33" s="990"/>
      <c r="O33" s="990"/>
      <c r="P33" s="990"/>
      <c r="Q33" s="991"/>
      <c r="R33" s="670" t="str">
        <f>VLOOKUP(K37,$BW$1:$CB$10,6)</f>
        <v>16日
9:00</v>
      </c>
      <c r="S33" s="671"/>
      <c r="T33" s="671"/>
      <c r="U33" s="671"/>
      <c r="V33" s="671"/>
      <c r="W33" s="671"/>
      <c r="X33" s="672"/>
      <c r="Y33" s="940"/>
      <c r="Z33" s="937"/>
      <c r="AA33" s="937"/>
      <c r="AB33" s="192"/>
      <c r="AC33" s="937"/>
      <c r="AD33" s="937"/>
      <c r="AE33" s="939"/>
      <c r="AF33" s="608" t="str">
        <f>IF(COUNT(D34:AE34)=0,"",COUNTIF(D33:AE33,"○")*3+COUNTIF(D33:AE33,"△"))</f>
        <v/>
      </c>
      <c r="AG33" s="608" t="str">
        <f>IF(AF33="","",SUM(O29:O40)/2-SUM(M29:M40))</f>
        <v/>
      </c>
      <c r="AH33" s="608" t="str">
        <f>IF(AF33="","",SUM(O29:O40)/2)</f>
        <v/>
      </c>
      <c r="AI33" s="608" t="str">
        <f>IF(OR(AF33="",MOD(COUNT(D33:AE33),2)=1),"",RANK(AJ33,$AJ$29:$AJ$44))</f>
        <v/>
      </c>
      <c r="AJ33" s="76" t="str">
        <f>IF(OR(AF33="",MOD(COUNT(D33:AE33),2)=1),"",AF33*10000+AG33*100+AH33)</f>
        <v/>
      </c>
      <c r="AK33" s="76"/>
      <c r="AL33" s="62">
        <v>11</v>
      </c>
      <c r="AM33" s="938" t="str">
        <f>IF(ISERROR(MATCH('南(13時刻)'!AL33,予選学校名!$H$3:$H$16,0)),"",INDEX(予選学校名!$H$3:$K$16,MATCH('南(13時刻)'!AL33,予選学校名!$H$3:$H$16,0),2))</f>
        <v>丸内</v>
      </c>
      <c r="AN33" s="977" t="s">
        <v>166</v>
      </c>
      <c r="AO33" s="654"/>
      <c r="AP33" s="654"/>
      <c r="AQ33" s="654"/>
      <c r="AR33" s="654"/>
      <c r="AS33" s="654"/>
      <c r="AT33" s="655"/>
      <c r="AU33" s="988"/>
      <c r="AV33" s="989"/>
      <c r="AW33" s="989"/>
      <c r="AX33" s="990"/>
      <c r="AY33" s="990"/>
      <c r="AZ33" s="990"/>
      <c r="BA33" s="991"/>
      <c r="BB33" s="670" t="str">
        <f>VLOOKUP(AU37,$BW$1:$CB$10,6)</f>
        <v>15日
10:15</v>
      </c>
      <c r="BC33" s="671"/>
      <c r="BD33" s="671"/>
      <c r="BE33" s="671"/>
      <c r="BF33" s="671"/>
      <c r="BG33" s="671"/>
      <c r="BH33" s="672"/>
      <c r="BI33" s="670" t="str">
        <f>VLOOKUP(AU41,$BW$1:$CB$10,6)</f>
        <v>15日
15:15</v>
      </c>
      <c r="BJ33" s="969"/>
      <c r="BK33" s="969"/>
      <c r="BL33" s="969"/>
      <c r="BM33" s="969"/>
      <c r="BN33" s="969"/>
      <c r="BO33" s="969"/>
      <c r="BP33" s="970"/>
      <c r="BQ33" s="608" t="str">
        <f>IF(COUNT(AN34:BP34)=0,"",COUNTIF(AN33:BP33,"○")*3+COUNTIF(AN33:BP33,"△"))</f>
        <v/>
      </c>
      <c r="BR33" s="608" t="str">
        <f>IF(BQ33="","",SUM(AY29:AY44)/2-SUM(AU29:AU44))</f>
        <v/>
      </c>
      <c r="BS33" s="608" t="str">
        <f>IF(BQ33="","",SUM(AY29:AY44)/2)</f>
        <v/>
      </c>
      <c r="BT33" s="608" t="str">
        <f>IF(OR(BQ33="",MOD(COUNT(AN33:BP33),2)=1),"",RANK(BU33,$BU$29:$BU$44))</f>
        <v/>
      </c>
      <c r="BU33" s="76" t="str">
        <f>IF(OR(BQ33="",MOD(COUNT(AN33:BP33),2)=1),"",BQ33*10000+BR33*100+BS33)</f>
        <v/>
      </c>
    </row>
    <row r="34" spans="1:106" ht="14.25" customHeight="1" x14ac:dyDescent="0.15">
      <c r="A34" s="62"/>
      <c r="C34" s="938"/>
      <c r="D34" s="656"/>
      <c r="E34" s="657"/>
      <c r="F34" s="657"/>
      <c r="G34" s="657"/>
      <c r="H34" s="657"/>
      <c r="I34" s="657"/>
      <c r="J34" s="658"/>
      <c r="K34" s="992"/>
      <c r="L34" s="993"/>
      <c r="M34" s="993"/>
      <c r="N34" s="993"/>
      <c r="O34" s="993"/>
      <c r="P34" s="993"/>
      <c r="Q34" s="994"/>
      <c r="R34" s="673"/>
      <c r="S34" s="674"/>
      <c r="T34" s="674"/>
      <c r="U34" s="674"/>
      <c r="V34" s="674"/>
      <c r="W34" s="674"/>
      <c r="X34" s="675"/>
      <c r="Y34" s="193"/>
      <c r="AB34" s="76" t="s">
        <v>92</v>
      </c>
      <c r="AE34" s="194"/>
      <c r="AF34" s="608"/>
      <c r="AG34" s="608"/>
      <c r="AH34" s="608"/>
      <c r="AI34" s="608"/>
      <c r="AJ34" s="76"/>
      <c r="AK34" s="76"/>
      <c r="AM34" s="938"/>
      <c r="AN34" s="656"/>
      <c r="AO34" s="657"/>
      <c r="AP34" s="657"/>
      <c r="AQ34" s="657"/>
      <c r="AR34" s="657"/>
      <c r="AS34" s="657"/>
      <c r="AT34" s="658"/>
      <c r="AU34" s="992"/>
      <c r="AV34" s="993"/>
      <c r="AW34" s="993"/>
      <c r="AX34" s="993"/>
      <c r="AY34" s="993"/>
      <c r="AZ34" s="993"/>
      <c r="BA34" s="994"/>
      <c r="BB34" s="673"/>
      <c r="BC34" s="674"/>
      <c r="BD34" s="674"/>
      <c r="BE34" s="674"/>
      <c r="BF34" s="674"/>
      <c r="BG34" s="674"/>
      <c r="BH34" s="675"/>
      <c r="BI34" s="971"/>
      <c r="BJ34" s="972"/>
      <c r="BK34" s="972"/>
      <c r="BL34" s="972"/>
      <c r="BM34" s="972"/>
      <c r="BN34" s="972"/>
      <c r="BO34" s="972"/>
      <c r="BP34" s="973"/>
      <c r="BQ34" s="608"/>
      <c r="BR34" s="608"/>
      <c r="BS34" s="608"/>
      <c r="BT34" s="608"/>
      <c r="BU34" s="76"/>
    </row>
    <row r="35" spans="1:106" ht="14.25" customHeight="1" x14ac:dyDescent="0.15">
      <c r="A35" s="62"/>
      <c r="C35" s="938"/>
      <c r="D35" s="656"/>
      <c r="E35" s="657"/>
      <c r="F35" s="657"/>
      <c r="G35" s="657"/>
      <c r="H35" s="657"/>
      <c r="I35" s="657"/>
      <c r="J35" s="658"/>
      <c r="K35" s="992"/>
      <c r="L35" s="993"/>
      <c r="M35" s="993"/>
      <c r="N35" s="993"/>
      <c r="O35" s="993"/>
      <c r="P35" s="993"/>
      <c r="Q35" s="994"/>
      <c r="R35" s="673"/>
      <c r="S35" s="674"/>
      <c r="T35" s="674"/>
      <c r="U35" s="674"/>
      <c r="V35" s="674"/>
      <c r="W35" s="674"/>
      <c r="X35" s="675"/>
      <c r="Y35" s="193"/>
      <c r="AB35" s="76" t="s">
        <v>92</v>
      </c>
      <c r="AE35" s="194"/>
      <c r="AF35" s="608"/>
      <c r="AG35" s="608"/>
      <c r="AH35" s="608"/>
      <c r="AI35" s="608"/>
      <c r="AJ35" s="76"/>
      <c r="AK35" s="76"/>
      <c r="AM35" s="938"/>
      <c r="AN35" s="656"/>
      <c r="AO35" s="657"/>
      <c r="AP35" s="657"/>
      <c r="AQ35" s="657"/>
      <c r="AR35" s="657"/>
      <c r="AS35" s="657"/>
      <c r="AT35" s="658"/>
      <c r="AU35" s="992"/>
      <c r="AV35" s="993"/>
      <c r="AW35" s="993"/>
      <c r="AX35" s="993"/>
      <c r="AY35" s="993"/>
      <c r="AZ35" s="993"/>
      <c r="BA35" s="994"/>
      <c r="BB35" s="673"/>
      <c r="BC35" s="674"/>
      <c r="BD35" s="674"/>
      <c r="BE35" s="674"/>
      <c r="BF35" s="674"/>
      <c r="BG35" s="674"/>
      <c r="BH35" s="675"/>
      <c r="BI35" s="971"/>
      <c r="BJ35" s="972"/>
      <c r="BK35" s="972"/>
      <c r="BL35" s="972"/>
      <c r="BM35" s="972"/>
      <c r="BN35" s="972"/>
      <c r="BO35" s="972"/>
      <c r="BP35" s="973"/>
      <c r="BQ35" s="608"/>
      <c r="BR35" s="608"/>
      <c r="BS35" s="608"/>
      <c r="BT35" s="608"/>
      <c r="BU35" s="76"/>
    </row>
    <row r="36" spans="1:106" ht="3.75" customHeight="1" x14ac:dyDescent="0.15">
      <c r="A36" s="62"/>
      <c r="C36" s="938"/>
      <c r="D36" s="659"/>
      <c r="E36" s="660"/>
      <c r="F36" s="660"/>
      <c r="G36" s="660"/>
      <c r="H36" s="660"/>
      <c r="I36" s="660"/>
      <c r="J36" s="661"/>
      <c r="K36" s="995"/>
      <c r="L36" s="996"/>
      <c r="M36" s="996"/>
      <c r="N36" s="996"/>
      <c r="O36" s="996"/>
      <c r="P36" s="996"/>
      <c r="Q36" s="997"/>
      <c r="R36" s="676"/>
      <c r="S36" s="677"/>
      <c r="T36" s="677"/>
      <c r="U36" s="677"/>
      <c r="V36" s="677"/>
      <c r="W36" s="677"/>
      <c r="X36" s="678"/>
      <c r="Y36" s="195"/>
      <c r="Z36" s="196"/>
      <c r="AA36" s="196"/>
      <c r="AB36" s="197"/>
      <c r="AC36" s="196"/>
      <c r="AD36" s="196"/>
      <c r="AE36" s="198"/>
      <c r="AF36" s="608"/>
      <c r="AG36" s="608"/>
      <c r="AH36" s="608"/>
      <c r="AI36" s="608"/>
      <c r="AJ36" s="76"/>
      <c r="AK36" s="76"/>
      <c r="AM36" s="938"/>
      <c r="AN36" s="659"/>
      <c r="AO36" s="660"/>
      <c r="AP36" s="660"/>
      <c r="AQ36" s="660"/>
      <c r="AR36" s="660"/>
      <c r="AS36" s="660"/>
      <c r="AT36" s="661"/>
      <c r="AU36" s="995"/>
      <c r="AV36" s="996"/>
      <c r="AW36" s="996"/>
      <c r="AX36" s="996"/>
      <c r="AY36" s="996"/>
      <c r="AZ36" s="996"/>
      <c r="BA36" s="997"/>
      <c r="BB36" s="676"/>
      <c r="BC36" s="677"/>
      <c r="BD36" s="677"/>
      <c r="BE36" s="677"/>
      <c r="BF36" s="677"/>
      <c r="BG36" s="677"/>
      <c r="BH36" s="678"/>
      <c r="BI36" s="974"/>
      <c r="BJ36" s="975"/>
      <c r="BK36" s="975"/>
      <c r="BL36" s="975"/>
      <c r="BM36" s="975"/>
      <c r="BN36" s="975"/>
      <c r="BO36" s="975"/>
      <c r="BP36" s="976"/>
      <c r="BQ36" s="608"/>
      <c r="BR36" s="608"/>
      <c r="BS36" s="608"/>
      <c r="BT36" s="608"/>
      <c r="BU36" s="76"/>
    </row>
    <row r="37" spans="1:106" ht="14.25" customHeight="1" x14ac:dyDescent="0.15">
      <c r="A37" s="62"/>
      <c r="B37" s="62">
        <v>6</v>
      </c>
      <c r="C37" s="938" t="str">
        <f>IF(ISERROR(MATCH('南(13時刻)'!B37,予選学校名!$H$3:$H$16,0)),"",INDEX(予選学校名!$H$3:$K$16,MATCH('南(13時刻)'!B37,予選学校名!$H$3:$H$16,0),2))</f>
        <v>野々市</v>
      </c>
      <c r="D37" s="977" t="s">
        <v>171</v>
      </c>
      <c r="E37" s="654"/>
      <c r="F37" s="654"/>
      <c r="G37" s="654"/>
      <c r="H37" s="654"/>
      <c r="I37" s="654"/>
      <c r="J37" s="655"/>
      <c r="K37" s="977" t="s">
        <v>168</v>
      </c>
      <c r="L37" s="654"/>
      <c r="M37" s="654"/>
      <c r="N37" s="654"/>
      <c r="O37" s="654"/>
      <c r="P37" s="654"/>
      <c r="Q37" s="655"/>
      <c r="R37" s="636"/>
      <c r="S37" s="637"/>
      <c r="T37" s="637"/>
      <c r="U37" s="638"/>
      <c r="V37" s="638"/>
      <c r="W37" s="638"/>
      <c r="X37" s="639"/>
      <c r="Y37" s="940"/>
      <c r="Z37" s="937"/>
      <c r="AA37" s="937"/>
      <c r="AB37" s="192"/>
      <c r="AC37" s="937"/>
      <c r="AD37" s="937"/>
      <c r="AE37" s="939"/>
      <c r="AF37" s="608" t="str">
        <f>IF(COUNT(D38:AE38)=0,"",COUNTIF(D37:AE37,"○")*3+COUNTIF(D37:AE37,"△"))</f>
        <v/>
      </c>
      <c r="AG37" s="608" t="str">
        <f>IF(AF37="","",SUM(V29:V40)/2-SUM(T29:T40))</f>
        <v/>
      </c>
      <c r="AH37" s="608" t="str">
        <f>IF(AF37="","",SUM(V29:V40)/2)</f>
        <v/>
      </c>
      <c r="AI37" s="608" t="str">
        <f>IF(OR(AF37="",MOD(COUNT(D37:AE37),2)=1),"",RANK(AJ37,$AJ$29:$AJ$44))</f>
        <v/>
      </c>
      <c r="AJ37" s="76" t="str">
        <f>IF(OR(AF37="",MOD(COUNT(D37:AE37),2)=1),"",AF37*10000+AG37*100+AH37)</f>
        <v/>
      </c>
      <c r="AK37" s="76"/>
      <c r="AL37" s="62">
        <v>12</v>
      </c>
      <c r="AM37" s="938" t="str">
        <f>IF(ISERROR(MATCH('南(13時刻)'!AL37,予選学校名!$H$3:$H$16,0)),"",INDEX(予選学校名!$H$3:$K$16,MATCH('南(13時刻)'!AL37,予選学校名!$H$3:$H$16,0),2))</f>
        <v/>
      </c>
      <c r="AN37" s="977" t="s">
        <v>172</v>
      </c>
      <c r="AO37" s="654"/>
      <c r="AP37" s="654"/>
      <c r="AQ37" s="654"/>
      <c r="AR37" s="654"/>
      <c r="AS37" s="654"/>
      <c r="AT37" s="655"/>
      <c r="AU37" s="977" t="s">
        <v>167</v>
      </c>
      <c r="AV37" s="654"/>
      <c r="AW37" s="654"/>
      <c r="AX37" s="654"/>
      <c r="AY37" s="654"/>
      <c r="AZ37" s="654"/>
      <c r="BA37" s="655"/>
      <c r="BB37" s="978"/>
      <c r="BC37" s="979"/>
      <c r="BD37" s="979"/>
      <c r="BE37" s="980"/>
      <c r="BF37" s="980"/>
      <c r="BG37" s="980"/>
      <c r="BH37" s="981"/>
      <c r="BI37" s="670" t="str">
        <f>VLOOKUP(BB41,$BW$1:$CB$10,6)</f>
        <v>16日
11:30</v>
      </c>
      <c r="BJ37" s="969"/>
      <c r="BK37" s="969"/>
      <c r="BL37" s="969"/>
      <c r="BM37" s="969"/>
      <c r="BN37" s="969"/>
      <c r="BO37" s="969"/>
      <c r="BP37" s="970"/>
      <c r="BQ37" s="608" t="str">
        <f>IF(COUNT(AN38:BP38)=0,"",COUNTIF(AN37:BP37,"○")*3+COUNTIF(AN37:BP37,"△"))</f>
        <v/>
      </c>
      <c r="BR37" s="608" t="str">
        <f>IF(BQ37="","",SUM(BF29:BF44)/2-SUM(BB29:BB44))</f>
        <v/>
      </c>
      <c r="BS37" s="608" t="str">
        <f>IF(BQ37="","",SUM(BF29:BF44)/2)</f>
        <v/>
      </c>
      <c r="BT37" s="608" t="str">
        <f>IF(OR(BQ37="",MOD(COUNT(AN37:BP37),2)=1),"",RANK(BU37,$BU$29:$BU$44))</f>
        <v/>
      </c>
      <c r="BU37" s="76" t="str">
        <f>IF(OR(BQ37="",MOD(COUNT(AN37:BP37),2)=1),"",BQ37*10000+BR37*100+BS37)</f>
        <v/>
      </c>
    </row>
    <row r="38" spans="1:106" ht="14.25" customHeight="1" x14ac:dyDescent="0.15">
      <c r="A38" s="62"/>
      <c r="C38" s="938"/>
      <c r="D38" s="656"/>
      <c r="E38" s="657"/>
      <c r="F38" s="657"/>
      <c r="G38" s="657"/>
      <c r="H38" s="657"/>
      <c r="I38" s="657"/>
      <c r="J38" s="658"/>
      <c r="K38" s="656"/>
      <c r="L38" s="657"/>
      <c r="M38" s="657"/>
      <c r="N38" s="657"/>
      <c r="O38" s="657"/>
      <c r="P38" s="657"/>
      <c r="Q38" s="658"/>
      <c r="R38" s="640"/>
      <c r="S38" s="641"/>
      <c r="T38" s="641"/>
      <c r="U38" s="641"/>
      <c r="V38" s="641"/>
      <c r="W38" s="641"/>
      <c r="X38" s="642"/>
      <c r="Y38" s="193"/>
      <c r="AE38" s="194"/>
      <c r="AF38" s="608"/>
      <c r="AG38" s="608"/>
      <c r="AH38" s="608"/>
      <c r="AI38" s="608"/>
      <c r="AJ38" s="76"/>
      <c r="AK38" s="76"/>
      <c r="AM38" s="938"/>
      <c r="AN38" s="656"/>
      <c r="AO38" s="657"/>
      <c r="AP38" s="657"/>
      <c r="AQ38" s="657"/>
      <c r="AR38" s="657"/>
      <c r="AS38" s="657"/>
      <c r="AT38" s="658"/>
      <c r="AU38" s="656"/>
      <c r="AV38" s="657"/>
      <c r="AW38" s="657"/>
      <c r="AX38" s="657"/>
      <c r="AY38" s="657"/>
      <c r="AZ38" s="657"/>
      <c r="BA38" s="658"/>
      <c r="BB38" s="982"/>
      <c r="BC38" s="983"/>
      <c r="BD38" s="983"/>
      <c r="BE38" s="983"/>
      <c r="BF38" s="983"/>
      <c r="BG38" s="983"/>
      <c r="BH38" s="984"/>
      <c r="BI38" s="971"/>
      <c r="BJ38" s="972"/>
      <c r="BK38" s="972"/>
      <c r="BL38" s="972"/>
      <c r="BM38" s="972"/>
      <c r="BN38" s="972"/>
      <c r="BO38" s="972"/>
      <c r="BP38" s="973"/>
      <c r="BQ38" s="608"/>
      <c r="BR38" s="608"/>
      <c r="BS38" s="608"/>
      <c r="BT38" s="608"/>
      <c r="BU38" s="76"/>
    </row>
    <row r="39" spans="1:106" ht="14.25" customHeight="1" x14ac:dyDescent="0.15">
      <c r="A39" s="62"/>
      <c r="C39" s="938"/>
      <c r="D39" s="656"/>
      <c r="E39" s="657"/>
      <c r="F39" s="657"/>
      <c r="G39" s="657"/>
      <c r="H39" s="657"/>
      <c r="I39" s="657"/>
      <c r="J39" s="658"/>
      <c r="K39" s="656"/>
      <c r="L39" s="657"/>
      <c r="M39" s="657"/>
      <c r="N39" s="657"/>
      <c r="O39" s="657"/>
      <c r="P39" s="657"/>
      <c r="Q39" s="658"/>
      <c r="R39" s="640"/>
      <c r="S39" s="641"/>
      <c r="T39" s="641"/>
      <c r="U39" s="641"/>
      <c r="V39" s="641"/>
      <c r="W39" s="641"/>
      <c r="X39" s="642"/>
      <c r="Y39" s="193"/>
      <c r="AE39" s="194"/>
      <c r="AF39" s="608"/>
      <c r="AG39" s="608"/>
      <c r="AH39" s="608"/>
      <c r="AI39" s="608"/>
      <c r="AJ39" s="76"/>
      <c r="AK39" s="76"/>
      <c r="AM39" s="938"/>
      <c r="AN39" s="656"/>
      <c r="AO39" s="657"/>
      <c r="AP39" s="657"/>
      <c r="AQ39" s="657"/>
      <c r="AR39" s="657"/>
      <c r="AS39" s="657"/>
      <c r="AT39" s="658"/>
      <c r="AU39" s="656"/>
      <c r="AV39" s="657"/>
      <c r="AW39" s="657"/>
      <c r="AX39" s="657"/>
      <c r="AY39" s="657"/>
      <c r="AZ39" s="657"/>
      <c r="BA39" s="658"/>
      <c r="BB39" s="982"/>
      <c r="BC39" s="983"/>
      <c r="BD39" s="983"/>
      <c r="BE39" s="983"/>
      <c r="BF39" s="983"/>
      <c r="BG39" s="983"/>
      <c r="BH39" s="984"/>
      <c r="BI39" s="971"/>
      <c r="BJ39" s="972"/>
      <c r="BK39" s="972"/>
      <c r="BL39" s="972"/>
      <c r="BM39" s="972"/>
      <c r="BN39" s="972"/>
      <c r="BO39" s="972"/>
      <c r="BP39" s="973"/>
      <c r="BQ39" s="608"/>
      <c r="BR39" s="608"/>
      <c r="BS39" s="608"/>
      <c r="BT39" s="608"/>
      <c r="BU39" s="76"/>
    </row>
    <row r="40" spans="1:106" ht="3.75" customHeight="1" x14ac:dyDescent="0.15">
      <c r="A40" s="62"/>
      <c r="C40" s="938"/>
      <c r="D40" s="659"/>
      <c r="E40" s="660"/>
      <c r="F40" s="660"/>
      <c r="G40" s="660"/>
      <c r="H40" s="660"/>
      <c r="I40" s="660"/>
      <c r="J40" s="661"/>
      <c r="K40" s="659"/>
      <c r="L40" s="660"/>
      <c r="M40" s="660"/>
      <c r="N40" s="660"/>
      <c r="O40" s="660"/>
      <c r="P40" s="660"/>
      <c r="Q40" s="661"/>
      <c r="R40" s="643"/>
      <c r="S40" s="644"/>
      <c r="T40" s="644"/>
      <c r="U40" s="644"/>
      <c r="V40" s="644"/>
      <c r="W40" s="644"/>
      <c r="X40" s="645"/>
      <c r="Y40" s="195"/>
      <c r="Z40" s="196"/>
      <c r="AA40" s="196"/>
      <c r="AB40" s="197"/>
      <c r="AC40" s="196"/>
      <c r="AD40" s="196"/>
      <c r="AE40" s="198"/>
      <c r="AF40" s="608"/>
      <c r="AG40" s="608"/>
      <c r="AH40" s="608"/>
      <c r="AI40" s="608"/>
      <c r="AJ40" s="76"/>
      <c r="AK40" s="76"/>
      <c r="AM40" s="938"/>
      <c r="AN40" s="659"/>
      <c r="AO40" s="660"/>
      <c r="AP40" s="660"/>
      <c r="AQ40" s="660"/>
      <c r="AR40" s="660"/>
      <c r="AS40" s="660"/>
      <c r="AT40" s="661"/>
      <c r="AU40" s="659"/>
      <c r="AV40" s="660"/>
      <c r="AW40" s="660"/>
      <c r="AX40" s="660"/>
      <c r="AY40" s="660"/>
      <c r="AZ40" s="660"/>
      <c r="BA40" s="661"/>
      <c r="BB40" s="985"/>
      <c r="BC40" s="986"/>
      <c r="BD40" s="986"/>
      <c r="BE40" s="986"/>
      <c r="BF40" s="986"/>
      <c r="BG40" s="986"/>
      <c r="BH40" s="987"/>
      <c r="BI40" s="974"/>
      <c r="BJ40" s="975"/>
      <c r="BK40" s="975"/>
      <c r="BL40" s="975"/>
      <c r="BM40" s="975"/>
      <c r="BN40" s="975"/>
      <c r="BO40" s="975"/>
      <c r="BP40" s="976"/>
      <c r="BQ40" s="608"/>
      <c r="BR40" s="608"/>
      <c r="BS40" s="608"/>
      <c r="BT40" s="608"/>
      <c r="BU40" s="76"/>
    </row>
    <row r="41" spans="1:106" x14ac:dyDescent="0.15">
      <c r="A41" s="62"/>
      <c r="C41" s="937"/>
      <c r="D41" s="611"/>
      <c r="E41" s="611"/>
      <c r="F41" s="611"/>
      <c r="G41" s="75"/>
      <c r="H41" s="611"/>
      <c r="I41" s="611"/>
      <c r="J41" s="611"/>
      <c r="K41" s="611"/>
      <c r="L41" s="611"/>
      <c r="M41" s="611"/>
      <c r="N41" s="75"/>
      <c r="O41" s="611"/>
      <c r="P41" s="611"/>
      <c r="Q41" s="611"/>
      <c r="R41" s="611"/>
      <c r="S41" s="611"/>
      <c r="T41" s="611"/>
      <c r="U41" s="75"/>
      <c r="V41" s="611"/>
      <c r="W41" s="611"/>
      <c r="X41" s="611"/>
      <c r="Y41" s="937"/>
      <c r="Z41" s="937"/>
      <c r="AA41" s="937"/>
      <c r="AB41" s="192"/>
      <c r="AC41" s="937"/>
      <c r="AD41" s="937"/>
      <c r="AE41" s="937"/>
      <c r="AF41" s="937"/>
      <c r="AG41" s="937"/>
      <c r="AH41" s="937"/>
      <c r="AI41" s="937"/>
      <c r="AJ41" s="76"/>
      <c r="AK41" s="76"/>
      <c r="AL41" s="62">
        <v>13</v>
      </c>
      <c r="AM41" s="938" t="str">
        <f>IF(ISERROR(MATCH('南(13時刻)'!AL41,予選学校名!$H$3:$H$16,0)),"",INDEX(予選学校名!$H$3:$K$16,MATCH('南(13時刻)'!AL41,予選学校名!$H$3:$H$16,0),2))</f>
        <v/>
      </c>
      <c r="AN41" s="977" t="s">
        <v>170</v>
      </c>
      <c r="AO41" s="654"/>
      <c r="AP41" s="654"/>
      <c r="AQ41" s="654"/>
      <c r="AR41" s="654"/>
      <c r="AS41" s="654"/>
      <c r="AT41" s="655"/>
      <c r="AU41" s="977" t="s">
        <v>173</v>
      </c>
      <c r="AV41" s="654"/>
      <c r="AW41" s="654"/>
      <c r="AX41" s="654"/>
      <c r="AY41" s="654"/>
      <c r="AZ41" s="654"/>
      <c r="BA41" s="655"/>
      <c r="BB41" s="977" t="s">
        <v>174</v>
      </c>
      <c r="BC41" s="654"/>
      <c r="BD41" s="654"/>
      <c r="BE41" s="654"/>
      <c r="BF41" s="654"/>
      <c r="BG41" s="654"/>
      <c r="BH41" s="655"/>
      <c r="BI41" s="959"/>
      <c r="BJ41" s="960"/>
      <c r="BK41" s="960"/>
      <c r="BL41" s="961"/>
      <c r="BM41" s="961"/>
      <c r="BN41" s="961"/>
      <c r="BO41" s="961"/>
      <c r="BP41" s="962"/>
      <c r="BQ41" s="608" t="str">
        <f>IF(COUNT(AN42:BP42)=0,"",COUNTIF(AN41:BP41,"○")*3+COUNTIF(AN41:BP41,"△"))</f>
        <v/>
      </c>
      <c r="BR41" s="608" t="str">
        <f>IF(BQ41="","",SUM(BN29:BN44)/2-SUM(BI29:BI44))</f>
        <v/>
      </c>
      <c r="BS41" s="608" t="str">
        <f>IF(BQ41="","",SUM(BN29:BN44)/2)</f>
        <v/>
      </c>
      <c r="BT41" s="608" t="str">
        <f>IF(OR(BQ41="",MOD(COUNT(AN41:BP41),2)=1),"",RANK(BU41,$BU$29:$BU$44))</f>
        <v/>
      </c>
      <c r="BU41" s="76" t="str">
        <f>IF(OR(BQ41="",MOD(COUNT(AN41:BP41),2)=1),"",BQ41*10000+BR41*100+BS41)</f>
        <v/>
      </c>
      <c r="BX41" s="635" t="s">
        <v>93</v>
      </c>
      <c r="BY41" s="635"/>
      <c r="BZ41" s="635"/>
      <c r="CA41" s="635"/>
      <c r="CB41" s="635"/>
      <c r="CC41" s="635"/>
      <c r="CD41" s="635"/>
      <c r="CE41" s="635"/>
      <c r="CF41" s="635"/>
      <c r="CG41" s="635"/>
      <c r="CH41" s="635"/>
      <c r="CI41" s="635"/>
      <c r="CJ41" s="635"/>
      <c r="CK41" s="635"/>
      <c r="CL41" s="635"/>
      <c r="CM41" s="635"/>
      <c r="CN41" s="635"/>
      <c r="CO41" s="635"/>
      <c r="CP41" s="635"/>
      <c r="CQ41" s="635"/>
      <c r="CR41" s="635"/>
      <c r="CS41" s="635"/>
      <c r="CT41" s="635"/>
      <c r="CU41" s="635"/>
      <c r="CV41" s="635"/>
      <c r="CW41" s="635"/>
      <c r="CX41" s="635"/>
    </row>
    <row r="42" spans="1:106" x14ac:dyDescent="0.15">
      <c r="A42" s="62"/>
      <c r="C42" s="615"/>
      <c r="AF42" s="615"/>
      <c r="AG42" s="615"/>
      <c r="AH42" s="615"/>
      <c r="AI42" s="615"/>
      <c r="AJ42" s="76"/>
      <c r="AK42" s="76"/>
      <c r="AM42" s="938"/>
      <c r="AN42" s="656"/>
      <c r="AO42" s="657"/>
      <c r="AP42" s="657"/>
      <c r="AQ42" s="657"/>
      <c r="AR42" s="657"/>
      <c r="AS42" s="657"/>
      <c r="AT42" s="658"/>
      <c r="AU42" s="656"/>
      <c r="AV42" s="657"/>
      <c r="AW42" s="657"/>
      <c r="AX42" s="657"/>
      <c r="AY42" s="657"/>
      <c r="AZ42" s="657"/>
      <c r="BA42" s="658"/>
      <c r="BB42" s="656"/>
      <c r="BC42" s="657"/>
      <c r="BD42" s="657"/>
      <c r="BE42" s="657"/>
      <c r="BF42" s="657"/>
      <c r="BG42" s="657"/>
      <c r="BH42" s="658"/>
      <c r="BI42" s="963"/>
      <c r="BJ42" s="964"/>
      <c r="BK42" s="964"/>
      <c r="BL42" s="964"/>
      <c r="BM42" s="964"/>
      <c r="BN42" s="964"/>
      <c r="BO42" s="964"/>
      <c r="BP42" s="965"/>
      <c r="BQ42" s="608"/>
      <c r="BR42" s="608"/>
      <c r="BS42" s="608"/>
      <c r="BT42" s="608"/>
      <c r="BU42" s="76"/>
      <c r="BX42" s="635"/>
      <c r="BY42" s="635"/>
      <c r="BZ42" s="635"/>
      <c r="CA42" s="635"/>
      <c r="CB42" s="635"/>
      <c r="CC42" s="635"/>
      <c r="CD42" s="635"/>
      <c r="CE42" s="635"/>
      <c r="CF42" s="635"/>
      <c r="CG42" s="635"/>
      <c r="CH42" s="635"/>
      <c r="CI42" s="635"/>
      <c r="CJ42" s="635"/>
      <c r="CK42" s="635"/>
      <c r="CL42" s="635"/>
      <c r="CM42" s="635"/>
      <c r="CN42" s="635"/>
      <c r="CO42" s="635"/>
      <c r="CP42" s="635"/>
      <c r="CQ42" s="635"/>
      <c r="CR42" s="635"/>
      <c r="CS42" s="635"/>
      <c r="CT42" s="635"/>
      <c r="CU42" s="635"/>
      <c r="CV42" s="635"/>
      <c r="CW42" s="635"/>
      <c r="CX42" s="635"/>
    </row>
    <row r="43" spans="1:106" x14ac:dyDescent="0.15">
      <c r="A43" s="62"/>
      <c r="C43" s="615"/>
      <c r="AF43" s="615"/>
      <c r="AG43" s="615"/>
      <c r="AH43" s="615"/>
      <c r="AI43" s="615"/>
      <c r="AJ43" s="76"/>
      <c r="AK43" s="76"/>
      <c r="AM43" s="938"/>
      <c r="AN43" s="656"/>
      <c r="AO43" s="657"/>
      <c r="AP43" s="657"/>
      <c r="AQ43" s="657"/>
      <c r="AR43" s="657"/>
      <c r="AS43" s="657"/>
      <c r="AT43" s="658"/>
      <c r="AU43" s="656"/>
      <c r="AV43" s="657"/>
      <c r="AW43" s="657"/>
      <c r="AX43" s="657"/>
      <c r="AY43" s="657"/>
      <c r="AZ43" s="657"/>
      <c r="BA43" s="658"/>
      <c r="BB43" s="656"/>
      <c r="BC43" s="657"/>
      <c r="BD43" s="657"/>
      <c r="BE43" s="657"/>
      <c r="BF43" s="657"/>
      <c r="BG43" s="657"/>
      <c r="BH43" s="658"/>
      <c r="BI43" s="963"/>
      <c r="BJ43" s="964"/>
      <c r="BK43" s="964"/>
      <c r="BL43" s="964"/>
      <c r="BM43" s="964"/>
      <c r="BN43" s="964"/>
      <c r="BO43" s="964"/>
      <c r="BP43" s="965"/>
      <c r="BQ43" s="608"/>
      <c r="BR43" s="608"/>
      <c r="BS43" s="608"/>
      <c r="BT43" s="608"/>
      <c r="BU43" s="76"/>
      <c r="BX43" s="635"/>
      <c r="BY43" s="635"/>
      <c r="BZ43" s="635"/>
      <c r="CA43" s="635"/>
      <c r="CB43" s="635"/>
      <c r="CC43" s="635"/>
      <c r="CD43" s="635"/>
      <c r="CE43" s="635"/>
      <c r="CF43" s="635"/>
      <c r="CG43" s="635"/>
      <c r="CH43" s="635"/>
      <c r="CI43" s="635"/>
      <c r="CJ43" s="635"/>
      <c r="CK43" s="635"/>
      <c r="CL43" s="635"/>
      <c r="CM43" s="635"/>
      <c r="CN43" s="635"/>
      <c r="CO43" s="635"/>
      <c r="CP43" s="635"/>
      <c r="CQ43" s="635"/>
      <c r="CR43" s="635"/>
      <c r="CS43" s="635"/>
      <c r="CT43" s="635"/>
      <c r="CU43" s="635"/>
      <c r="CV43" s="635"/>
      <c r="CW43" s="635"/>
      <c r="CX43" s="635"/>
    </row>
    <row r="44" spans="1:106" ht="3.75" customHeight="1" x14ac:dyDescent="0.15">
      <c r="A44" s="62"/>
      <c r="C44" s="615"/>
      <c r="AF44" s="615"/>
      <c r="AG44" s="615"/>
      <c r="AH44" s="615"/>
      <c r="AI44" s="615"/>
      <c r="AJ44" s="76"/>
      <c r="AK44" s="76"/>
      <c r="AM44" s="938"/>
      <c r="AN44" s="659"/>
      <c r="AO44" s="660"/>
      <c r="AP44" s="660"/>
      <c r="AQ44" s="660"/>
      <c r="AR44" s="660"/>
      <c r="AS44" s="660"/>
      <c r="AT44" s="661"/>
      <c r="AU44" s="659"/>
      <c r="AV44" s="660"/>
      <c r="AW44" s="660"/>
      <c r="AX44" s="660"/>
      <c r="AY44" s="660"/>
      <c r="AZ44" s="660"/>
      <c r="BA44" s="661"/>
      <c r="BB44" s="659"/>
      <c r="BC44" s="660"/>
      <c r="BD44" s="660"/>
      <c r="BE44" s="660"/>
      <c r="BF44" s="660"/>
      <c r="BG44" s="660"/>
      <c r="BH44" s="661"/>
      <c r="BI44" s="966"/>
      <c r="BJ44" s="967"/>
      <c r="BK44" s="967"/>
      <c r="BL44" s="967"/>
      <c r="BM44" s="967"/>
      <c r="BN44" s="967"/>
      <c r="BO44" s="967"/>
      <c r="BP44" s="968"/>
      <c r="BQ44" s="608"/>
      <c r="BR44" s="608"/>
      <c r="BS44" s="608"/>
      <c r="BT44" s="608"/>
      <c r="BU44" s="76"/>
    </row>
    <row r="46" spans="1:106" ht="43.5" customHeight="1" x14ac:dyDescent="0.15">
      <c r="A46" s="62"/>
      <c r="BX46" s="86" t="s">
        <v>146</v>
      </c>
      <c r="CV46" s="86" t="s">
        <v>147</v>
      </c>
    </row>
    <row r="47" spans="1:106" ht="22.5" customHeight="1" x14ac:dyDescent="0.15">
      <c r="A47" s="62"/>
      <c r="CA47" s="624" t="s">
        <v>95</v>
      </c>
      <c r="CB47" s="624"/>
      <c r="CC47" s="624"/>
      <c r="CD47" s="199" t="str">
        <f>IF(I3="","",I3)</f>
        <v/>
      </c>
      <c r="CY47" s="624" t="s">
        <v>148</v>
      </c>
      <c r="CZ47" s="624"/>
      <c r="DA47" s="624"/>
      <c r="DB47" s="200" t="str">
        <f>IF(AP3="","",AP3)</f>
        <v/>
      </c>
    </row>
    <row r="48" spans="1:106" ht="3" customHeight="1" x14ac:dyDescent="0.15">
      <c r="A48" s="62"/>
      <c r="CA48" s="87"/>
      <c r="CB48" s="87"/>
      <c r="CC48" s="87"/>
      <c r="CD48" s="199"/>
      <c r="CY48" s="87"/>
      <c r="CZ48" s="87"/>
      <c r="DA48" s="87"/>
      <c r="DB48" s="200"/>
    </row>
    <row r="49" spans="1:119" x14ac:dyDescent="0.15">
      <c r="A49" s="62"/>
      <c r="CG49" s="620"/>
      <c r="DE49" s="620"/>
    </row>
    <row r="50" spans="1:119" x14ac:dyDescent="0.15">
      <c r="CE50" s="624" t="str">
        <f>IF(CE53="","",SUM(CE53:CF56))</f>
        <v/>
      </c>
      <c r="CF50" s="624"/>
      <c r="CG50" s="620"/>
      <c r="CI50" s="621" t="str">
        <f>IF(CI53="","",SUM(CI53:CJ56))</f>
        <v/>
      </c>
      <c r="CJ50" s="621"/>
      <c r="DC50" s="624" t="str">
        <f>IF(DC53="","",SUM(DC53:DD56))</f>
        <v/>
      </c>
      <c r="DD50" s="624"/>
      <c r="DE50" s="620"/>
      <c r="DG50" s="621" t="str">
        <f>IF(DG53="","",SUM(DG53:DH56))</f>
        <v/>
      </c>
      <c r="DH50" s="621"/>
    </row>
    <row r="51" spans="1:119" s="85" customFormat="1" hidden="1" x14ac:dyDescent="0.15">
      <c r="A51" s="88"/>
      <c r="D51" s="88"/>
      <c r="E51" s="88"/>
      <c r="F51" s="89"/>
      <c r="G51" s="90"/>
      <c r="H51" s="91"/>
      <c r="I51" s="88"/>
      <c r="J51" s="88"/>
      <c r="K51" s="88"/>
      <c r="L51" s="88"/>
      <c r="M51" s="89"/>
      <c r="N51" s="90"/>
      <c r="O51" s="91"/>
      <c r="P51" s="88"/>
      <c r="Q51" s="88"/>
      <c r="R51" s="88"/>
      <c r="S51" s="88"/>
      <c r="T51" s="89"/>
      <c r="U51" s="90"/>
      <c r="V51" s="65"/>
      <c r="W51" s="88"/>
      <c r="X51" s="88"/>
      <c r="AB51" s="92"/>
      <c r="AN51" s="88"/>
      <c r="AO51" s="88"/>
      <c r="AP51" s="89"/>
      <c r="AQ51" s="90"/>
      <c r="AR51" s="91"/>
      <c r="AS51" s="88"/>
      <c r="AT51" s="88"/>
      <c r="AU51" s="88"/>
      <c r="AV51" s="88"/>
      <c r="AW51" s="89"/>
      <c r="AX51" s="90"/>
      <c r="AY51" s="91"/>
      <c r="AZ51" s="88"/>
      <c r="BA51" s="88"/>
      <c r="BB51" s="88"/>
      <c r="BC51" s="88"/>
      <c r="BD51" s="89"/>
      <c r="BE51" s="90"/>
      <c r="BF51" s="91"/>
      <c r="BG51" s="88"/>
      <c r="BH51" s="88"/>
      <c r="BI51" s="88"/>
      <c r="BJ51" s="88"/>
      <c r="BK51" s="89"/>
      <c r="BL51" s="90"/>
      <c r="BM51" s="90"/>
      <c r="BN51" s="91"/>
      <c r="BO51" s="88"/>
      <c r="BP51" s="88"/>
      <c r="BU51" s="62"/>
      <c r="CE51" s="629" t="str">
        <f>IF(CE53="","",SUM(CE53:CF57))</f>
        <v/>
      </c>
      <c r="CF51" s="629"/>
      <c r="CG51" s="620"/>
      <c r="CI51" s="630" t="str">
        <f>IF(CI53="","",SUM(CI53:CJ57))</f>
        <v/>
      </c>
      <c r="CJ51" s="630"/>
      <c r="DC51" s="629" t="str">
        <f>IF(DC53="","",SUM(DC53:DD57))</f>
        <v/>
      </c>
      <c r="DD51" s="629"/>
      <c r="DE51" s="620"/>
      <c r="DG51" s="630" t="str">
        <f>IF(DG53="","",SUM(DG53:DH57))</f>
        <v/>
      </c>
      <c r="DH51" s="630"/>
    </row>
    <row r="52" spans="1:119" ht="7.5" customHeight="1" thickBot="1" x14ac:dyDescent="0.2">
      <c r="CB52" s="625"/>
      <c r="CC52" s="625"/>
      <c r="CD52" s="625"/>
      <c r="CE52" s="625"/>
      <c r="CF52" s="625"/>
      <c r="CG52" s="632"/>
      <c r="CH52" s="625"/>
      <c r="CI52" s="625"/>
      <c r="CJ52" s="625"/>
      <c r="CK52" s="625"/>
      <c r="CL52" s="625"/>
      <c r="CM52" s="625"/>
      <c r="CZ52" s="625"/>
      <c r="DA52" s="625"/>
      <c r="DB52" s="625"/>
      <c r="DC52" s="625"/>
      <c r="DD52" s="625"/>
      <c r="DE52" s="632"/>
      <c r="DF52" s="625"/>
      <c r="DG52" s="625"/>
      <c r="DH52" s="625"/>
      <c r="DI52" s="625"/>
      <c r="DJ52" s="625"/>
      <c r="DK52" s="625"/>
    </row>
    <row r="53" spans="1:119" ht="14.25" customHeight="1" thickTop="1" x14ac:dyDescent="0.15">
      <c r="BY53" s="631" t="str">
        <f>IF(BY59=CC59,"",IF(CC59&lt;BY59,BX67,CD67))</f>
        <v/>
      </c>
      <c r="BZ53" s="631"/>
      <c r="CA53" s="620"/>
      <c r="CE53" s="624"/>
      <c r="CF53" s="624"/>
      <c r="CG53" s="615" t="s">
        <v>92</v>
      </c>
      <c r="CH53" s="615"/>
      <c r="CI53" s="621"/>
      <c r="CJ53" s="621"/>
      <c r="CN53" s="619"/>
      <c r="CO53" s="628" t="str">
        <f>IF(CK59=CO59,"",IF(CO59&lt;CK59,CJ67,CP67))</f>
        <v/>
      </c>
      <c r="CP53" s="628"/>
      <c r="CW53" s="631" t="str">
        <f>IF(CW59=DA59,"",IF(DA59&lt;CW59,CV67,DB67))</f>
        <v/>
      </c>
      <c r="CX53" s="631"/>
      <c r="CY53" s="620"/>
      <c r="DC53" s="624"/>
      <c r="DD53" s="624"/>
      <c r="DE53" s="615" t="s">
        <v>92</v>
      </c>
      <c r="DF53" s="615"/>
      <c r="DG53" s="621"/>
      <c r="DH53" s="621"/>
      <c r="DL53" s="619"/>
      <c r="DM53" s="628" t="str">
        <f>IF(DI59=DM59,"",IF(DM59&lt;DI59,DH67,DN67))</f>
        <v/>
      </c>
      <c r="DN53" s="628"/>
    </row>
    <row r="54" spans="1:119" x14ac:dyDescent="0.15">
      <c r="BY54" s="631"/>
      <c r="BZ54" s="631"/>
      <c r="CA54" s="620"/>
      <c r="CE54" s="624"/>
      <c r="CF54" s="624"/>
      <c r="CG54" s="615" t="s">
        <v>92</v>
      </c>
      <c r="CH54" s="615"/>
      <c r="CI54" s="621"/>
      <c r="CJ54" s="621"/>
      <c r="CN54" s="619"/>
      <c r="CO54" s="628"/>
      <c r="CP54" s="628"/>
      <c r="CW54" s="631"/>
      <c r="CX54" s="631"/>
      <c r="CY54" s="620"/>
      <c r="DC54" s="624"/>
      <c r="DD54" s="624"/>
      <c r="DE54" s="615" t="s">
        <v>92</v>
      </c>
      <c r="DF54" s="615"/>
      <c r="DG54" s="621"/>
      <c r="DH54" s="621"/>
      <c r="DL54" s="619"/>
      <c r="DM54" s="628"/>
      <c r="DN54" s="628"/>
    </row>
    <row r="55" spans="1:119" x14ac:dyDescent="0.15">
      <c r="A55" s="31" t="str">
        <f>IF(CE51=CI51,"",IF(BY53=BX67,CD67,BX67))</f>
        <v/>
      </c>
      <c r="BY55" s="631"/>
      <c r="BZ55" s="631"/>
      <c r="CA55" s="620"/>
      <c r="CE55" s="634" t="s">
        <v>175</v>
      </c>
      <c r="CF55" s="634"/>
      <c r="CG55" s="634"/>
      <c r="CH55" s="634"/>
      <c r="CI55" s="634"/>
      <c r="CJ55" s="634"/>
      <c r="CN55" s="619"/>
      <c r="CO55" s="628"/>
      <c r="CP55" s="628"/>
      <c r="CW55" s="631"/>
      <c r="CX55" s="631"/>
      <c r="CY55" s="620"/>
      <c r="DC55" s="634" t="s">
        <v>176</v>
      </c>
      <c r="DD55" s="634"/>
      <c r="DE55" s="634"/>
      <c r="DF55" s="634"/>
      <c r="DG55" s="634"/>
      <c r="DH55" s="634"/>
      <c r="DL55" s="619"/>
      <c r="DM55" s="628"/>
      <c r="DN55" s="628"/>
    </row>
    <row r="56" spans="1:119" x14ac:dyDescent="0.15">
      <c r="A56" s="31" t="str">
        <f>IF(CE51=CI51,"",IF(CO53=CP67,CJ67,CP67))</f>
        <v/>
      </c>
      <c r="BY56" s="631"/>
      <c r="BZ56" s="631"/>
      <c r="CA56" s="620"/>
      <c r="CE56" s="746">
        <v>0.58333333333333337</v>
      </c>
      <c r="CF56" s="746"/>
      <c r="CG56" s="746"/>
      <c r="CH56" s="746"/>
      <c r="CI56" s="746"/>
      <c r="CJ56" s="746"/>
      <c r="CN56" s="619"/>
      <c r="CO56" s="628"/>
      <c r="CP56" s="628"/>
      <c r="CW56" s="631"/>
      <c r="CX56" s="631"/>
      <c r="CY56" s="620"/>
      <c r="DC56" s="746">
        <v>0.54166666666666663</v>
      </c>
      <c r="DD56" s="746"/>
      <c r="DE56" s="746"/>
      <c r="DF56" s="746"/>
      <c r="DG56" s="746"/>
      <c r="DH56" s="746"/>
      <c r="DL56" s="619"/>
      <c r="DM56" s="628"/>
      <c r="DN56" s="628"/>
    </row>
    <row r="57" spans="1:119" x14ac:dyDescent="0.15">
      <c r="CA57" s="620"/>
      <c r="CE57" s="624"/>
      <c r="CF57" s="624"/>
      <c r="CG57" s="615" t="str">
        <f>IF(CE57="","","PK")</f>
        <v/>
      </c>
      <c r="CH57" s="615"/>
      <c r="CI57" s="621"/>
      <c r="CJ57" s="621"/>
      <c r="CN57" s="619"/>
      <c r="CY57" s="620"/>
      <c r="DC57" s="624"/>
      <c r="DD57" s="624"/>
      <c r="DE57" s="615" t="str">
        <f>IF(DC57="","","PK")</f>
        <v/>
      </c>
      <c r="DF57" s="615"/>
      <c r="DG57" s="621"/>
      <c r="DH57" s="621"/>
      <c r="DL57" s="619"/>
    </row>
    <row r="58" spans="1:119" x14ac:dyDescent="0.15">
      <c r="BY58" s="624" t="str">
        <f>IF(BY61="","",SUM(BY61:BZ64))</f>
        <v/>
      </c>
      <c r="BZ58" s="624"/>
      <c r="CA58" s="620"/>
      <c r="CC58" s="621" t="str">
        <f>IF(CC61="","",SUM(CC61:CD64))</f>
        <v/>
      </c>
      <c r="CD58" s="621"/>
      <c r="CG58" s="615"/>
      <c r="CH58" s="615"/>
      <c r="CK58" s="624" t="str">
        <f>IF(CK61="","",SUM(CK61:CL64))</f>
        <v/>
      </c>
      <c r="CL58" s="624"/>
      <c r="CN58" s="619"/>
      <c r="CO58" s="621" t="str">
        <f>IF(CO61="","",SUM(CO61:CP64))</f>
        <v/>
      </c>
      <c r="CP58" s="621"/>
      <c r="CW58" s="624" t="str">
        <f>IF(CW61="","",SUM(CW61:CX64))</f>
        <v/>
      </c>
      <c r="CX58" s="624"/>
      <c r="CY58" s="620"/>
      <c r="DA58" s="621" t="str">
        <f>IF(DA61="","",SUM(DA61:DB64))</f>
        <v/>
      </c>
      <c r="DB58" s="621"/>
      <c r="DE58" s="615"/>
      <c r="DF58" s="615"/>
      <c r="DI58" s="624" t="str">
        <f>IF(DI61="","",SUM(DI61:DJ64))</f>
        <v/>
      </c>
      <c r="DJ58" s="624"/>
      <c r="DL58" s="619"/>
      <c r="DM58" s="621" t="str">
        <f>IF(DM61="","",SUM(DM61:DN64))</f>
        <v/>
      </c>
      <c r="DN58" s="621"/>
    </row>
    <row r="59" spans="1:119" s="85" customFormat="1" hidden="1" x14ac:dyDescent="0.15">
      <c r="A59" s="88"/>
      <c r="D59" s="88"/>
      <c r="E59" s="88"/>
      <c r="F59" s="89"/>
      <c r="G59" s="90"/>
      <c r="H59" s="91"/>
      <c r="I59" s="88"/>
      <c r="J59" s="88"/>
      <c r="K59" s="88"/>
      <c r="L59" s="88"/>
      <c r="M59" s="89"/>
      <c r="N59" s="90"/>
      <c r="O59" s="91"/>
      <c r="P59" s="88"/>
      <c r="Q59" s="88"/>
      <c r="R59" s="88"/>
      <c r="S59" s="88"/>
      <c r="T59" s="89"/>
      <c r="U59" s="90"/>
      <c r="V59" s="65"/>
      <c r="W59" s="88"/>
      <c r="X59" s="88"/>
      <c r="AB59" s="92"/>
      <c r="AN59" s="88"/>
      <c r="AO59" s="88"/>
      <c r="AP59" s="89"/>
      <c r="AQ59" s="90"/>
      <c r="AR59" s="91"/>
      <c r="AS59" s="88"/>
      <c r="AT59" s="88"/>
      <c r="AU59" s="88"/>
      <c r="AV59" s="88"/>
      <c r="AW59" s="89"/>
      <c r="AX59" s="90"/>
      <c r="AY59" s="91"/>
      <c r="AZ59" s="88"/>
      <c r="BA59" s="88"/>
      <c r="BB59" s="88"/>
      <c r="BC59" s="88"/>
      <c r="BD59" s="89"/>
      <c r="BE59" s="90"/>
      <c r="BF59" s="91"/>
      <c r="BG59" s="88"/>
      <c r="BH59" s="88"/>
      <c r="BI59" s="88"/>
      <c r="BJ59" s="88"/>
      <c r="BK59" s="89"/>
      <c r="BL59" s="90"/>
      <c r="BM59" s="90"/>
      <c r="BN59" s="91"/>
      <c r="BO59" s="88"/>
      <c r="BP59" s="88"/>
      <c r="BU59" s="62"/>
      <c r="BY59" s="629" t="str">
        <f>IF(BY61="","",SUM(BY61:BZ65))</f>
        <v/>
      </c>
      <c r="BZ59" s="629"/>
      <c r="CA59" s="620"/>
      <c r="CC59" s="630" t="str">
        <f>IF(CC61="","",SUM(CC61:CD65))</f>
        <v/>
      </c>
      <c r="CD59" s="630"/>
      <c r="CK59" s="629" t="str">
        <f>IF(CK61="","",SUM(CK61:CL65))</f>
        <v/>
      </c>
      <c r="CL59" s="629"/>
      <c r="CN59" s="619"/>
      <c r="CO59" s="630" t="str">
        <f>IF(CO61="","",SUM(CO61:CP65))</f>
        <v/>
      </c>
      <c r="CP59" s="630"/>
      <c r="CW59" s="629" t="str">
        <f>IF(CW61="","",SUM(CW61:CX65))</f>
        <v/>
      </c>
      <c r="CX59" s="629"/>
      <c r="CY59" s="620"/>
      <c r="DA59" s="630" t="str">
        <f>IF(DA61="","",SUM(DA61:DB65))</f>
        <v/>
      </c>
      <c r="DB59" s="630"/>
      <c r="DI59" s="629" t="str">
        <f>IF(DI61="","",SUM(DI61:DJ65))</f>
        <v/>
      </c>
      <c r="DJ59" s="629"/>
      <c r="DL59" s="619"/>
      <c r="DM59" s="630" t="str">
        <f>IF(DM61="","",SUM(DM61:DN65))</f>
        <v/>
      </c>
      <c r="DN59" s="630"/>
    </row>
    <row r="60" spans="1:119" ht="7.5" customHeight="1" thickBot="1" x14ac:dyDescent="0.2">
      <c r="BY60" s="625"/>
      <c r="BZ60" s="625"/>
      <c r="CA60" s="632"/>
      <c r="CB60" s="625"/>
      <c r="CC60" s="625"/>
      <c r="CD60" s="625"/>
      <c r="CK60" s="625"/>
      <c r="CL60" s="625"/>
      <c r="CM60" s="625"/>
      <c r="CN60" s="627"/>
      <c r="CO60" s="625"/>
      <c r="CP60" s="625"/>
      <c r="CW60" s="625"/>
      <c r="CX60" s="625"/>
      <c r="CY60" s="632"/>
      <c r="CZ60" s="625"/>
      <c r="DA60" s="625"/>
      <c r="DB60" s="625"/>
      <c r="DI60" s="625"/>
      <c r="DJ60" s="625"/>
      <c r="DK60" s="625"/>
      <c r="DL60" s="627"/>
      <c r="DM60" s="625"/>
      <c r="DN60" s="625"/>
    </row>
    <row r="61" spans="1:119" ht="15" thickTop="1" x14ac:dyDescent="0.15">
      <c r="BX61" s="620"/>
      <c r="BY61" s="624"/>
      <c r="BZ61" s="624"/>
      <c r="CA61" s="615" t="s">
        <v>92</v>
      </c>
      <c r="CB61" s="615"/>
      <c r="CC61" s="621"/>
      <c r="CD61" s="621"/>
      <c r="CE61" s="619"/>
      <c r="CJ61" s="620"/>
      <c r="CK61" s="624"/>
      <c r="CL61" s="624"/>
      <c r="CM61" s="615" t="s">
        <v>92</v>
      </c>
      <c r="CN61" s="615"/>
      <c r="CO61" s="621"/>
      <c r="CP61" s="621"/>
      <c r="CQ61" s="619"/>
      <c r="CV61" s="620"/>
      <c r="CW61" s="624"/>
      <c r="CX61" s="624"/>
      <c r="CY61" s="615" t="s">
        <v>92</v>
      </c>
      <c r="CZ61" s="615"/>
      <c r="DA61" s="621"/>
      <c r="DB61" s="621"/>
      <c r="DC61" s="619"/>
      <c r="DH61" s="620"/>
      <c r="DI61" s="624"/>
      <c r="DJ61" s="624"/>
      <c r="DK61" s="615" t="s">
        <v>92</v>
      </c>
      <c r="DL61" s="615"/>
      <c r="DM61" s="621"/>
      <c r="DN61" s="621"/>
      <c r="DO61" s="619"/>
    </row>
    <row r="62" spans="1:119" x14ac:dyDescent="0.15">
      <c r="BX62" s="620"/>
      <c r="BY62" s="624"/>
      <c r="BZ62" s="624"/>
      <c r="CA62" s="615" t="s">
        <v>92</v>
      </c>
      <c r="CB62" s="615"/>
      <c r="CC62" s="621"/>
      <c r="CD62" s="621"/>
      <c r="CE62" s="619"/>
      <c r="CJ62" s="620"/>
      <c r="CK62" s="624"/>
      <c r="CL62" s="624"/>
      <c r="CM62" s="615" t="s">
        <v>92</v>
      </c>
      <c r="CN62" s="615"/>
      <c r="CO62" s="621"/>
      <c r="CP62" s="621"/>
      <c r="CQ62" s="619"/>
      <c r="CV62" s="620"/>
      <c r="CW62" s="624"/>
      <c r="CX62" s="624"/>
      <c r="CY62" s="615" t="s">
        <v>92</v>
      </c>
      <c r="CZ62" s="615"/>
      <c r="DA62" s="621"/>
      <c r="DB62" s="621"/>
      <c r="DC62" s="619"/>
      <c r="DH62" s="620"/>
      <c r="DI62" s="624"/>
      <c r="DJ62" s="624"/>
      <c r="DK62" s="615" t="s">
        <v>92</v>
      </c>
      <c r="DL62" s="615"/>
      <c r="DM62" s="621"/>
      <c r="DN62" s="621"/>
      <c r="DO62" s="619"/>
    </row>
    <row r="63" spans="1:119" x14ac:dyDescent="0.15">
      <c r="BX63" s="620"/>
      <c r="BY63" s="752" t="s">
        <v>175</v>
      </c>
      <c r="BZ63" s="634"/>
      <c r="CA63" s="634"/>
      <c r="CB63" s="634"/>
      <c r="CC63" s="634"/>
      <c r="CD63" s="750"/>
      <c r="CE63" s="619"/>
      <c r="CJ63" s="620"/>
      <c r="CK63" s="752" t="s">
        <v>176</v>
      </c>
      <c r="CL63" s="634"/>
      <c r="CM63" s="634"/>
      <c r="CN63" s="634"/>
      <c r="CO63" s="634"/>
      <c r="CP63" s="750"/>
      <c r="CQ63" s="619"/>
      <c r="CV63" s="620"/>
      <c r="CW63" s="752" t="s">
        <v>176</v>
      </c>
      <c r="CX63" s="634"/>
      <c r="CY63" s="634"/>
      <c r="CZ63" s="634"/>
      <c r="DA63" s="634"/>
      <c r="DB63" s="750"/>
      <c r="DC63" s="619"/>
      <c r="DH63" s="620"/>
      <c r="DI63" s="752" t="s">
        <v>175</v>
      </c>
      <c r="DJ63" s="634"/>
      <c r="DK63" s="634"/>
      <c r="DL63" s="634"/>
      <c r="DM63" s="634"/>
      <c r="DN63" s="750"/>
      <c r="DO63" s="619"/>
    </row>
    <row r="64" spans="1:119" x14ac:dyDescent="0.15">
      <c r="BX64" s="620"/>
      <c r="BY64" s="766">
        <v>0.44444444444444442</v>
      </c>
      <c r="BZ64" s="739"/>
      <c r="CA64" s="739"/>
      <c r="CB64" s="739"/>
      <c r="CC64" s="739"/>
      <c r="CD64" s="767"/>
      <c r="CE64" s="619"/>
      <c r="CJ64" s="620"/>
      <c r="CK64" s="766">
        <v>0.44444444444444442</v>
      </c>
      <c r="CL64" s="739"/>
      <c r="CM64" s="739"/>
      <c r="CN64" s="739"/>
      <c r="CO64" s="739"/>
      <c r="CP64" s="767"/>
      <c r="CQ64" s="619"/>
      <c r="CV64" s="620"/>
      <c r="CW64" s="753">
        <v>0.375</v>
      </c>
      <c r="CX64" s="746"/>
      <c r="CY64" s="746"/>
      <c r="CZ64" s="746"/>
      <c r="DA64" s="746"/>
      <c r="DB64" s="958"/>
      <c r="DC64" s="619"/>
      <c r="DH64" s="620"/>
      <c r="DI64" s="753">
        <v>0.375</v>
      </c>
      <c r="DJ64" s="746"/>
      <c r="DK64" s="746"/>
      <c r="DL64" s="746"/>
      <c r="DM64" s="746"/>
      <c r="DN64" s="958"/>
      <c r="DO64" s="619"/>
    </row>
    <row r="65" spans="76:122" x14ac:dyDescent="0.15">
      <c r="BX65" s="620"/>
      <c r="BY65" s="624"/>
      <c r="BZ65" s="624"/>
      <c r="CA65" s="615" t="str">
        <f>IF(BY65="","","PK")</f>
        <v/>
      </c>
      <c r="CB65" s="615"/>
      <c r="CC65" s="621"/>
      <c r="CD65" s="621"/>
      <c r="CE65" s="619"/>
      <c r="CJ65" s="620"/>
      <c r="CK65" s="624"/>
      <c r="CL65" s="624"/>
      <c r="CM65" s="615" t="str">
        <f>IF(CK65="","","PK")</f>
        <v/>
      </c>
      <c r="CN65" s="615"/>
      <c r="CO65" s="621"/>
      <c r="CP65" s="621"/>
      <c r="CQ65" s="619"/>
      <c r="CV65" s="620"/>
      <c r="CW65" s="624"/>
      <c r="CX65" s="624"/>
      <c r="CY65" s="615" t="str">
        <f>IF(CW65="","","PK")</f>
        <v/>
      </c>
      <c r="CZ65" s="615"/>
      <c r="DA65" s="621"/>
      <c r="DB65" s="621"/>
      <c r="DC65" s="619"/>
      <c r="DH65" s="620"/>
      <c r="DI65" s="624"/>
      <c r="DJ65" s="624"/>
      <c r="DK65" s="615" t="str">
        <f>IF(DI65="","","PK")</f>
        <v/>
      </c>
      <c r="DL65" s="615"/>
      <c r="DM65" s="621"/>
      <c r="DN65" s="621"/>
      <c r="DO65" s="619"/>
    </row>
    <row r="66" spans="76:122" x14ac:dyDescent="0.15">
      <c r="BX66" s="620"/>
      <c r="CA66" s="615"/>
      <c r="CB66" s="615"/>
      <c r="CE66" s="619"/>
      <c r="CJ66" s="620"/>
      <c r="CM66" s="615"/>
      <c r="CN66" s="615"/>
      <c r="CQ66" s="619"/>
      <c r="CV66" s="620"/>
      <c r="CY66" s="615"/>
      <c r="CZ66" s="615"/>
      <c r="DC66" s="619"/>
      <c r="DH66" s="620"/>
      <c r="DK66" s="615"/>
      <c r="DL66" s="615"/>
      <c r="DO66" s="619"/>
    </row>
    <row r="67" spans="76:122" ht="183.75" customHeight="1" x14ac:dyDescent="0.15">
      <c r="BX67" s="617" t="str">
        <f>IF(ISERROR(MATCH(1,$AI$10:$AI$25,0)),"A1位(　　　　　)",INDEX($C$10:$C$25,MATCH(1,$AI$10:$AI$25,0),1))</f>
        <v>A1位(　　　　　)</v>
      </c>
      <c r="BY67" s="617"/>
      <c r="BZ67" s="94"/>
      <c r="CA67" s="94"/>
      <c r="CB67" s="94"/>
      <c r="CC67" s="94"/>
      <c r="CD67" s="617" t="str">
        <f>IF(ISERROR(MATCH(1,$BT$29:$BT$44,0)),"D1位(　　　　　)",INDEX($AM$29:$AM$44,MATCH(1,$BT$29:$BT$44,0),1))</f>
        <v>D1位(　　　　　)</v>
      </c>
      <c r="CE67" s="617"/>
      <c r="CF67" s="94"/>
      <c r="CG67" s="94"/>
      <c r="CH67" s="94"/>
      <c r="CI67" s="94"/>
      <c r="CJ67" s="617" t="str">
        <f>IF(ISERROR(MATCH(1,$BS$10:$BS$21,0)),"C1位(　　　　　)",INDEX($AM$10:$AM$25,MATCH(1,$BS$10:$BS$25,0),1))</f>
        <v>C1位(　　　　　)</v>
      </c>
      <c r="CK67" s="617"/>
      <c r="CL67" s="94"/>
      <c r="CM67" s="94"/>
      <c r="CN67" s="94"/>
      <c r="CO67" s="94"/>
      <c r="CP67" s="617" t="str">
        <f>IF(ISERROR(MATCH(1,$AI$29:$AI$44,0)),"B1位(　　　　　)",INDEX($C$29:$C$44,MATCH(1,$AI$29:$AI$44,0),1))</f>
        <v>B1位(　　　　　)</v>
      </c>
      <c r="CQ67" s="617"/>
      <c r="CR67" s="94"/>
      <c r="CS67" s="94"/>
      <c r="CT67" s="94"/>
      <c r="CU67" s="94"/>
      <c r="CV67" s="617" t="str">
        <f>IF(ISERROR(MATCH(2,$AI$10:$AI$25,0)),"A2位(　　　　　)",INDEX($C$10:$C$25,MATCH(2,$AI$10:$AI$25,0),1))</f>
        <v>A2位(　　　　　)</v>
      </c>
      <c r="CW67" s="617"/>
      <c r="CX67" s="94"/>
      <c r="CY67" s="94"/>
      <c r="CZ67" s="94"/>
      <c r="DA67" s="94"/>
      <c r="DB67" s="617" t="str">
        <f>IF(ISERROR(MATCH(2,$BT$29:$BT$44,0)),"D2位(　　　　　)",INDEX($AM$29:$AM$44,MATCH(2,$BT$29:$BT$44,0),1))</f>
        <v>D2位(　　　　　)</v>
      </c>
      <c r="DC67" s="617"/>
      <c r="DD67" s="94"/>
      <c r="DE67" s="94"/>
      <c r="DF67" s="94"/>
      <c r="DG67" s="94"/>
      <c r="DH67" s="617" t="str">
        <f>IF(ISERROR(MATCH(2,$BS$10:$BS$21,0)),"C2位(　　　　　)",INDEX($AM$10:$AM$25,MATCH(2,$BS$10:$BS$25,0),1))</f>
        <v>C2位(　　　　　)</v>
      </c>
      <c r="DI67" s="617"/>
      <c r="DJ67" s="94"/>
      <c r="DK67" s="94"/>
      <c r="DL67" s="94"/>
      <c r="DM67" s="94"/>
      <c r="DN67" s="617" t="str">
        <f>IF(ISERROR(MATCH(2,$AI$29:$AI$44,0)),"B2位(　　　　　)",INDEX($C$29:$C$44,MATCH(2,$AI$29:$AI$44,0),1))</f>
        <v>B2位(　　　　　)</v>
      </c>
      <c r="DO67" s="617"/>
      <c r="DP67" s="76"/>
      <c r="DQ67" s="76"/>
      <c r="DR67" s="76"/>
    </row>
  </sheetData>
  <mergeCells count="334">
    <mergeCell ref="I6:AG6"/>
    <mergeCell ref="AH6:AI6"/>
    <mergeCell ref="C8:J8"/>
    <mergeCell ref="AH10:AH13"/>
    <mergeCell ref="AI10:AI13"/>
    <mergeCell ref="C1:BT1"/>
    <mergeCell ref="F3:H3"/>
    <mergeCell ref="I3:AG3"/>
    <mergeCell ref="AH3:AI3"/>
    <mergeCell ref="AK3:AM3"/>
    <mergeCell ref="AP3:BJ3"/>
    <mergeCell ref="BK3:BP3"/>
    <mergeCell ref="AM8:AT8"/>
    <mergeCell ref="D9:J9"/>
    <mergeCell ref="K9:Q9"/>
    <mergeCell ref="R9:X9"/>
    <mergeCell ref="Y9:AE9"/>
    <mergeCell ref="AN9:AT9"/>
    <mergeCell ref="F4:H4"/>
    <mergeCell ref="I4:AG4"/>
    <mergeCell ref="AH4:AI4"/>
    <mergeCell ref="F5:H5"/>
    <mergeCell ref="I5:AG5"/>
    <mergeCell ref="AH5:AI5"/>
    <mergeCell ref="AU9:BA9"/>
    <mergeCell ref="BB9:BH9"/>
    <mergeCell ref="BI9:BL9"/>
    <mergeCell ref="BM9:BP9"/>
    <mergeCell ref="BM18:BP21"/>
    <mergeCell ref="BQ18:BQ21"/>
    <mergeCell ref="AN18:AT21"/>
    <mergeCell ref="C10:C13"/>
    <mergeCell ref="D10:J13"/>
    <mergeCell ref="K10:Q13"/>
    <mergeCell ref="R10:X13"/>
    <mergeCell ref="Y10:AA10"/>
    <mergeCell ref="AC10:AE10"/>
    <mergeCell ref="AH18:AH21"/>
    <mergeCell ref="AI18:AI21"/>
    <mergeCell ref="AM18:AM21"/>
    <mergeCell ref="BS10:BS13"/>
    <mergeCell ref="C14:C17"/>
    <mergeCell ref="D14:J17"/>
    <mergeCell ref="K14:Q17"/>
    <mergeCell ref="R14:X17"/>
    <mergeCell ref="Y14:AA14"/>
    <mergeCell ref="AC14:AE14"/>
    <mergeCell ref="AF14:AF17"/>
    <mergeCell ref="AG14:AG17"/>
    <mergeCell ref="AH14:AH17"/>
    <mergeCell ref="AU10:BA13"/>
    <mergeCell ref="BB10:BH13"/>
    <mergeCell ref="BI10:BL13"/>
    <mergeCell ref="BM10:BP13"/>
    <mergeCell ref="BQ10:BQ13"/>
    <mergeCell ref="BR10:BR13"/>
    <mergeCell ref="AF10:AF13"/>
    <mergeCell ref="AG10:AG13"/>
    <mergeCell ref="AM10:AM13"/>
    <mergeCell ref="AN10:AT13"/>
    <mergeCell ref="BM14:BP17"/>
    <mergeCell ref="BQ14:BQ17"/>
    <mergeCell ref="V22:X22"/>
    <mergeCell ref="Y22:AA22"/>
    <mergeCell ref="AC22:AE22"/>
    <mergeCell ref="BR14:BR17"/>
    <mergeCell ref="BS14:BS17"/>
    <mergeCell ref="C18:C21"/>
    <mergeCell ref="D18:J21"/>
    <mergeCell ref="K18:Q21"/>
    <mergeCell ref="R18:X21"/>
    <mergeCell ref="Y18:AA18"/>
    <mergeCell ref="AC18:AE18"/>
    <mergeCell ref="AI14:AI17"/>
    <mergeCell ref="AM14:AM17"/>
    <mergeCell ref="AN14:AT17"/>
    <mergeCell ref="AU14:BA17"/>
    <mergeCell ref="BB14:BH17"/>
    <mergeCell ref="BI14:BL17"/>
    <mergeCell ref="BS18:BS21"/>
    <mergeCell ref="AU18:BA21"/>
    <mergeCell ref="BB18:BH21"/>
    <mergeCell ref="BI18:BL21"/>
    <mergeCell ref="BR18:BR21"/>
    <mergeCell ref="AF18:AF21"/>
    <mergeCell ref="AG18:AG21"/>
    <mergeCell ref="BQ22:BQ25"/>
    <mergeCell ref="BR22:BR25"/>
    <mergeCell ref="BS22:BS25"/>
    <mergeCell ref="BT22:BT25"/>
    <mergeCell ref="C27:J27"/>
    <mergeCell ref="AM27:AT27"/>
    <mergeCell ref="AR22:AT22"/>
    <mergeCell ref="AU22:AW22"/>
    <mergeCell ref="AY22:BA22"/>
    <mergeCell ref="BB22:BD22"/>
    <mergeCell ref="BF22:BH22"/>
    <mergeCell ref="BI22:BP25"/>
    <mergeCell ref="AF22:AF25"/>
    <mergeCell ref="AG22:AG25"/>
    <mergeCell ref="AH22:AH25"/>
    <mergeCell ref="AI22:AI25"/>
    <mergeCell ref="AM22:AM25"/>
    <mergeCell ref="AN22:AP22"/>
    <mergeCell ref="C22:C25"/>
    <mergeCell ref="D22:F22"/>
    <mergeCell ref="H22:J22"/>
    <mergeCell ref="K22:M22"/>
    <mergeCell ref="O22:Q22"/>
    <mergeCell ref="R22:T22"/>
    <mergeCell ref="BB28:BH28"/>
    <mergeCell ref="BI28:BP28"/>
    <mergeCell ref="C29:C32"/>
    <mergeCell ref="D29:J32"/>
    <mergeCell ref="K29:Q32"/>
    <mergeCell ref="R29:X32"/>
    <mergeCell ref="Y29:AA29"/>
    <mergeCell ref="AC29:AE29"/>
    <mergeCell ref="AF29:AF32"/>
    <mergeCell ref="AG29:AG32"/>
    <mergeCell ref="D28:J28"/>
    <mergeCell ref="K28:Q28"/>
    <mergeCell ref="R28:X28"/>
    <mergeCell ref="Y28:AE28"/>
    <mergeCell ref="AN28:AT28"/>
    <mergeCell ref="AU28:BA28"/>
    <mergeCell ref="BI29:BP32"/>
    <mergeCell ref="BQ29:BQ32"/>
    <mergeCell ref="BR29:BR32"/>
    <mergeCell ref="BS29:BS32"/>
    <mergeCell ref="BT29:BT32"/>
    <mergeCell ref="C33:C36"/>
    <mergeCell ref="D33:J36"/>
    <mergeCell ref="K33:Q36"/>
    <mergeCell ref="R33:X36"/>
    <mergeCell ref="Y33:AA33"/>
    <mergeCell ref="AH29:AH32"/>
    <mergeCell ref="AI29:AI32"/>
    <mergeCell ref="AM29:AM32"/>
    <mergeCell ref="AN29:AT32"/>
    <mergeCell ref="AU29:BA32"/>
    <mergeCell ref="BB29:BH32"/>
    <mergeCell ref="BS33:BS36"/>
    <mergeCell ref="BT33:BT36"/>
    <mergeCell ref="AU33:BA36"/>
    <mergeCell ref="BB33:BH36"/>
    <mergeCell ref="BI33:BP36"/>
    <mergeCell ref="BQ33:BQ36"/>
    <mergeCell ref="BR33:BR36"/>
    <mergeCell ref="C37:C40"/>
    <mergeCell ref="D37:J40"/>
    <mergeCell ref="K37:Q40"/>
    <mergeCell ref="R37:X40"/>
    <mergeCell ref="Y37:AA37"/>
    <mergeCell ref="AC37:AE37"/>
    <mergeCell ref="AF37:AF40"/>
    <mergeCell ref="AG37:AG40"/>
    <mergeCell ref="AN33:AT36"/>
    <mergeCell ref="AC33:AE33"/>
    <mergeCell ref="AF33:AF36"/>
    <mergeCell ref="AG33:AG36"/>
    <mergeCell ref="AH33:AH36"/>
    <mergeCell ref="AI33:AI36"/>
    <mergeCell ref="AM33:AM36"/>
    <mergeCell ref="BI37:BP40"/>
    <mergeCell ref="BQ37:BQ40"/>
    <mergeCell ref="BR37:BR40"/>
    <mergeCell ref="BS37:BS40"/>
    <mergeCell ref="BT37:BT40"/>
    <mergeCell ref="C41:C44"/>
    <mergeCell ref="D41:F41"/>
    <mergeCell ref="H41:J41"/>
    <mergeCell ref="K41:M41"/>
    <mergeCell ref="O41:Q41"/>
    <mergeCell ref="AH37:AH40"/>
    <mergeCell ref="AI37:AI40"/>
    <mergeCell ref="AM37:AM40"/>
    <mergeCell ref="AN37:AT40"/>
    <mergeCell ref="AU37:BA40"/>
    <mergeCell ref="BB37:BH40"/>
    <mergeCell ref="AH41:AH44"/>
    <mergeCell ref="AI41:AI44"/>
    <mergeCell ref="AM41:AM44"/>
    <mergeCell ref="AN41:AT44"/>
    <mergeCell ref="AU41:BA44"/>
    <mergeCell ref="BB41:BH44"/>
    <mergeCell ref="R41:T41"/>
    <mergeCell ref="V41:X41"/>
    <mergeCell ref="Y41:AA41"/>
    <mergeCell ref="AC41:AE41"/>
    <mergeCell ref="AF41:AF44"/>
    <mergeCell ref="AG41:AG44"/>
    <mergeCell ref="CA47:CC47"/>
    <mergeCell ref="CY47:DA47"/>
    <mergeCell ref="CG49:CG52"/>
    <mergeCell ref="DE49:DE52"/>
    <mergeCell ref="CE50:CF50"/>
    <mergeCell ref="CI50:CJ50"/>
    <mergeCell ref="DC50:DD50"/>
    <mergeCell ref="BI41:BP44"/>
    <mergeCell ref="BQ41:BQ44"/>
    <mergeCell ref="BR41:BR44"/>
    <mergeCell ref="BS41:BS44"/>
    <mergeCell ref="BT41:BT44"/>
    <mergeCell ref="BX41:CX43"/>
    <mergeCell ref="DG50:DH50"/>
    <mergeCell ref="CE51:CF51"/>
    <mergeCell ref="CI51:CJ51"/>
    <mergeCell ref="DC51:DD51"/>
    <mergeCell ref="DG51:DH51"/>
    <mergeCell ref="CB52:CF52"/>
    <mergeCell ref="CH52:CM52"/>
    <mergeCell ref="CZ52:DD52"/>
    <mergeCell ref="DF52:DK52"/>
    <mergeCell ref="BY53:BZ56"/>
    <mergeCell ref="CA53:CA60"/>
    <mergeCell ref="CE53:CF53"/>
    <mergeCell ref="CG53:CH53"/>
    <mergeCell ref="CI53:CJ53"/>
    <mergeCell ref="CN53:CN60"/>
    <mergeCell ref="CE56:CJ56"/>
    <mergeCell ref="CE57:CF57"/>
    <mergeCell ref="CG57:CH57"/>
    <mergeCell ref="CI57:CJ57"/>
    <mergeCell ref="CE55:CJ55"/>
    <mergeCell ref="BY60:BZ60"/>
    <mergeCell ref="CB60:CD60"/>
    <mergeCell ref="CK60:CM60"/>
    <mergeCell ref="DC55:DH55"/>
    <mergeCell ref="CO53:CP56"/>
    <mergeCell ref="CW53:CX56"/>
    <mergeCell ref="CY53:CY60"/>
    <mergeCell ref="DC53:DD53"/>
    <mergeCell ref="DE53:DF53"/>
    <mergeCell ref="DG53:DH53"/>
    <mergeCell ref="DC56:DH56"/>
    <mergeCell ref="DC57:DD57"/>
    <mergeCell ref="DE57:DF57"/>
    <mergeCell ref="DG57:DH57"/>
    <mergeCell ref="DA58:DB58"/>
    <mergeCell ref="DE58:DF58"/>
    <mergeCell ref="CO60:CP60"/>
    <mergeCell ref="CW60:CX60"/>
    <mergeCell ref="CZ60:DB60"/>
    <mergeCell ref="DI58:DJ58"/>
    <mergeCell ref="DM58:DN58"/>
    <mergeCell ref="BY59:BZ59"/>
    <mergeCell ref="CC59:CD59"/>
    <mergeCell ref="CK59:CL59"/>
    <mergeCell ref="CO59:CP59"/>
    <mergeCell ref="CW59:CX59"/>
    <mergeCell ref="DA59:DB59"/>
    <mergeCell ref="BY58:BZ58"/>
    <mergeCell ref="CC58:CD58"/>
    <mergeCell ref="CG58:CH58"/>
    <mergeCell ref="CK58:CL58"/>
    <mergeCell ref="CO58:CP58"/>
    <mergeCell ref="CW58:CX58"/>
    <mergeCell ref="DL53:DL60"/>
    <mergeCell ref="DM53:DN56"/>
    <mergeCell ref="CE54:CF54"/>
    <mergeCell ref="CG54:CH54"/>
    <mergeCell ref="CI54:CJ54"/>
    <mergeCell ref="DC54:DD54"/>
    <mergeCell ref="DE54:DF54"/>
    <mergeCell ref="DG54:DH54"/>
    <mergeCell ref="DI59:DJ59"/>
    <mergeCell ref="DM59:DN59"/>
    <mergeCell ref="DI60:DK60"/>
    <mergeCell ref="DM60:DN60"/>
    <mergeCell ref="DM61:DN61"/>
    <mergeCell ref="DO61:DO66"/>
    <mergeCell ref="BY62:BZ62"/>
    <mergeCell ref="CA62:CB62"/>
    <mergeCell ref="CC62:CD62"/>
    <mergeCell ref="CK62:CL62"/>
    <mergeCell ref="CM62:CN62"/>
    <mergeCell ref="CO62:CP62"/>
    <mergeCell ref="CW62:CX62"/>
    <mergeCell ref="CY62:CZ62"/>
    <mergeCell ref="CY61:CZ61"/>
    <mergeCell ref="DA61:DB61"/>
    <mergeCell ref="DC61:DC66"/>
    <mergeCell ref="DH61:DH66"/>
    <mergeCell ref="DI61:DJ61"/>
    <mergeCell ref="DK61:DL61"/>
    <mergeCell ref="DA62:DB62"/>
    <mergeCell ref="DI62:DJ62"/>
    <mergeCell ref="DK62:DL62"/>
    <mergeCell ref="CY65:CZ65"/>
    <mergeCell ref="CK61:CL61"/>
    <mergeCell ref="CM61:CN61"/>
    <mergeCell ref="BY64:CD64"/>
    <mergeCell ref="CK64:CP64"/>
    <mergeCell ref="CW64:DB64"/>
    <mergeCell ref="DI64:DN64"/>
    <mergeCell ref="CV61:CV66"/>
    <mergeCell ref="CW61:CX61"/>
    <mergeCell ref="CK65:CL65"/>
    <mergeCell ref="CM65:CN65"/>
    <mergeCell ref="CO65:CP65"/>
    <mergeCell ref="CW65:CX65"/>
    <mergeCell ref="BY61:BZ61"/>
    <mergeCell ref="CA61:CB61"/>
    <mergeCell ref="CC61:CD61"/>
    <mergeCell ref="CE61:CE66"/>
    <mergeCell ref="CJ61:CJ66"/>
    <mergeCell ref="BY65:BZ65"/>
    <mergeCell ref="CA65:CB65"/>
    <mergeCell ref="CC65:CD65"/>
    <mergeCell ref="DH67:DI67"/>
    <mergeCell ref="DN67:DO67"/>
    <mergeCell ref="BX67:BY67"/>
    <mergeCell ref="CD67:CE67"/>
    <mergeCell ref="CJ67:CK67"/>
    <mergeCell ref="CP67:CQ67"/>
    <mergeCell ref="CV67:CW67"/>
    <mergeCell ref="DB67:DC67"/>
    <mergeCell ref="DA65:DB65"/>
    <mergeCell ref="DI65:DJ65"/>
    <mergeCell ref="DK65:DL65"/>
    <mergeCell ref="DM65:DN65"/>
    <mergeCell ref="CA66:CB66"/>
    <mergeCell ref="CM66:CN66"/>
    <mergeCell ref="CY66:CZ66"/>
    <mergeCell ref="DK66:DL66"/>
    <mergeCell ref="BX61:BX66"/>
    <mergeCell ref="CO61:CP61"/>
    <mergeCell ref="CQ61:CQ66"/>
    <mergeCell ref="DM62:DN62"/>
    <mergeCell ref="BY63:CD63"/>
    <mergeCell ref="CK63:CP63"/>
    <mergeCell ref="CW63:DB63"/>
    <mergeCell ref="DI63:DN63"/>
  </mergeCells>
  <phoneticPr fontId="2"/>
  <conditionalFormatting sqref="BX61:BX66">
    <cfRule type="expression" dxfId="269" priority="32" stopIfTrue="1">
      <formula>$BY$59&lt;=$CC$59</formula>
    </cfRule>
  </conditionalFormatting>
  <conditionalFormatting sqref="BY60:BZ60">
    <cfRule type="expression" dxfId="268" priority="29" stopIfTrue="1">
      <formula>$BY$59&lt;=$CC$59</formula>
    </cfRule>
  </conditionalFormatting>
  <conditionalFormatting sqref="CA53:CA60">
    <cfRule type="expression" dxfId="267" priority="25" stopIfTrue="1">
      <formula>$BY$59=$CC$59</formula>
    </cfRule>
    <cfRule type="expression" dxfId="266" priority="26" stopIfTrue="1">
      <formula>$BY$59&lt;$CC$59</formula>
    </cfRule>
  </conditionalFormatting>
  <conditionalFormatting sqref="CB60:CD60">
    <cfRule type="expression" dxfId="265" priority="28" stopIfTrue="1">
      <formula>$CC$59&lt;=$BY$59</formula>
    </cfRule>
  </conditionalFormatting>
  <conditionalFormatting sqref="CB52:CF52">
    <cfRule type="expression" dxfId="264" priority="19" stopIfTrue="1">
      <formula>$CE$51&lt;=$CI$51</formula>
    </cfRule>
  </conditionalFormatting>
  <conditionalFormatting sqref="CE61:CE66">
    <cfRule type="expression" dxfId="263" priority="27" stopIfTrue="1">
      <formula>$CC$59&lt;=$BY$59</formula>
    </cfRule>
  </conditionalFormatting>
  <conditionalFormatting sqref="CG49:CG52">
    <cfRule type="expression" dxfId="262" priority="16" stopIfTrue="1">
      <formula>$CE$51=$CI$51</formula>
    </cfRule>
    <cfRule type="expression" dxfId="261" priority="17" stopIfTrue="1">
      <formula>$CE$51&lt;$CI$51</formula>
    </cfRule>
  </conditionalFormatting>
  <conditionalFormatting sqref="CH52:CM52">
    <cfRule type="expression" dxfId="260" priority="18" stopIfTrue="1">
      <formula>$CI$51&lt;=$CE$51</formula>
    </cfRule>
  </conditionalFormatting>
  <conditionalFormatting sqref="CJ61:CJ66">
    <cfRule type="expression" dxfId="259" priority="31" stopIfTrue="1">
      <formula>$CK$59&lt;=$CO$59</formula>
    </cfRule>
  </conditionalFormatting>
  <conditionalFormatting sqref="CK60:CM60">
    <cfRule type="expression" dxfId="258" priority="24" stopIfTrue="1">
      <formula>$CK$59&lt;=$CO$59</formula>
    </cfRule>
  </conditionalFormatting>
  <conditionalFormatting sqref="CN53:CN60">
    <cfRule type="expression" dxfId="257" priority="20" stopIfTrue="1">
      <formula>$CO$59=$CK$59</formula>
    </cfRule>
    <cfRule type="expression" dxfId="256" priority="21" stopIfTrue="1">
      <formula>$CO$59&lt;$CK$59</formula>
    </cfRule>
  </conditionalFormatting>
  <conditionalFormatting sqref="CO60:CP60">
    <cfRule type="expression" dxfId="255" priority="23" stopIfTrue="1">
      <formula>$CO$59&lt;=$CK$59</formula>
    </cfRule>
  </conditionalFormatting>
  <conditionalFormatting sqref="CQ61:CQ66">
    <cfRule type="expression" dxfId="254" priority="22" stopIfTrue="1">
      <formula>$CO$59&lt;=$CK$59</formula>
    </cfRule>
  </conditionalFormatting>
  <conditionalFormatting sqref="CV61:CV66">
    <cfRule type="expression" dxfId="253" priority="30" stopIfTrue="1">
      <formula>$CW$59&lt;=$DA$59</formula>
    </cfRule>
  </conditionalFormatting>
  <conditionalFormatting sqref="CW60:CX60">
    <cfRule type="expression" dxfId="252" priority="14" stopIfTrue="1">
      <formula>$CW$59&lt;=$DA$59</formula>
    </cfRule>
  </conditionalFormatting>
  <conditionalFormatting sqref="CY53:CY60">
    <cfRule type="expression" dxfId="251" priority="10" stopIfTrue="1">
      <formula>$CW$59=$DA$59</formula>
    </cfRule>
    <cfRule type="expression" dxfId="250" priority="11" stopIfTrue="1">
      <formula>$CW$59&lt;$DA$59</formula>
    </cfRule>
  </conditionalFormatting>
  <conditionalFormatting sqref="CZ60:DB60">
    <cfRule type="expression" dxfId="249" priority="13" stopIfTrue="1">
      <formula>$DA$59&lt;=$CW$59</formula>
    </cfRule>
  </conditionalFormatting>
  <conditionalFormatting sqref="CZ52:DD52">
    <cfRule type="expression" dxfId="248" priority="4" stopIfTrue="1">
      <formula>$DC$51&lt;=$DG$51</formula>
    </cfRule>
  </conditionalFormatting>
  <conditionalFormatting sqref="DC61:DC66">
    <cfRule type="expression" dxfId="247" priority="12" stopIfTrue="1">
      <formula>$DA$59&lt;=$CW$59</formula>
    </cfRule>
  </conditionalFormatting>
  <conditionalFormatting sqref="DE49:DE52">
    <cfRule type="expression" dxfId="246" priority="1" stopIfTrue="1">
      <formula>$DC$51=$DG$51</formula>
    </cfRule>
    <cfRule type="expression" dxfId="245" priority="2" stopIfTrue="1">
      <formula>$DC$51&lt;$DG$51</formula>
    </cfRule>
  </conditionalFormatting>
  <conditionalFormatting sqref="DF52:DK52">
    <cfRule type="expression" dxfId="244" priority="3" stopIfTrue="1">
      <formula>$DG$51&lt;=$DC$51</formula>
    </cfRule>
  </conditionalFormatting>
  <conditionalFormatting sqref="DH61:DH66">
    <cfRule type="expression" dxfId="243" priority="15" stopIfTrue="1">
      <formula>$DI$59&lt;=$DM$59</formula>
    </cfRule>
  </conditionalFormatting>
  <conditionalFormatting sqref="DI60:DK60">
    <cfRule type="expression" dxfId="242" priority="9" stopIfTrue="1">
      <formula>$DI$59&lt;=$DM$59</formula>
    </cfRule>
  </conditionalFormatting>
  <conditionalFormatting sqref="DL53:DL60">
    <cfRule type="expression" dxfId="241" priority="5" stopIfTrue="1">
      <formula>$DM$59=$DI$59</formula>
    </cfRule>
    <cfRule type="expression" dxfId="240" priority="6" stopIfTrue="1">
      <formula>$DM$59&lt;$DI$59</formula>
    </cfRule>
  </conditionalFormatting>
  <conditionalFormatting sqref="DM60:DN60">
    <cfRule type="expression" dxfId="239" priority="8" stopIfTrue="1">
      <formula>$DM$59&lt;=$DI$59</formula>
    </cfRule>
  </conditionalFormatting>
  <conditionalFormatting sqref="DO61:DO66">
    <cfRule type="expression" dxfId="238" priority="7" stopIfTrue="1">
      <formula>$DM$59&lt;=$DI$59</formula>
    </cfRule>
  </conditionalFormatting>
  <printOptions horizontalCentered="1"/>
  <pageMargins left="0.39370078740157483" right="0.39370078740157483" top="0.59055118110236227" bottom="0.59055118110236227" header="0.31496062992125984" footer="0.31496062992125984"/>
  <pageSetup paperSize="9" scale="77"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DQ67"/>
  <sheetViews>
    <sheetView showGridLines="0" topLeftCell="C1" zoomScale="85" zoomScaleNormal="85" workbookViewId="0">
      <selection activeCell="DH64" sqref="DH61:DN66"/>
    </sheetView>
  </sheetViews>
  <sheetFormatPr defaultColWidth="9" defaultRowHeight="14.25" x14ac:dyDescent="0.15"/>
  <cols>
    <col min="1" max="1" width="0" style="31" hidden="1" customWidth="1"/>
    <col min="2" max="2" width="3.375" style="62" hidden="1" customWidth="1"/>
    <col min="3" max="3" width="5" style="62" customWidth="1"/>
    <col min="4" max="5" width="0.625" style="31" customWidth="1"/>
    <col min="6" max="6" width="2.375" style="64" customWidth="1"/>
    <col min="7" max="7" width="2.375" style="61" customWidth="1"/>
    <col min="8" max="8" width="2.375" style="65" customWidth="1"/>
    <col min="9" max="12" width="0.625" style="31" customWidth="1"/>
    <col min="13" max="13" width="2.375" style="64" customWidth="1"/>
    <col min="14" max="14" width="2.375" style="61" customWidth="1"/>
    <col min="15" max="15" width="2.375" style="65" customWidth="1"/>
    <col min="16" max="19" width="0.625" style="31" customWidth="1"/>
    <col min="20" max="20" width="2.375" style="64" customWidth="1"/>
    <col min="21" max="21" width="2.375" style="61" customWidth="1"/>
    <col min="22" max="22" width="2.375" style="65" customWidth="1"/>
    <col min="23" max="24" width="0.625" style="31" customWidth="1"/>
    <col min="25" max="26" width="0.625" style="62" hidden="1" customWidth="1"/>
    <col min="27" max="27" width="2.375" style="62" hidden="1" customWidth="1"/>
    <col min="28" max="28" width="2.375" style="76" hidden="1" customWidth="1"/>
    <col min="29" max="29" width="2.375" style="62" hidden="1" customWidth="1"/>
    <col min="30" max="31" width="0.625" style="62" hidden="1" customWidth="1"/>
    <col min="32" max="35" width="5" style="62" customWidth="1"/>
    <col min="36" max="36" width="6.375" style="62" hidden="1" customWidth="1"/>
    <col min="37" max="37" width="2.375" style="62" customWidth="1"/>
    <col min="38" max="38" width="4.375" style="62" hidden="1" customWidth="1"/>
    <col min="39" max="39" width="5" style="62" customWidth="1"/>
    <col min="40" max="41" width="0.625" style="31" customWidth="1"/>
    <col min="42" max="42" width="2.375" style="64" customWidth="1"/>
    <col min="43" max="43" width="2.375" style="61" customWidth="1"/>
    <col min="44" max="44" width="2.375" style="65" customWidth="1"/>
    <col min="45" max="48" width="0.625" style="31" customWidth="1"/>
    <col min="49" max="49" width="2.375" style="64" customWidth="1"/>
    <col min="50" max="50" width="2.375" style="61" customWidth="1"/>
    <col min="51" max="51" width="2.375" style="65" customWidth="1"/>
    <col min="52" max="55" width="0.625" style="31" customWidth="1"/>
    <col min="56" max="56" width="2.375" style="64" customWidth="1"/>
    <col min="57" max="57" width="2.375" style="61" customWidth="1"/>
    <col min="58" max="58" width="2.375" style="65" customWidth="1"/>
    <col min="59" max="62" width="0.625" style="31" customWidth="1"/>
    <col min="63" max="63" width="2.375" style="64" customWidth="1"/>
    <col min="64" max="64" width="2.375" style="61" customWidth="1"/>
    <col min="65" max="65" width="2.375" style="65" customWidth="1"/>
    <col min="66" max="67" width="0.625" style="31" customWidth="1"/>
    <col min="68" max="71" width="5" style="62" customWidth="1"/>
    <col min="72" max="72" width="0" style="62" hidden="1" customWidth="1"/>
    <col min="73" max="73" width="9" style="62"/>
    <col min="74" max="121" width="2.375" style="62" customWidth="1"/>
    <col min="122" max="16384" width="9" style="62"/>
  </cols>
  <sheetData>
    <row r="1" spans="1:72" ht="24.75" x14ac:dyDescent="0.15">
      <c r="C1" s="63" t="str">
        <f ca="1">"令和"&amp;IF(YEAR(NOW())=2019,"元",YEAR(NOW())-2018)&amp;"年度 第"&amp;YEAR(NOW())-1999&amp;"回 加賀地区中学校サッカー大会 《 南加賀ブロック 》"</f>
        <v>令和6年度 第25回 加賀地区中学校サッカー大会 《 南加賀ブロック 》</v>
      </c>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row>
    <row r="2" spans="1:72" x14ac:dyDescent="0.15">
      <c r="A2" s="31" t="str">
        <f>IF(CD51=CH51,"",IF(CD51&gt;CH51,BX53,CN53))</f>
        <v/>
      </c>
    </row>
    <row r="3" spans="1:72" ht="25.5" customHeight="1" x14ac:dyDescent="0.15">
      <c r="A3" s="31" t="str">
        <f>IF(CD51=CH51,"",IF(CD51&lt;CH51,BX53,CN53))</f>
        <v/>
      </c>
      <c r="F3" s="634" t="s">
        <v>77</v>
      </c>
      <c r="G3" s="634"/>
      <c r="H3" s="634"/>
      <c r="I3" s="954" t="str">
        <f>IF(A2="","",IF(VLOOKUP(A2,予選学校名!$I$3:$L$32,3,FALSE)="",IF(VLOOKUP(A2,予選学校名!$I$3:$L$32,4,FALSE)="","",VLOOKUP(A2,予選学校名!$I$3:$L$32,4,FALSE)),VLOOKUP(A2,予選学校名!$I$3:$L$32,3,FALSE)&amp;"立")&amp;A2&amp;"中学校")</f>
        <v/>
      </c>
      <c r="J3" s="955"/>
      <c r="K3" s="955"/>
      <c r="L3" s="955"/>
      <c r="M3" s="955"/>
      <c r="N3" s="955"/>
      <c r="O3" s="955"/>
      <c r="P3" s="955"/>
      <c r="Q3" s="955"/>
      <c r="R3" s="955"/>
      <c r="S3" s="955"/>
      <c r="T3" s="955"/>
      <c r="U3" s="955"/>
      <c r="V3" s="955"/>
      <c r="W3" s="955"/>
      <c r="X3" s="955"/>
      <c r="Y3" s="955"/>
      <c r="Z3" s="955"/>
      <c r="AA3" s="955"/>
      <c r="AB3" s="955"/>
      <c r="AC3" s="955"/>
      <c r="AD3" s="955"/>
      <c r="AE3" s="955"/>
      <c r="AF3" s="955"/>
      <c r="AG3" s="955"/>
      <c r="AH3" s="956" t="str">
        <f>IF(A2="","","("&amp;VLOOKUP(A2,予選学校名!$I$3:$L$32,2,FALSE)&amp;")")</f>
        <v/>
      </c>
      <c r="AI3" s="956"/>
      <c r="AM3" s="62" t="s">
        <v>109</v>
      </c>
      <c r="AN3" s="62"/>
      <c r="AO3" s="62"/>
      <c r="AP3" s="954" t="str">
        <f>IF(A6="","",IF(VLOOKUP(A6,予選学校名!$I$3:$L$32,3,FALSE)="",IF(VLOOKUP(A6,予選学校名!$I$3:$L$32,4,FALSE)="","",VLOOKUP(A6,予選学校名!$I$3:$L$32,4,FALSE)),VLOOKUP(A6,予選学校名!$I$3:$L$32,3,FALSE)&amp;"立")&amp;A6&amp;"中学校")</f>
        <v/>
      </c>
      <c r="AQ3" s="954"/>
      <c r="AR3" s="954"/>
      <c r="AS3" s="954"/>
      <c r="AT3" s="954"/>
      <c r="AU3" s="954"/>
      <c r="AV3" s="954"/>
      <c r="AW3" s="954"/>
      <c r="AX3" s="954"/>
      <c r="AY3" s="954"/>
      <c r="AZ3" s="954"/>
      <c r="BA3" s="954"/>
      <c r="BB3" s="954"/>
      <c r="BC3" s="954"/>
      <c r="BD3" s="954"/>
      <c r="BE3" s="954"/>
      <c r="BF3" s="954"/>
      <c r="BG3" s="954"/>
      <c r="BH3" s="954"/>
      <c r="BI3" s="954"/>
      <c r="BJ3" s="954"/>
      <c r="BK3" s="957" t="str">
        <f>IF(A6="","",IF(VLOOKUP(A6,予選学校名!$I$3:$L$32,3,FALSE)="",IF(VLOOKUP(A6,予選学校名!$I$3:$L$32,4,FALSE)="","",VLOOKUP(A6,予選学校名!$I$3:$L$32,4,FALSE)),"("&amp;VLOOKUP(A6,予選学校名!$I$3:$L$32,2,FALSE)&amp;")"))</f>
        <v/>
      </c>
      <c r="BL3" s="957"/>
      <c r="BM3" s="957"/>
      <c r="BN3" s="957"/>
      <c r="BO3" s="957"/>
    </row>
    <row r="4" spans="1:72" ht="25.5" customHeight="1" x14ac:dyDescent="0.15">
      <c r="A4" s="31" t="str">
        <f>IF(CD51=CH51,"",IF(BX53=A2,A55,A56))</f>
        <v/>
      </c>
      <c r="F4" s="634" t="s">
        <v>79</v>
      </c>
      <c r="G4" s="634"/>
      <c r="H4" s="634"/>
      <c r="I4" s="950" t="str">
        <f>IF(A3="","",IF(VLOOKUP(A3,予選学校名!$I$3:$L$32,3,FALSE)="",IF(VLOOKUP(A3,予選学校名!$I$3:$L$32,4,FALSE)="","",VLOOKUP(A3,予選学校名!$I$3:$L$32,4,FALSE)),VLOOKUP(A3,予選学校名!$I$3:$L$32,3,FALSE)&amp;"立")&amp;A3&amp;"中学校")</f>
        <v/>
      </c>
      <c r="J4" s="951"/>
      <c r="K4" s="951"/>
      <c r="L4" s="951"/>
      <c r="M4" s="951"/>
      <c r="N4" s="951"/>
      <c r="O4" s="951"/>
      <c r="P4" s="951"/>
      <c r="Q4" s="951"/>
      <c r="R4" s="951"/>
      <c r="S4" s="951"/>
      <c r="T4" s="951"/>
      <c r="U4" s="951"/>
      <c r="V4" s="951"/>
      <c r="W4" s="951"/>
      <c r="X4" s="951"/>
      <c r="Y4" s="951"/>
      <c r="Z4" s="951"/>
      <c r="AA4" s="951"/>
      <c r="AB4" s="951"/>
      <c r="AC4" s="951"/>
      <c r="AD4" s="951"/>
      <c r="AE4" s="951"/>
      <c r="AF4" s="951"/>
      <c r="AG4" s="951"/>
      <c r="AH4" s="952" t="str">
        <f>IF(A3="","",IF(VLOOKUP(A3,予選学校名!$I$3:$L$32,3,FALSE)="",IF(VLOOKUP(A3,予選学校名!$I$3:$L$32,4,FALSE)="","",VLOOKUP(A3,予選学校名!$I$3:$L$32,4,FALSE)),"("&amp;VLOOKUP(A3,予選学校名!$I$3:$L$32,2,FALSE)&amp;")"))</f>
        <v/>
      </c>
      <c r="AI4" s="952"/>
    </row>
    <row r="5" spans="1:72" ht="25.5" customHeight="1" x14ac:dyDescent="0.15">
      <c r="A5" s="31" t="str">
        <f>IF(CD51=CH51,"",IF(BX53=A2,A56,A55))</f>
        <v/>
      </c>
      <c r="F5" s="634" t="s">
        <v>80</v>
      </c>
      <c r="G5" s="634"/>
      <c r="H5" s="634"/>
      <c r="I5" s="950" t="str">
        <f>IF(A4="","",IF(VLOOKUP(A4,予選学校名!$I$3:$L$32,3,FALSE)="",IF(VLOOKUP(A4,予選学校名!$I$3:$L$32,4,FALSE)="","",VLOOKUP(A4,予選学校名!$I$3:$L$32,4,FALSE)),VLOOKUP(A4,予選学校名!$I$3:$L$32,3,FALSE)&amp;"立")&amp;A4&amp;"中学校")</f>
        <v/>
      </c>
      <c r="J5" s="951"/>
      <c r="K5" s="951"/>
      <c r="L5" s="951"/>
      <c r="M5" s="951"/>
      <c r="N5" s="951"/>
      <c r="O5" s="951"/>
      <c r="P5" s="951"/>
      <c r="Q5" s="951"/>
      <c r="R5" s="951"/>
      <c r="S5" s="951"/>
      <c r="T5" s="951"/>
      <c r="U5" s="951"/>
      <c r="V5" s="951"/>
      <c r="W5" s="951"/>
      <c r="X5" s="951"/>
      <c r="Y5" s="951"/>
      <c r="Z5" s="951"/>
      <c r="AA5" s="951"/>
      <c r="AB5" s="951"/>
      <c r="AC5" s="951"/>
      <c r="AD5" s="951"/>
      <c r="AE5" s="951"/>
      <c r="AF5" s="951"/>
      <c r="AG5" s="951"/>
      <c r="AH5" s="952" t="str">
        <f>IF(A4="","",IF(VLOOKUP(A4,予選学校名!$I$3:$L$32,3,FALSE)="",IF(VLOOKUP(A4,予選学校名!$I$3:$L$32,4,FALSE)="","",VLOOKUP(A4,予選学校名!$I$3:$L$32,4,FALSE)),"("&amp;VLOOKUP(A4,予選学校名!$I$3:$L$32,2,FALSE)&amp;")"))</f>
        <v/>
      </c>
      <c r="AI5" s="952"/>
    </row>
    <row r="6" spans="1:72" ht="25.5" customHeight="1" x14ac:dyDescent="0.15">
      <c r="A6" s="31" t="str">
        <f>IF(DB51=DF51,"",IF(DB51&gt;DF51,CV53,DL53))</f>
        <v/>
      </c>
      <c r="I6" s="950" t="str">
        <f>IF(A5="","",IF(VLOOKUP(A5,予選学校名!$I$3:$L$32,3,FALSE)="",IF(VLOOKUP(A5,予選学校名!$I$3:$L$32,4,FALSE)="","",VLOOKUP(A5,予選学校名!$I$3:$L$32,4,FALSE)),VLOOKUP(A5,予選学校名!$I$3:$L$32,3,FALSE)&amp;"立")&amp;A5&amp;"中学校")</f>
        <v/>
      </c>
      <c r="J6" s="951"/>
      <c r="K6" s="951"/>
      <c r="L6" s="951"/>
      <c r="M6" s="951"/>
      <c r="N6" s="951"/>
      <c r="O6" s="951"/>
      <c r="P6" s="951"/>
      <c r="Q6" s="951"/>
      <c r="R6" s="951"/>
      <c r="S6" s="951"/>
      <c r="T6" s="951"/>
      <c r="U6" s="951"/>
      <c r="V6" s="951"/>
      <c r="W6" s="951"/>
      <c r="X6" s="951"/>
      <c r="Y6" s="951"/>
      <c r="Z6" s="951"/>
      <c r="AA6" s="951"/>
      <c r="AB6" s="951"/>
      <c r="AC6" s="951"/>
      <c r="AD6" s="951"/>
      <c r="AE6" s="951"/>
      <c r="AF6" s="951"/>
      <c r="AG6" s="951"/>
      <c r="AH6" s="952" t="str">
        <f>IF(A5="","",IF(VLOOKUP(A5,予選学校名!$I$3:$L$32,3,FALSE)="",IF(VLOOKUP(A5,予選学校名!$I$3:$L$32,4,FALSE)="","",VLOOKUP(A5,予選学校名!$I$3:$L$32,4,FALSE)),"("&amp;VLOOKUP(A5,予選学校名!$I$3:$L$32,2,FALSE)&amp;")"))</f>
        <v/>
      </c>
      <c r="AI6" s="952"/>
    </row>
    <row r="8" spans="1:72" s="68" customFormat="1" ht="18" x14ac:dyDescent="0.15">
      <c r="A8" s="67"/>
      <c r="C8" s="68" t="s">
        <v>81</v>
      </c>
      <c r="D8" s="67"/>
      <c r="E8" s="67"/>
      <c r="F8" s="69"/>
      <c r="G8" s="70"/>
      <c r="H8" s="71"/>
      <c r="I8" s="67"/>
      <c r="J8" s="67"/>
      <c r="K8" s="67"/>
      <c r="L8" s="67"/>
      <c r="M8" s="69"/>
      <c r="N8" s="70"/>
      <c r="O8" s="71"/>
      <c r="P8" s="67"/>
      <c r="Q8" s="67"/>
      <c r="R8" s="67"/>
      <c r="S8" s="67"/>
      <c r="T8" s="69"/>
      <c r="U8" s="70"/>
      <c r="V8" s="71"/>
      <c r="W8" s="67"/>
      <c r="X8" s="67"/>
      <c r="AB8" s="93"/>
      <c r="AM8" s="68" t="s">
        <v>142</v>
      </c>
      <c r="AN8" s="67"/>
      <c r="AO8" s="67"/>
      <c r="AP8" s="69"/>
      <c r="AQ8" s="70"/>
      <c r="AR8" s="71"/>
      <c r="AS8" s="67"/>
      <c r="AT8" s="67"/>
      <c r="AU8" s="67"/>
      <c r="AV8" s="67"/>
      <c r="AW8" s="69"/>
      <c r="AX8" s="70"/>
      <c r="AY8" s="71"/>
      <c r="AZ8" s="67"/>
      <c r="BA8" s="67"/>
      <c r="BB8" s="67"/>
      <c r="BC8" s="67"/>
      <c r="BD8" s="69"/>
      <c r="BE8" s="70"/>
      <c r="BF8" s="71"/>
      <c r="BG8" s="67"/>
      <c r="BH8" s="67"/>
      <c r="BI8" s="67"/>
      <c r="BJ8" s="67"/>
      <c r="BK8" s="69"/>
      <c r="BL8" s="70"/>
      <c r="BM8" s="71"/>
      <c r="BN8" s="67"/>
      <c r="BO8" s="67"/>
    </row>
    <row r="9" spans="1:72" ht="28.5" x14ac:dyDescent="0.15">
      <c r="C9" s="72"/>
      <c r="D9" s="941" t="str">
        <f>C10</f>
        <v>松任</v>
      </c>
      <c r="E9" s="941"/>
      <c r="F9" s="941"/>
      <c r="G9" s="941"/>
      <c r="H9" s="941"/>
      <c r="I9" s="941"/>
      <c r="J9" s="941"/>
      <c r="K9" s="941" t="str">
        <f>C14</f>
        <v>美川</v>
      </c>
      <c r="L9" s="941"/>
      <c r="M9" s="941"/>
      <c r="N9" s="941"/>
      <c r="O9" s="941"/>
      <c r="P9" s="941"/>
      <c r="Q9" s="941"/>
      <c r="R9" s="941" t="str">
        <f>C18</f>
        <v>根上</v>
      </c>
      <c r="S9" s="941"/>
      <c r="T9" s="941"/>
      <c r="U9" s="941"/>
      <c r="V9" s="941"/>
      <c r="W9" s="941"/>
      <c r="X9" s="941"/>
      <c r="Y9" s="608">
        <f>J18</f>
        <v>0</v>
      </c>
      <c r="Z9" s="608"/>
      <c r="AA9" s="608"/>
      <c r="AB9" s="608"/>
      <c r="AC9" s="608"/>
      <c r="AD9" s="608"/>
      <c r="AE9" s="608"/>
      <c r="AF9" s="73" t="s">
        <v>88</v>
      </c>
      <c r="AG9" s="74" t="s">
        <v>89</v>
      </c>
      <c r="AH9" s="73" t="s">
        <v>90</v>
      </c>
      <c r="AI9" s="73" t="s">
        <v>91</v>
      </c>
      <c r="AJ9" s="76"/>
      <c r="AK9" s="76"/>
      <c r="AM9" s="72"/>
      <c r="AN9" s="941" t="str">
        <f>AM10</f>
        <v>北辰</v>
      </c>
      <c r="AO9" s="941"/>
      <c r="AP9" s="941"/>
      <c r="AQ9" s="941"/>
      <c r="AR9" s="941"/>
      <c r="AS9" s="941"/>
      <c r="AT9" s="941"/>
      <c r="AU9" s="941" t="str">
        <f>AM14</f>
        <v>北星</v>
      </c>
      <c r="AV9" s="941"/>
      <c r="AW9" s="941"/>
      <c r="AX9" s="941"/>
      <c r="AY9" s="941"/>
      <c r="AZ9" s="941"/>
      <c r="BA9" s="941"/>
      <c r="BB9" s="941" t="str">
        <f>AM18</f>
        <v>松陽</v>
      </c>
      <c r="BC9" s="941"/>
      <c r="BD9" s="941"/>
      <c r="BE9" s="941"/>
      <c r="BF9" s="941"/>
      <c r="BG9" s="941"/>
      <c r="BH9" s="941"/>
      <c r="BI9" s="941" t="str">
        <f>AM22</f>
        <v>布水</v>
      </c>
      <c r="BJ9" s="941"/>
      <c r="BK9" s="941"/>
      <c r="BL9" s="941"/>
      <c r="BM9" s="941"/>
      <c r="BN9" s="941"/>
      <c r="BO9" s="941"/>
      <c r="BP9" s="73" t="s">
        <v>88</v>
      </c>
      <c r="BQ9" s="74" t="s">
        <v>89</v>
      </c>
      <c r="BR9" s="73" t="s">
        <v>90</v>
      </c>
      <c r="BS9" s="73" t="s">
        <v>91</v>
      </c>
    </row>
    <row r="10" spans="1:72" x14ac:dyDescent="0.15">
      <c r="B10" s="62">
        <v>1</v>
      </c>
      <c r="C10" s="938" t="str">
        <f>IF(ISERROR(MATCH('南(14)'!B10,予選学校名!$H$3:$H$16,0)),"",INDEX(予選学校名!$H$3:$K$16,MATCH('南(14)'!B10,予選学校名!$H$3:$H$16,0),2))</f>
        <v>松任</v>
      </c>
      <c r="D10" s="636"/>
      <c r="E10" s="637"/>
      <c r="F10" s="637"/>
      <c r="G10" s="638"/>
      <c r="H10" s="638"/>
      <c r="I10" s="638"/>
      <c r="J10" s="639"/>
      <c r="K10" s="610" t="str">
        <f>IF(M11="","",SUM(M11,M12))</f>
        <v/>
      </c>
      <c r="L10" s="611"/>
      <c r="M10" s="611"/>
      <c r="N10" s="75" t="str">
        <f>IF(K10="","",IF(K10&gt;O10,"○",IF(K10&lt;O10,"●","△")))</f>
        <v/>
      </c>
      <c r="O10" s="611" t="str">
        <f>IF(O11="","",SUM(O11,O12))</f>
        <v/>
      </c>
      <c r="P10" s="611"/>
      <c r="Q10" s="612"/>
      <c r="R10" s="610" t="str">
        <f>IF(T11="","",SUM(T11,T12))</f>
        <v/>
      </c>
      <c r="S10" s="611"/>
      <c r="T10" s="611"/>
      <c r="U10" s="75" t="str">
        <f>IF(R10="","",IF(R10&gt;V10,"○",IF(R10&lt;V10,"●","△")))</f>
        <v/>
      </c>
      <c r="V10" s="611" t="str">
        <f>IF(V11="","",SUM(V11,V12))</f>
        <v/>
      </c>
      <c r="W10" s="611"/>
      <c r="X10" s="612"/>
      <c r="Y10" s="940"/>
      <c r="Z10" s="937"/>
      <c r="AA10" s="937"/>
      <c r="AB10" s="192"/>
      <c r="AC10" s="937"/>
      <c r="AD10" s="937"/>
      <c r="AE10" s="939"/>
      <c r="AF10" s="608" t="str">
        <f>IF(COUNT(D11:AE11)=0,"",COUNTIF(D10:AE10,"○")*3+COUNTIF(D10:AE10,"△"))</f>
        <v/>
      </c>
      <c r="AG10" s="608" t="str">
        <f>IF(AF10="","",SUM(H10:H21)/2-SUM(D10:D21))</f>
        <v/>
      </c>
      <c r="AH10" s="608" t="str">
        <f>IF(AF10="","",SUM(H10:H21)/2)</f>
        <v/>
      </c>
      <c r="AI10" s="608" t="str">
        <f>IF(OR(AF10="",MOD(COUNT(D10:AE10),2)=1),"",RANK(AJ10,$AJ$10:$AJ$25))</f>
        <v/>
      </c>
      <c r="AJ10" s="76" t="str">
        <f>IF(OR(AF10="",MOD(COUNT(D10:AE10),2)=1),"",AF10*10000+AG10*100+AH10)</f>
        <v/>
      </c>
      <c r="AK10" s="76"/>
      <c r="AL10" s="62">
        <v>7</v>
      </c>
      <c r="AM10" s="938" t="str">
        <f>IF(ISERROR(MATCH('南(14)'!AL10,予選学校名!$H$3:$H$16,0)),"",INDEX(予選学校名!$H$3:$K$16,MATCH('南(14)'!AL10,予選学校名!$H$3:$H$16,0),2))</f>
        <v>北辰</v>
      </c>
      <c r="AN10" s="636"/>
      <c r="AO10" s="637"/>
      <c r="AP10" s="637"/>
      <c r="AQ10" s="638"/>
      <c r="AR10" s="638"/>
      <c r="AS10" s="638"/>
      <c r="AT10" s="639"/>
      <c r="AU10" s="610" t="str">
        <f>IF(AW11="","",SUM(AW11,AW12))</f>
        <v/>
      </c>
      <c r="AV10" s="611"/>
      <c r="AW10" s="611"/>
      <c r="AX10" s="75" t="str">
        <f>IF(AU10="","",IF(AU10&gt;AY10,"○",IF(AU10&lt;AY10,"●","△")))</f>
        <v/>
      </c>
      <c r="AY10" s="611" t="str">
        <f>IF(AY11="","",SUM(AY11,AY12))</f>
        <v/>
      </c>
      <c r="AZ10" s="611"/>
      <c r="BA10" s="612"/>
      <c r="BB10" s="610" t="str">
        <f>IF(BD11="","",SUM(BD11,BD12))</f>
        <v/>
      </c>
      <c r="BC10" s="611"/>
      <c r="BD10" s="611"/>
      <c r="BE10" s="75" t="str">
        <f>IF(BB10="","",IF(BB10&gt;BF10,"○",IF(BB10&lt;BF10,"●","△")))</f>
        <v/>
      </c>
      <c r="BF10" s="611" t="str">
        <f>IF(BF11="","",SUM(BF11,BF12))</f>
        <v/>
      </c>
      <c r="BG10" s="611"/>
      <c r="BH10" s="612"/>
      <c r="BI10" s="610" t="str">
        <f>IF(BK11="","",SUM(BK11,BK12))</f>
        <v/>
      </c>
      <c r="BJ10" s="611"/>
      <c r="BK10" s="611"/>
      <c r="BL10" s="75" t="str">
        <f>IF(BI10="","",IF(BI10&gt;BM10,"○",IF(BI10&lt;BM10,"●","△")))</f>
        <v/>
      </c>
      <c r="BM10" s="611" t="str">
        <f>IF(BM11="","",SUM(BM11,BM12))</f>
        <v/>
      </c>
      <c r="BN10" s="611"/>
      <c r="BO10" s="612"/>
      <c r="BP10" s="608" t="str">
        <f>IF(COUNT(AN11:BO11)=0,"",COUNTIF(AN10:BO10,"○")*3+COUNTIF(AN10:BO10,"△"))</f>
        <v/>
      </c>
      <c r="BQ10" s="608" t="str">
        <f>IF(BP10="","",SUM(AR10:AR25)/2-SUM(AN10:AN25))</f>
        <v/>
      </c>
      <c r="BR10" s="608" t="str">
        <f>IF(BP10="","",SUM(AR10:AR25)/2)</f>
        <v/>
      </c>
      <c r="BS10" s="608" t="str">
        <f>IF(OR(BP10="",MOD(COUNT(AN10:BO10),2)=1),"",RANK(BT10,$BT$10:$BT$25))</f>
        <v/>
      </c>
      <c r="BT10" s="76" t="str">
        <f>IF(OR(BP10="",MOD(COUNT(AN10:BO10),2)=1),"",BP10*10000+BQ10*100+BR10)</f>
        <v/>
      </c>
    </row>
    <row r="11" spans="1:72" x14ac:dyDescent="0.15">
      <c r="C11" s="938"/>
      <c r="D11" s="640"/>
      <c r="E11" s="641"/>
      <c r="F11" s="641"/>
      <c r="G11" s="641"/>
      <c r="H11" s="641"/>
      <c r="I11" s="641"/>
      <c r="J11" s="642"/>
      <c r="K11" s="77"/>
      <c r="N11" s="61" t="s">
        <v>92</v>
      </c>
      <c r="Q11" s="78"/>
      <c r="R11" s="77"/>
      <c r="U11" s="61" t="s">
        <v>92</v>
      </c>
      <c r="X11" s="78"/>
      <c r="Y11" s="193"/>
      <c r="AB11" s="76" t="s">
        <v>92</v>
      </c>
      <c r="AE11" s="194"/>
      <c r="AF11" s="608"/>
      <c r="AG11" s="608"/>
      <c r="AH11" s="608"/>
      <c r="AI11" s="608"/>
      <c r="AJ11" s="76"/>
      <c r="AK11" s="76"/>
      <c r="AM11" s="938"/>
      <c r="AN11" s="640"/>
      <c r="AO11" s="641"/>
      <c r="AP11" s="641"/>
      <c r="AQ11" s="641"/>
      <c r="AR11" s="641"/>
      <c r="AS11" s="641"/>
      <c r="AT11" s="642"/>
      <c r="AU11" s="77"/>
      <c r="AX11" s="61" t="s">
        <v>92</v>
      </c>
      <c r="BA11" s="78"/>
      <c r="BB11" s="77"/>
      <c r="BE11" s="61" t="s">
        <v>92</v>
      </c>
      <c r="BH11" s="78"/>
      <c r="BI11" s="77"/>
      <c r="BL11" s="61" t="s">
        <v>92</v>
      </c>
      <c r="BO11" s="78"/>
      <c r="BP11" s="608"/>
      <c r="BQ11" s="608"/>
      <c r="BR11" s="608"/>
      <c r="BS11" s="608"/>
      <c r="BT11" s="76"/>
    </row>
    <row r="12" spans="1:72" x14ac:dyDescent="0.15">
      <c r="C12" s="938"/>
      <c r="D12" s="640"/>
      <c r="E12" s="641"/>
      <c r="F12" s="641"/>
      <c r="G12" s="641"/>
      <c r="H12" s="641"/>
      <c r="I12" s="641"/>
      <c r="J12" s="642"/>
      <c r="K12" s="77"/>
      <c r="N12" s="61" t="s">
        <v>92</v>
      </c>
      <c r="Q12" s="78"/>
      <c r="R12" s="77"/>
      <c r="U12" s="61" t="s">
        <v>92</v>
      </c>
      <c r="X12" s="78"/>
      <c r="Y12" s="193"/>
      <c r="AB12" s="76" t="s">
        <v>92</v>
      </c>
      <c r="AE12" s="194"/>
      <c r="AF12" s="608"/>
      <c r="AG12" s="608"/>
      <c r="AH12" s="608"/>
      <c r="AI12" s="608"/>
      <c r="AJ12" s="76"/>
      <c r="AK12" s="76"/>
      <c r="AM12" s="938"/>
      <c r="AN12" s="640"/>
      <c r="AO12" s="641"/>
      <c r="AP12" s="641"/>
      <c r="AQ12" s="641"/>
      <c r="AR12" s="641"/>
      <c r="AS12" s="641"/>
      <c r="AT12" s="642"/>
      <c r="AU12" s="77"/>
      <c r="AX12" s="61" t="s">
        <v>92</v>
      </c>
      <c r="BA12" s="78"/>
      <c r="BB12" s="77"/>
      <c r="BE12" s="61" t="s">
        <v>92</v>
      </c>
      <c r="BH12" s="78"/>
      <c r="BI12" s="77"/>
      <c r="BL12" s="61" t="s">
        <v>92</v>
      </c>
      <c r="BO12" s="78"/>
      <c r="BP12" s="608"/>
      <c r="BQ12" s="608"/>
      <c r="BR12" s="608"/>
      <c r="BS12" s="608"/>
      <c r="BT12" s="76"/>
    </row>
    <row r="13" spans="1:72" ht="3.75" customHeight="1" x14ac:dyDescent="0.15">
      <c r="C13" s="938"/>
      <c r="D13" s="643"/>
      <c r="E13" s="644"/>
      <c r="F13" s="644"/>
      <c r="G13" s="644"/>
      <c r="H13" s="644"/>
      <c r="I13" s="644"/>
      <c r="J13" s="645"/>
      <c r="K13" s="79"/>
      <c r="L13" s="80"/>
      <c r="M13" s="81"/>
      <c r="N13" s="82"/>
      <c r="O13" s="83"/>
      <c r="P13" s="80"/>
      <c r="Q13" s="84"/>
      <c r="R13" s="79"/>
      <c r="S13" s="80"/>
      <c r="T13" s="81"/>
      <c r="U13" s="82"/>
      <c r="V13" s="83"/>
      <c r="W13" s="80"/>
      <c r="X13" s="84"/>
      <c r="Y13" s="195"/>
      <c r="Z13" s="196"/>
      <c r="AA13" s="196"/>
      <c r="AB13" s="197"/>
      <c r="AC13" s="196"/>
      <c r="AD13" s="196"/>
      <c r="AE13" s="198"/>
      <c r="AF13" s="608"/>
      <c r="AG13" s="608"/>
      <c r="AH13" s="608"/>
      <c r="AI13" s="608"/>
      <c r="AJ13" s="76"/>
      <c r="AK13" s="76"/>
      <c r="AM13" s="938"/>
      <c r="AN13" s="643"/>
      <c r="AO13" s="644"/>
      <c r="AP13" s="644"/>
      <c r="AQ13" s="644"/>
      <c r="AR13" s="644"/>
      <c r="AS13" s="644"/>
      <c r="AT13" s="645"/>
      <c r="AU13" s="79"/>
      <c r="AV13" s="80"/>
      <c r="AW13" s="81"/>
      <c r="AX13" s="82"/>
      <c r="AY13" s="83"/>
      <c r="AZ13" s="80"/>
      <c r="BA13" s="84"/>
      <c r="BB13" s="79"/>
      <c r="BC13" s="80"/>
      <c r="BD13" s="81"/>
      <c r="BE13" s="82"/>
      <c r="BF13" s="83"/>
      <c r="BG13" s="80"/>
      <c r="BH13" s="84"/>
      <c r="BI13" s="79"/>
      <c r="BJ13" s="80"/>
      <c r="BK13" s="81"/>
      <c r="BL13" s="82"/>
      <c r="BM13" s="83"/>
      <c r="BN13" s="80"/>
      <c r="BO13" s="84"/>
      <c r="BP13" s="608"/>
      <c r="BQ13" s="608"/>
      <c r="BR13" s="608"/>
      <c r="BS13" s="608"/>
      <c r="BT13" s="76"/>
    </row>
    <row r="14" spans="1:72" x14ac:dyDescent="0.15">
      <c r="B14" s="62">
        <v>2</v>
      </c>
      <c r="C14" s="938" t="str">
        <f>IF(ISERROR(MATCH('南(14)'!B14,予選学校名!$H$3:$H$16,0)),"",INDEX(予選学校名!$H$3:$K$16,MATCH('南(14)'!B14,予選学校名!$H$3:$H$16,0),2))</f>
        <v>美川</v>
      </c>
      <c r="D14" s="610" t="str">
        <f>IF(F15="","",SUM(F15,F16))</f>
        <v/>
      </c>
      <c r="E14" s="611"/>
      <c r="F14" s="611"/>
      <c r="G14" s="75" t="str">
        <f>IF(D14="","",IF(D14&gt;H14,"○",IF(D14&lt;H14,"●","△")))</f>
        <v/>
      </c>
      <c r="H14" s="611" t="str">
        <f>IF(H15="","",SUM(H15,H16))</f>
        <v/>
      </c>
      <c r="I14" s="611"/>
      <c r="J14" s="612"/>
      <c r="K14" s="636"/>
      <c r="L14" s="637"/>
      <c r="M14" s="637"/>
      <c r="N14" s="638"/>
      <c r="O14" s="638"/>
      <c r="P14" s="638"/>
      <c r="Q14" s="639"/>
      <c r="R14" s="610" t="str">
        <f>IF(T15="","",SUM(T15,T16))</f>
        <v/>
      </c>
      <c r="S14" s="611"/>
      <c r="T14" s="611"/>
      <c r="U14" s="75" t="str">
        <f>IF(R14="","",IF(R14&gt;V14,"○",IF(R14&lt;V14,"●","△")))</f>
        <v/>
      </c>
      <c r="V14" s="611" t="str">
        <f>IF(V15="","",SUM(V15,V16))</f>
        <v/>
      </c>
      <c r="W14" s="611"/>
      <c r="X14" s="612"/>
      <c r="Y14" s="940"/>
      <c r="Z14" s="937"/>
      <c r="AA14" s="937"/>
      <c r="AB14" s="192"/>
      <c r="AC14" s="937"/>
      <c r="AD14" s="937"/>
      <c r="AE14" s="939"/>
      <c r="AF14" s="608" t="str">
        <f>IF(COUNT(D15:AE15)=0,"",COUNTIF(D14:AE14,"○")*3+COUNTIF(D14:AE14,"△"))</f>
        <v/>
      </c>
      <c r="AG14" s="608" t="str">
        <f>IF(AF14="","",SUM(O10:O21)/2-SUM(K10:K21))</f>
        <v/>
      </c>
      <c r="AH14" s="608" t="str">
        <f>IF(AF14="","",SUM(O10:O21)/2)</f>
        <v/>
      </c>
      <c r="AI14" s="608" t="str">
        <f>IF(OR(AF14="",MOD(COUNT(D14:AE14),2)=1),"",RANK(AJ14,$AJ$10:$AJ$25))</f>
        <v/>
      </c>
      <c r="AJ14" s="76" t="str">
        <f>IF(OR(AF14="",MOD(COUNT(D14:AE14),2)=1),"",AF14*10000+AG14*100+AH14)</f>
        <v/>
      </c>
      <c r="AK14" s="76"/>
      <c r="AL14" s="62">
        <v>8</v>
      </c>
      <c r="AM14" s="938" t="str">
        <f>IF(ISERROR(MATCH('南(14)'!AL14,予選学校名!$H$3:$H$16,0)),"",INDEX(予選学校名!$H$3:$K$16,MATCH('南(14)'!AL14,予選学校名!$H$3:$H$16,0),2))</f>
        <v>北星</v>
      </c>
      <c r="AN14" s="610" t="str">
        <f>IF(AP15="","",SUM(AP15,AP16))</f>
        <v/>
      </c>
      <c r="AO14" s="611"/>
      <c r="AP14" s="611"/>
      <c r="AQ14" s="75" t="str">
        <f>IF(AN14="","",IF(AN14&gt;AR14,"○",IF(AN14&lt;AR14,"●","△")))</f>
        <v/>
      </c>
      <c r="AR14" s="611" t="str">
        <f>IF(AR15="","",SUM(AR15,AR16))</f>
        <v/>
      </c>
      <c r="AS14" s="611"/>
      <c r="AT14" s="612"/>
      <c r="AU14" s="636"/>
      <c r="AV14" s="637"/>
      <c r="AW14" s="637"/>
      <c r="AX14" s="638"/>
      <c r="AY14" s="638"/>
      <c r="AZ14" s="638"/>
      <c r="BA14" s="639"/>
      <c r="BB14" s="610" t="str">
        <f>IF(BD15="","",SUM(BD15,BD16))</f>
        <v/>
      </c>
      <c r="BC14" s="611"/>
      <c r="BD14" s="611"/>
      <c r="BE14" s="75" t="str">
        <f>IF(BB14="","",IF(BB14&gt;BF14,"○",IF(BB14&lt;BF14,"●","△")))</f>
        <v/>
      </c>
      <c r="BF14" s="611" t="str">
        <f>IF(BF15="","",SUM(BF15,BF16))</f>
        <v/>
      </c>
      <c r="BG14" s="611"/>
      <c r="BH14" s="612"/>
      <c r="BI14" s="610" t="str">
        <f>IF(BK15="","",SUM(BK15,BK16))</f>
        <v/>
      </c>
      <c r="BJ14" s="611"/>
      <c r="BK14" s="611"/>
      <c r="BL14" s="75" t="str">
        <f>IF(BI14="","",IF(BI14&gt;BM14,"○",IF(BI14&lt;BM14,"●","△")))</f>
        <v/>
      </c>
      <c r="BM14" s="611" t="str">
        <f>IF(BM15="","",SUM(BM15,BM16))</f>
        <v/>
      </c>
      <c r="BN14" s="611"/>
      <c r="BO14" s="612"/>
      <c r="BP14" s="608" t="str">
        <f>IF(COUNT(AN15:BO15)=0,"",COUNTIF(AN14:BO14,"○")*3+COUNTIF(AN14:BO14,"△"))</f>
        <v/>
      </c>
      <c r="BQ14" s="608" t="str">
        <f>IF(BP14="","",SUM(AY10:AY25)/2-SUM(AU10:AU25))</f>
        <v/>
      </c>
      <c r="BR14" s="608" t="str">
        <f>IF(BP14="","",SUM(AY10:AY25)/2)</f>
        <v/>
      </c>
      <c r="BS14" s="608" t="str">
        <f>IF(OR(BP14="",MOD(COUNT(AN14:BO14),2)=1),"",RANK(BT14,$BT$10:$BT$25))</f>
        <v/>
      </c>
      <c r="BT14" s="76" t="str">
        <f>IF(OR(BP14="",MOD(COUNT(AN14:BO14),2)=1),"",BP14*10000+BQ14*100+BR14)</f>
        <v/>
      </c>
    </row>
    <row r="15" spans="1:72" x14ac:dyDescent="0.15">
      <c r="C15" s="938"/>
      <c r="D15" s="77"/>
      <c r="F15" s="64" t="str">
        <f>IF(O11="","",O11)</f>
        <v/>
      </c>
      <c r="G15" s="61" t="s">
        <v>92</v>
      </c>
      <c r="H15" s="65" t="str">
        <f>IF(M11="","",M11)</f>
        <v/>
      </c>
      <c r="J15" s="78"/>
      <c r="K15" s="640"/>
      <c r="L15" s="641"/>
      <c r="M15" s="641"/>
      <c r="N15" s="641"/>
      <c r="O15" s="641"/>
      <c r="P15" s="641"/>
      <c r="Q15" s="642"/>
      <c r="R15" s="77"/>
      <c r="U15" s="61" t="s">
        <v>92</v>
      </c>
      <c r="X15" s="78"/>
      <c r="Y15" s="193"/>
      <c r="AB15" s="76" t="s">
        <v>92</v>
      </c>
      <c r="AE15" s="194"/>
      <c r="AF15" s="608"/>
      <c r="AG15" s="608"/>
      <c r="AH15" s="608"/>
      <c r="AI15" s="608"/>
      <c r="AJ15" s="76"/>
      <c r="AK15" s="76"/>
      <c r="AM15" s="938"/>
      <c r="AN15" s="77"/>
      <c r="AP15" s="64" t="str">
        <f>IF(AY11="","",AY11)</f>
        <v/>
      </c>
      <c r="AQ15" s="61" t="s">
        <v>92</v>
      </c>
      <c r="AR15" s="65" t="str">
        <f>IF(AW11="","",AW11)</f>
        <v/>
      </c>
      <c r="AT15" s="78"/>
      <c r="AU15" s="640"/>
      <c r="AV15" s="641"/>
      <c r="AW15" s="641"/>
      <c r="AX15" s="641"/>
      <c r="AY15" s="641"/>
      <c r="AZ15" s="641"/>
      <c r="BA15" s="642"/>
      <c r="BB15" s="77"/>
      <c r="BE15" s="61" t="s">
        <v>92</v>
      </c>
      <c r="BH15" s="78"/>
      <c r="BI15" s="77"/>
      <c r="BL15" s="61" t="s">
        <v>92</v>
      </c>
      <c r="BO15" s="78"/>
      <c r="BP15" s="608"/>
      <c r="BQ15" s="608"/>
      <c r="BR15" s="608"/>
      <c r="BS15" s="608"/>
      <c r="BT15" s="76"/>
    </row>
    <row r="16" spans="1:72" x14ac:dyDescent="0.15">
      <c r="C16" s="938"/>
      <c r="D16" s="77"/>
      <c r="F16" s="64" t="str">
        <f>IF(O12="","",O12)</f>
        <v/>
      </c>
      <c r="G16" s="61" t="s">
        <v>92</v>
      </c>
      <c r="H16" s="65" t="str">
        <f>IF(M12="","",M12)</f>
        <v/>
      </c>
      <c r="J16" s="78"/>
      <c r="K16" s="640"/>
      <c r="L16" s="641"/>
      <c r="M16" s="641"/>
      <c r="N16" s="641"/>
      <c r="O16" s="641"/>
      <c r="P16" s="641"/>
      <c r="Q16" s="642"/>
      <c r="R16" s="77"/>
      <c r="U16" s="61" t="s">
        <v>92</v>
      </c>
      <c r="X16" s="78"/>
      <c r="Y16" s="193"/>
      <c r="AB16" s="76" t="s">
        <v>92</v>
      </c>
      <c r="AE16" s="194"/>
      <c r="AF16" s="608"/>
      <c r="AG16" s="608"/>
      <c r="AH16" s="608"/>
      <c r="AI16" s="608"/>
      <c r="AJ16" s="76"/>
      <c r="AK16" s="76"/>
      <c r="AM16" s="938"/>
      <c r="AN16" s="77"/>
      <c r="AP16" s="64" t="str">
        <f>IF(AY12="","",AY12)</f>
        <v/>
      </c>
      <c r="AQ16" s="61" t="s">
        <v>92</v>
      </c>
      <c r="AR16" s="65" t="str">
        <f>IF(AW12="","",AW12)</f>
        <v/>
      </c>
      <c r="AT16" s="78"/>
      <c r="AU16" s="640"/>
      <c r="AV16" s="641"/>
      <c r="AW16" s="641"/>
      <c r="AX16" s="641"/>
      <c r="AY16" s="641"/>
      <c r="AZ16" s="641"/>
      <c r="BA16" s="642"/>
      <c r="BB16" s="77"/>
      <c r="BE16" s="61" t="s">
        <v>92</v>
      </c>
      <c r="BH16" s="78"/>
      <c r="BI16" s="77"/>
      <c r="BL16" s="61" t="s">
        <v>92</v>
      </c>
      <c r="BO16" s="78"/>
      <c r="BP16" s="608"/>
      <c r="BQ16" s="608"/>
      <c r="BR16" s="608"/>
      <c r="BS16" s="608"/>
      <c r="BT16" s="76"/>
    </row>
    <row r="17" spans="1:72" ht="3.75" customHeight="1" x14ac:dyDescent="0.15">
      <c r="C17" s="938"/>
      <c r="D17" s="79"/>
      <c r="E17" s="80"/>
      <c r="F17" s="81"/>
      <c r="G17" s="82"/>
      <c r="H17" s="83"/>
      <c r="I17" s="80"/>
      <c r="J17" s="84"/>
      <c r="K17" s="643"/>
      <c r="L17" s="644"/>
      <c r="M17" s="644"/>
      <c r="N17" s="644"/>
      <c r="O17" s="644"/>
      <c r="P17" s="644"/>
      <c r="Q17" s="645"/>
      <c r="R17" s="79"/>
      <c r="S17" s="80"/>
      <c r="T17" s="81"/>
      <c r="U17" s="82"/>
      <c r="V17" s="83"/>
      <c r="W17" s="80"/>
      <c r="X17" s="84"/>
      <c r="Y17" s="195"/>
      <c r="Z17" s="196"/>
      <c r="AA17" s="196"/>
      <c r="AB17" s="197"/>
      <c r="AC17" s="196"/>
      <c r="AD17" s="196"/>
      <c r="AE17" s="198"/>
      <c r="AF17" s="608"/>
      <c r="AG17" s="608"/>
      <c r="AH17" s="608"/>
      <c r="AI17" s="608"/>
      <c r="AJ17" s="76"/>
      <c r="AK17" s="76"/>
      <c r="AM17" s="938"/>
      <c r="AN17" s="79"/>
      <c r="AO17" s="80"/>
      <c r="AP17" s="81"/>
      <c r="AQ17" s="82"/>
      <c r="AR17" s="83"/>
      <c r="AS17" s="80"/>
      <c r="AT17" s="84"/>
      <c r="AU17" s="643"/>
      <c r="AV17" s="644"/>
      <c r="AW17" s="644"/>
      <c r="AX17" s="644"/>
      <c r="AY17" s="644"/>
      <c r="AZ17" s="644"/>
      <c r="BA17" s="645"/>
      <c r="BB17" s="79"/>
      <c r="BC17" s="80"/>
      <c r="BD17" s="81"/>
      <c r="BE17" s="82"/>
      <c r="BF17" s="83"/>
      <c r="BG17" s="80"/>
      <c r="BH17" s="84"/>
      <c r="BI17" s="79"/>
      <c r="BJ17" s="80"/>
      <c r="BK17" s="81"/>
      <c r="BL17" s="82"/>
      <c r="BM17" s="83"/>
      <c r="BN17" s="80"/>
      <c r="BO17" s="84"/>
      <c r="BP17" s="608"/>
      <c r="BQ17" s="608"/>
      <c r="BR17" s="608"/>
      <c r="BS17" s="608"/>
      <c r="BT17" s="76"/>
    </row>
    <row r="18" spans="1:72" x14ac:dyDescent="0.15">
      <c r="B18" s="62">
        <v>3</v>
      </c>
      <c r="C18" s="938" t="str">
        <f>IF(ISERROR(MATCH('南(14)'!B18,予選学校名!$H$3:$H$16,0)),"",INDEX(予選学校名!$H$3:$K$16,MATCH('南(14)'!B18,予選学校名!$H$3:$H$16,0),2))</f>
        <v>根上</v>
      </c>
      <c r="D18" s="610" t="str">
        <f>IF(F19="","",SUM(F19,F20))</f>
        <v/>
      </c>
      <c r="E18" s="611"/>
      <c r="F18" s="611"/>
      <c r="G18" s="75" t="str">
        <f>IF(D18="","",IF(D18&gt;H18,"○",IF(D18&lt;H18,"●","△")))</f>
        <v/>
      </c>
      <c r="H18" s="611" t="str">
        <f>IF(H19="","",SUM(H19,H20))</f>
        <v/>
      </c>
      <c r="I18" s="611"/>
      <c r="J18" s="612"/>
      <c r="K18" s="610" t="str">
        <f>IF(M19="","",SUM(M19,M20))</f>
        <v/>
      </c>
      <c r="L18" s="611"/>
      <c r="M18" s="611"/>
      <c r="N18" s="75" t="str">
        <f>IF(K18="","",IF(K18&gt;O18,"○",IF(K18&lt;O18,"●","△")))</f>
        <v/>
      </c>
      <c r="O18" s="611" t="str">
        <f>IF(O19="","",SUM(O19,O20))</f>
        <v/>
      </c>
      <c r="P18" s="611"/>
      <c r="Q18" s="612"/>
      <c r="R18" s="636"/>
      <c r="S18" s="637"/>
      <c r="T18" s="637"/>
      <c r="U18" s="638"/>
      <c r="V18" s="638"/>
      <c r="W18" s="638"/>
      <c r="X18" s="639"/>
      <c r="Y18" s="940"/>
      <c r="Z18" s="937"/>
      <c r="AA18" s="937"/>
      <c r="AB18" s="192"/>
      <c r="AC18" s="937"/>
      <c r="AD18" s="937"/>
      <c r="AE18" s="939"/>
      <c r="AF18" s="608" t="str">
        <f>IF(COUNT(D19:AE19)=0,"",COUNTIF(D18:AE18,"○")*3+COUNTIF(D18:AE18,"△"))</f>
        <v/>
      </c>
      <c r="AG18" s="608" t="str">
        <f>IF(AF18="","",SUM(V10:V21)/2-SUM(R10:R21))</f>
        <v/>
      </c>
      <c r="AH18" s="608" t="str">
        <f>IF(AF18="","",SUM(V10:V21)/2)</f>
        <v/>
      </c>
      <c r="AI18" s="608" t="str">
        <f>IF(OR(AF18="",MOD(COUNT(D18:AE18),2)=1),"",RANK(AJ18,$AJ$10:$AJ$25))</f>
        <v/>
      </c>
      <c r="AJ18" s="76" t="str">
        <f>IF(OR(AF18="",MOD(COUNT(D18:AE18),2)=1),"",AF18*10000+AG18*100+AH18)</f>
        <v/>
      </c>
      <c r="AK18" s="76"/>
      <c r="AL18" s="62">
        <v>9</v>
      </c>
      <c r="AM18" s="938" t="str">
        <f>IF(ISERROR(MATCH('南(14)'!AL18,予選学校名!$H$3:$H$16,0)),"",INDEX(予選学校名!$H$3:$K$16,MATCH('南(14)'!AL18,予選学校名!$H$3:$H$16,0),2))</f>
        <v>松陽</v>
      </c>
      <c r="AN18" s="610" t="str">
        <f>IF(AP19="","",SUM(AP19,AP20))</f>
        <v/>
      </c>
      <c r="AO18" s="611"/>
      <c r="AP18" s="611"/>
      <c r="AQ18" s="75" t="str">
        <f>IF(AN18="","",IF(AN18&gt;AR18,"○",IF(AN18&lt;AR18,"●","△")))</f>
        <v/>
      </c>
      <c r="AR18" s="611" t="str">
        <f>IF(AR19="","",SUM(AR19,AR20))</f>
        <v/>
      </c>
      <c r="AS18" s="611"/>
      <c r="AT18" s="612"/>
      <c r="AU18" s="610" t="str">
        <f>IF(AW19="","",SUM(AW19,AW20))</f>
        <v/>
      </c>
      <c r="AV18" s="611"/>
      <c r="AW18" s="611"/>
      <c r="AX18" s="75" t="str">
        <f>IF(AU18="","",IF(AU18&gt;AY18,"○",IF(AU18&lt;AY18,"●","△")))</f>
        <v/>
      </c>
      <c r="AY18" s="611" t="str">
        <f>IF(AY19="","",SUM(AY19,AY20))</f>
        <v/>
      </c>
      <c r="AZ18" s="611"/>
      <c r="BA18" s="612"/>
      <c r="BB18" s="636"/>
      <c r="BC18" s="637"/>
      <c r="BD18" s="637"/>
      <c r="BE18" s="638"/>
      <c r="BF18" s="638"/>
      <c r="BG18" s="638"/>
      <c r="BH18" s="639"/>
      <c r="BI18" s="610" t="str">
        <f>IF(BK19="","",SUM(BK19,BK20))</f>
        <v/>
      </c>
      <c r="BJ18" s="611"/>
      <c r="BK18" s="611"/>
      <c r="BL18" s="75" t="str">
        <f>IF(BI18="","",IF(BI18&gt;BM18,"○",IF(BI18&lt;BM18,"●","△")))</f>
        <v/>
      </c>
      <c r="BM18" s="611" t="str">
        <f>IF(BM19="","",SUM(BM19,BM20))</f>
        <v/>
      </c>
      <c r="BN18" s="611"/>
      <c r="BO18" s="612"/>
      <c r="BP18" s="608" t="str">
        <f>IF(COUNT(AN19:BO19)=0,"",COUNTIF(AN18:BO18,"○")*3+COUNTIF(AN18:BO18,"△"))</f>
        <v/>
      </c>
      <c r="BQ18" s="608" t="str">
        <f>IF(BP18="","",SUM(BF10:BF25)/2-SUM(BB10:BB25))</f>
        <v/>
      </c>
      <c r="BR18" s="608" t="str">
        <f>IF(BP18="","",SUM(BF10:BF25)/2)</f>
        <v/>
      </c>
      <c r="BS18" s="608" t="str">
        <f>IF(OR(BP18="",MOD(COUNT(AN18:BO18),2)=1),"",RANK(BT18,$BT$10:$BT$25))</f>
        <v/>
      </c>
      <c r="BT18" s="76" t="str">
        <f>IF(OR(BP18="",MOD(COUNT(AN18:BO18),2)=1),"",BP18*10000+BQ18*100+BR18)</f>
        <v/>
      </c>
    </row>
    <row r="19" spans="1:72" x14ac:dyDescent="0.15">
      <c r="C19" s="938"/>
      <c r="D19" s="77"/>
      <c r="F19" s="64" t="str">
        <f>IF(V11="","",V11)</f>
        <v/>
      </c>
      <c r="G19" s="61" t="s">
        <v>92</v>
      </c>
      <c r="H19" s="65" t="str">
        <f>IF(T11="","",T11)</f>
        <v/>
      </c>
      <c r="J19" s="78"/>
      <c r="K19" s="77"/>
      <c r="M19" s="64" t="str">
        <f>IF(V15="","",V15)</f>
        <v/>
      </c>
      <c r="N19" s="61" t="s">
        <v>92</v>
      </c>
      <c r="O19" s="65" t="str">
        <f>IF(T15="","",T15)</f>
        <v/>
      </c>
      <c r="Q19" s="78"/>
      <c r="R19" s="640"/>
      <c r="S19" s="641"/>
      <c r="T19" s="641"/>
      <c r="U19" s="641"/>
      <c r="V19" s="641"/>
      <c r="W19" s="641"/>
      <c r="X19" s="642"/>
      <c r="Y19" s="193"/>
      <c r="AE19" s="194"/>
      <c r="AF19" s="608"/>
      <c r="AG19" s="608"/>
      <c r="AH19" s="608"/>
      <c r="AI19" s="608"/>
      <c r="AJ19" s="76"/>
      <c r="AK19" s="76"/>
      <c r="AM19" s="938"/>
      <c r="AN19" s="77"/>
      <c r="AP19" s="64" t="str">
        <f>IF(BF11="","",BF11)</f>
        <v/>
      </c>
      <c r="AQ19" s="61" t="s">
        <v>92</v>
      </c>
      <c r="AR19" s="65" t="str">
        <f>IF(BD11="","",BD11)</f>
        <v/>
      </c>
      <c r="AT19" s="78"/>
      <c r="AU19" s="77"/>
      <c r="AW19" s="64" t="str">
        <f>IF(BF15="","",BF15)</f>
        <v/>
      </c>
      <c r="AX19" s="61" t="s">
        <v>92</v>
      </c>
      <c r="AY19" s="65" t="str">
        <f>IF(BD15="","",BD15)</f>
        <v/>
      </c>
      <c r="BA19" s="78"/>
      <c r="BB19" s="640"/>
      <c r="BC19" s="641"/>
      <c r="BD19" s="641"/>
      <c r="BE19" s="641"/>
      <c r="BF19" s="641"/>
      <c r="BG19" s="641"/>
      <c r="BH19" s="642"/>
      <c r="BI19" s="77"/>
      <c r="BL19" s="61" t="s">
        <v>92</v>
      </c>
      <c r="BO19" s="78"/>
      <c r="BP19" s="608"/>
      <c r="BQ19" s="608"/>
      <c r="BR19" s="608"/>
      <c r="BS19" s="608"/>
      <c r="BT19" s="76"/>
    </row>
    <row r="20" spans="1:72" x14ac:dyDescent="0.15">
      <c r="C20" s="938"/>
      <c r="D20" s="77"/>
      <c r="F20" s="64" t="str">
        <f>IF(V12="","",V12)</f>
        <v/>
      </c>
      <c r="G20" s="61" t="s">
        <v>92</v>
      </c>
      <c r="H20" s="65" t="str">
        <f>IF(T12="","",T12)</f>
        <v/>
      </c>
      <c r="J20" s="78"/>
      <c r="K20" s="77"/>
      <c r="M20" s="64" t="str">
        <f>IF(V16="","",V16)</f>
        <v/>
      </c>
      <c r="N20" s="61" t="s">
        <v>92</v>
      </c>
      <c r="O20" s="65" t="str">
        <f>IF(T16="","",T16)</f>
        <v/>
      </c>
      <c r="Q20" s="78"/>
      <c r="R20" s="640"/>
      <c r="S20" s="641"/>
      <c r="T20" s="641"/>
      <c r="U20" s="641"/>
      <c r="V20" s="641"/>
      <c r="W20" s="641"/>
      <c r="X20" s="642"/>
      <c r="Y20" s="193"/>
      <c r="AE20" s="194"/>
      <c r="AF20" s="608"/>
      <c r="AG20" s="608"/>
      <c r="AH20" s="608"/>
      <c r="AI20" s="608"/>
      <c r="AJ20" s="76"/>
      <c r="AK20" s="76"/>
      <c r="AM20" s="938"/>
      <c r="AN20" s="77"/>
      <c r="AP20" s="64" t="str">
        <f>IF(BF12="","",BF12)</f>
        <v/>
      </c>
      <c r="AQ20" s="61" t="s">
        <v>92</v>
      </c>
      <c r="AR20" s="65" t="str">
        <f>IF(BD12="","",BD12)</f>
        <v/>
      </c>
      <c r="AT20" s="78"/>
      <c r="AU20" s="77"/>
      <c r="AW20" s="64" t="str">
        <f>IF(BF16="","",BF16)</f>
        <v/>
      </c>
      <c r="AX20" s="61" t="s">
        <v>92</v>
      </c>
      <c r="AY20" s="65" t="str">
        <f>IF(BD16="","",BD16)</f>
        <v/>
      </c>
      <c r="BA20" s="78"/>
      <c r="BB20" s="640"/>
      <c r="BC20" s="641"/>
      <c r="BD20" s="641"/>
      <c r="BE20" s="641"/>
      <c r="BF20" s="641"/>
      <c r="BG20" s="641"/>
      <c r="BH20" s="642"/>
      <c r="BI20" s="77"/>
      <c r="BL20" s="61" t="s">
        <v>92</v>
      </c>
      <c r="BO20" s="78"/>
      <c r="BP20" s="608"/>
      <c r="BQ20" s="608"/>
      <c r="BR20" s="608"/>
      <c r="BS20" s="608"/>
      <c r="BT20" s="76"/>
    </row>
    <row r="21" spans="1:72" ht="3.75" customHeight="1" x14ac:dyDescent="0.15">
      <c r="C21" s="998"/>
      <c r="D21" s="79"/>
      <c r="E21" s="80"/>
      <c r="F21" s="81"/>
      <c r="G21" s="82"/>
      <c r="H21" s="83"/>
      <c r="I21" s="80"/>
      <c r="J21" s="84"/>
      <c r="K21" s="79"/>
      <c r="L21" s="80"/>
      <c r="M21" s="81"/>
      <c r="N21" s="82"/>
      <c r="O21" s="83"/>
      <c r="P21" s="80"/>
      <c r="Q21" s="84"/>
      <c r="R21" s="643"/>
      <c r="S21" s="644"/>
      <c r="T21" s="644"/>
      <c r="U21" s="644"/>
      <c r="V21" s="644"/>
      <c r="W21" s="644"/>
      <c r="X21" s="645"/>
      <c r="Y21" s="195"/>
      <c r="Z21" s="196"/>
      <c r="AA21" s="196"/>
      <c r="AB21" s="197"/>
      <c r="AC21" s="196"/>
      <c r="AD21" s="196"/>
      <c r="AE21" s="198"/>
      <c r="AF21" s="608"/>
      <c r="AG21" s="608"/>
      <c r="AH21" s="608"/>
      <c r="AI21" s="608"/>
      <c r="AJ21" s="76"/>
      <c r="AK21" s="76"/>
      <c r="AM21" s="938"/>
      <c r="AN21" s="79"/>
      <c r="AO21" s="80"/>
      <c r="AP21" s="81"/>
      <c r="AQ21" s="82"/>
      <c r="AR21" s="83"/>
      <c r="AS21" s="80"/>
      <c r="AT21" s="84"/>
      <c r="AU21" s="79"/>
      <c r="AV21" s="80"/>
      <c r="AW21" s="81"/>
      <c r="AX21" s="82"/>
      <c r="AY21" s="83"/>
      <c r="AZ21" s="80"/>
      <c r="BA21" s="84"/>
      <c r="BB21" s="643"/>
      <c r="BC21" s="644"/>
      <c r="BD21" s="644"/>
      <c r="BE21" s="644"/>
      <c r="BF21" s="644"/>
      <c r="BG21" s="644"/>
      <c r="BH21" s="645"/>
      <c r="BI21" s="79"/>
      <c r="BJ21" s="80"/>
      <c r="BK21" s="81"/>
      <c r="BL21" s="82"/>
      <c r="BM21" s="83"/>
      <c r="BN21" s="80"/>
      <c r="BO21" s="84"/>
      <c r="BP21" s="608"/>
      <c r="BQ21" s="608"/>
      <c r="BR21" s="608"/>
      <c r="BS21" s="608"/>
      <c r="BT21" s="76"/>
    </row>
    <row r="22" spans="1:72" x14ac:dyDescent="0.15">
      <c r="C22" s="937"/>
      <c r="D22" s="611"/>
      <c r="E22" s="611"/>
      <c r="F22" s="611"/>
      <c r="G22" s="75"/>
      <c r="H22" s="611"/>
      <c r="I22" s="611"/>
      <c r="J22" s="611"/>
      <c r="K22" s="611"/>
      <c r="L22" s="611"/>
      <c r="M22" s="611"/>
      <c r="N22" s="75"/>
      <c r="O22" s="611"/>
      <c r="P22" s="611"/>
      <c r="Q22" s="611"/>
      <c r="R22" s="611"/>
      <c r="S22" s="611"/>
      <c r="T22" s="611"/>
      <c r="U22" s="75"/>
      <c r="V22" s="611"/>
      <c r="W22" s="611"/>
      <c r="X22" s="611"/>
      <c r="Y22" s="937"/>
      <c r="Z22" s="937"/>
      <c r="AA22" s="937"/>
      <c r="AB22" s="192"/>
      <c r="AC22" s="937"/>
      <c r="AD22" s="937"/>
      <c r="AE22" s="937"/>
      <c r="AF22" s="937"/>
      <c r="AG22" s="937"/>
      <c r="AH22" s="937"/>
      <c r="AI22" s="937"/>
      <c r="AJ22" s="76"/>
      <c r="AK22" s="76"/>
      <c r="AL22" s="62">
        <v>10</v>
      </c>
      <c r="AM22" s="938" t="str">
        <f>IF(ISERROR(MATCH('南(14)'!AL22,予選学校名!$H$3:$H$16,0)),"",INDEX(予選学校名!$H$3:$K$16,MATCH('南(14)'!AL22,予選学校名!$H$3:$H$16,0),2))</f>
        <v>布水</v>
      </c>
      <c r="AN22" s="610" t="str">
        <f>IF(AP23="","",SUM(AP23,AP24))</f>
        <v/>
      </c>
      <c r="AO22" s="611"/>
      <c r="AP22" s="611"/>
      <c r="AQ22" s="75" t="str">
        <f>IF(AN22="","",IF(AN22&gt;AR22,"○",IF(AN22&lt;AR22,"●","△")))</f>
        <v/>
      </c>
      <c r="AR22" s="611" t="str">
        <f>IF(AR23="","",SUM(AR23,AR24))</f>
        <v/>
      </c>
      <c r="AS22" s="611"/>
      <c r="AT22" s="612"/>
      <c r="AU22" s="610" t="str">
        <f>IF(AW23="","",SUM(AW23,AW24))</f>
        <v/>
      </c>
      <c r="AV22" s="611"/>
      <c r="AW22" s="611"/>
      <c r="AX22" s="75" t="str">
        <f>IF(AU22="","",IF(AU22&gt;AY22,"○",IF(AU22&lt;AY22,"●","△")))</f>
        <v/>
      </c>
      <c r="AY22" s="611" t="str">
        <f>IF(AY23="","",SUM(AY23,AY24))</f>
        <v/>
      </c>
      <c r="AZ22" s="611"/>
      <c r="BA22" s="612"/>
      <c r="BB22" s="610" t="str">
        <f>IF(BD23="","",SUM(BD23,BD24))</f>
        <v/>
      </c>
      <c r="BC22" s="611"/>
      <c r="BD22" s="611"/>
      <c r="BE22" s="75" t="str">
        <f>IF(BB22="","",IF(BB22&gt;BF22,"○",IF(BB22&lt;BF22,"●","△")))</f>
        <v/>
      </c>
      <c r="BF22" s="611" t="str">
        <f>IF(BF23="","",SUM(BF23,BF24))</f>
        <v/>
      </c>
      <c r="BG22" s="611"/>
      <c r="BH22" s="612"/>
      <c r="BI22" s="636"/>
      <c r="BJ22" s="637"/>
      <c r="BK22" s="637"/>
      <c r="BL22" s="638"/>
      <c r="BM22" s="638"/>
      <c r="BN22" s="638"/>
      <c r="BO22" s="639"/>
      <c r="BP22" s="608" t="str">
        <f>IF(COUNT(AN23:BO23)=0,"",COUNTIF(AN22:BO22,"○")*3+COUNTIF(AN22:BO22,"△"))</f>
        <v/>
      </c>
      <c r="BQ22" s="608" t="str">
        <f>IF(BP22="","",SUM(BM10:BM25)/2-SUM(BI10:BI25))</f>
        <v/>
      </c>
      <c r="BR22" s="608" t="str">
        <f>IF(BP22="","",SUM(BM10:BM25)/2)</f>
        <v/>
      </c>
      <c r="BS22" s="608" t="str">
        <f>IF(OR(BP22="",MOD(COUNT(AN22:BO22),2)=1),"",RANK(BT22,$BT$10:$BT$25))</f>
        <v/>
      </c>
      <c r="BT22" s="76" t="str">
        <f>IF(OR(BP22="",MOD(COUNT(AN22:BO22),2)=1),"",BP22*10000+BQ22*100+BR22)</f>
        <v/>
      </c>
    </row>
    <row r="23" spans="1:72" x14ac:dyDescent="0.15">
      <c r="C23" s="615"/>
      <c r="AF23" s="615"/>
      <c r="AG23" s="615"/>
      <c r="AH23" s="615"/>
      <c r="AI23" s="615"/>
      <c r="AJ23" s="76"/>
      <c r="AK23" s="76"/>
      <c r="AM23" s="938"/>
      <c r="AN23" s="77"/>
      <c r="AP23" s="64" t="str">
        <f>IF(BM11="","",BM11)</f>
        <v/>
      </c>
      <c r="AQ23" s="61" t="s">
        <v>92</v>
      </c>
      <c r="AR23" s="65" t="str">
        <f>IF(BK11="","",BK11)</f>
        <v/>
      </c>
      <c r="AT23" s="78"/>
      <c r="AU23" s="77"/>
      <c r="AW23" s="64" t="str">
        <f>IF(BM15="","",BM15)</f>
        <v/>
      </c>
      <c r="AX23" s="61" t="s">
        <v>92</v>
      </c>
      <c r="AY23" s="65" t="str">
        <f>IF(BK15="","",BK15)</f>
        <v/>
      </c>
      <c r="BA23" s="78"/>
      <c r="BB23" s="77"/>
      <c r="BD23" s="64" t="str">
        <f>IF(BM19="","",BM19)</f>
        <v/>
      </c>
      <c r="BE23" s="61" t="s">
        <v>92</v>
      </c>
      <c r="BF23" s="65" t="str">
        <f>IF(BK19="","",BK19)</f>
        <v/>
      </c>
      <c r="BH23" s="78"/>
      <c r="BI23" s="640"/>
      <c r="BJ23" s="641"/>
      <c r="BK23" s="641"/>
      <c r="BL23" s="641"/>
      <c r="BM23" s="641"/>
      <c r="BN23" s="641"/>
      <c r="BO23" s="642"/>
      <c r="BP23" s="608"/>
      <c r="BQ23" s="608"/>
      <c r="BR23" s="608"/>
      <c r="BS23" s="608"/>
      <c r="BT23" s="76"/>
    </row>
    <row r="24" spans="1:72" x14ac:dyDescent="0.15">
      <c r="C24" s="615"/>
      <c r="AF24" s="615"/>
      <c r="AG24" s="615"/>
      <c r="AH24" s="615"/>
      <c r="AI24" s="615"/>
      <c r="AJ24" s="76"/>
      <c r="AK24" s="76"/>
      <c r="AM24" s="938"/>
      <c r="AN24" s="77"/>
      <c r="AP24" s="64" t="str">
        <f>IF(BM12="","",BM12)</f>
        <v/>
      </c>
      <c r="AQ24" s="61" t="s">
        <v>92</v>
      </c>
      <c r="AR24" s="65" t="str">
        <f>IF(BK12="","",BK12)</f>
        <v/>
      </c>
      <c r="AT24" s="78"/>
      <c r="AU24" s="77"/>
      <c r="AW24" s="64" t="str">
        <f>IF(BM16="","",BM16)</f>
        <v/>
      </c>
      <c r="AX24" s="61" t="s">
        <v>92</v>
      </c>
      <c r="AY24" s="65" t="str">
        <f>IF(BK16="","",BK16)</f>
        <v/>
      </c>
      <c r="BA24" s="78"/>
      <c r="BB24" s="77"/>
      <c r="BD24" s="64" t="str">
        <f>IF(BM20="","",BM20)</f>
        <v/>
      </c>
      <c r="BE24" s="61" t="s">
        <v>92</v>
      </c>
      <c r="BF24" s="65" t="str">
        <f>IF(BK20="","",BK20)</f>
        <v/>
      </c>
      <c r="BH24" s="78"/>
      <c r="BI24" s="640"/>
      <c r="BJ24" s="641"/>
      <c r="BK24" s="641"/>
      <c r="BL24" s="641"/>
      <c r="BM24" s="641"/>
      <c r="BN24" s="641"/>
      <c r="BO24" s="642"/>
      <c r="BP24" s="608"/>
      <c r="BQ24" s="608"/>
      <c r="BR24" s="608"/>
      <c r="BS24" s="608"/>
      <c r="BT24" s="76"/>
    </row>
    <row r="25" spans="1:72" ht="3.75" customHeight="1" x14ac:dyDescent="0.15">
      <c r="C25" s="615"/>
      <c r="AF25" s="615"/>
      <c r="AG25" s="615"/>
      <c r="AH25" s="615"/>
      <c r="AI25" s="615"/>
      <c r="AJ25" s="76"/>
      <c r="AK25" s="76"/>
      <c r="AM25" s="938"/>
      <c r="AN25" s="79"/>
      <c r="AO25" s="80"/>
      <c r="AP25" s="81"/>
      <c r="AQ25" s="82"/>
      <c r="AR25" s="83"/>
      <c r="AS25" s="80"/>
      <c r="AT25" s="84"/>
      <c r="AU25" s="79"/>
      <c r="AV25" s="80"/>
      <c r="AW25" s="81"/>
      <c r="AX25" s="82"/>
      <c r="AY25" s="83"/>
      <c r="AZ25" s="80"/>
      <c r="BA25" s="84"/>
      <c r="BB25" s="79"/>
      <c r="BC25" s="80"/>
      <c r="BD25" s="81"/>
      <c r="BE25" s="82"/>
      <c r="BF25" s="83"/>
      <c r="BG25" s="80"/>
      <c r="BH25" s="84"/>
      <c r="BI25" s="643"/>
      <c r="BJ25" s="644"/>
      <c r="BK25" s="644"/>
      <c r="BL25" s="644"/>
      <c r="BM25" s="644"/>
      <c r="BN25" s="644"/>
      <c r="BO25" s="645"/>
      <c r="BP25" s="608"/>
      <c r="BQ25" s="608"/>
      <c r="BR25" s="608"/>
      <c r="BS25" s="608"/>
      <c r="BT25" s="76"/>
    </row>
    <row r="26" spans="1:72" ht="7.5" customHeight="1" x14ac:dyDescent="0.15"/>
    <row r="27" spans="1:72" s="68" customFormat="1" ht="18" x14ac:dyDescent="0.15">
      <c r="A27" s="67"/>
      <c r="C27" s="68" t="s">
        <v>82</v>
      </c>
      <c r="D27" s="67"/>
      <c r="E27" s="67"/>
      <c r="F27" s="69"/>
      <c r="G27" s="70"/>
      <c r="H27" s="71"/>
      <c r="I27" s="67"/>
      <c r="J27" s="67"/>
      <c r="K27" s="67"/>
      <c r="L27" s="67"/>
      <c r="M27" s="69"/>
      <c r="N27" s="70"/>
      <c r="O27" s="71"/>
      <c r="P27" s="67"/>
      <c r="Q27" s="67"/>
      <c r="R27" s="67"/>
      <c r="S27" s="67"/>
      <c r="T27" s="69"/>
      <c r="U27" s="70"/>
      <c r="V27" s="71"/>
      <c r="W27" s="67"/>
      <c r="X27" s="67"/>
      <c r="AB27" s="93"/>
      <c r="AM27" s="68" t="s">
        <v>145</v>
      </c>
      <c r="AN27" s="67"/>
      <c r="AO27" s="67"/>
      <c r="AP27" s="69"/>
      <c r="AQ27" s="70"/>
      <c r="AR27" s="71"/>
      <c r="AS27" s="67"/>
      <c r="AT27" s="67"/>
      <c r="AU27" s="67"/>
      <c r="AV27" s="67"/>
      <c r="AW27" s="69"/>
      <c r="AX27" s="70"/>
      <c r="AY27" s="71"/>
      <c r="AZ27" s="67"/>
      <c r="BA27" s="67"/>
      <c r="BB27" s="67"/>
      <c r="BC27" s="67"/>
      <c r="BD27" s="69"/>
      <c r="BE27" s="70"/>
      <c r="BF27" s="71"/>
      <c r="BG27" s="67"/>
      <c r="BH27" s="67"/>
      <c r="BI27" s="67"/>
      <c r="BJ27" s="67"/>
      <c r="BK27" s="69"/>
      <c r="BL27" s="70"/>
      <c r="BM27" s="71"/>
      <c r="BN27" s="67"/>
      <c r="BO27" s="67"/>
    </row>
    <row r="28" spans="1:72" ht="28.5" x14ac:dyDescent="0.15">
      <c r="C28" s="72"/>
      <c r="D28" s="941" t="str">
        <f>C29</f>
        <v>南部</v>
      </c>
      <c r="E28" s="941"/>
      <c r="F28" s="941"/>
      <c r="G28" s="941"/>
      <c r="H28" s="941"/>
      <c r="I28" s="941"/>
      <c r="J28" s="941"/>
      <c r="K28" s="941" t="str">
        <f>C33</f>
        <v>寺井</v>
      </c>
      <c r="L28" s="941"/>
      <c r="M28" s="941"/>
      <c r="N28" s="941"/>
      <c r="O28" s="941"/>
      <c r="P28" s="941"/>
      <c r="Q28" s="941"/>
      <c r="R28" s="941" t="str">
        <f>C37</f>
        <v>野々市</v>
      </c>
      <c r="S28" s="941"/>
      <c r="T28" s="941"/>
      <c r="U28" s="941"/>
      <c r="V28" s="941"/>
      <c r="W28" s="941"/>
      <c r="X28" s="941"/>
      <c r="Y28" s="608">
        <f>J37</f>
        <v>0</v>
      </c>
      <c r="Z28" s="608"/>
      <c r="AA28" s="608"/>
      <c r="AB28" s="608"/>
      <c r="AC28" s="608"/>
      <c r="AD28" s="608"/>
      <c r="AE28" s="608"/>
      <c r="AF28" s="73" t="s">
        <v>88</v>
      </c>
      <c r="AG28" s="74" t="s">
        <v>89</v>
      </c>
      <c r="AH28" s="73" t="s">
        <v>90</v>
      </c>
      <c r="AI28" s="73" t="s">
        <v>91</v>
      </c>
      <c r="AJ28" s="76"/>
      <c r="AK28" s="76"/>
      <c r="AM28" s="72"/>
      <c r="AN28" s="941" t="str">
        <f>AM29</f>
        <v>丸内</v>
      </c>
      <c r="AO28" s="941"/>
      <c r="AP28" s="941"/>
      <c r="AQ28" s="941"/>
      <c r="AR28" s="941"/>
      <c r="AS28" s="941"/>
      <c r="AT28" s="941"/>
      <c r="AU28" s="941" t="str">
        <f>AM33</f>
        <v/>
      </c>
      <c r="AV28" s="941"/>
      <c r="AW28" s="941"/>
      <c r="AX28" s="941"/>
      <c r="AY28" s="941"/>
      <c r="AZ28" s="941"/>
      <c r="BA28" s="941"/>
      <c r="BB28" s="941" t="str">
        <f>AM37</f>
        <v/>
      </c>
      <c r="BC28" s="941"/>
      <c r="BD28" s="941"/>
      <c r="BE28" s="941"/>
      <c r="BF28" s="941"/>
      <c r="BG28" s="941"/>
      <c r="BH28" s="941"/>
      <c r="BI28" s="941" t="str">
        <f>AM41</f>
        <v/>
      </c>
      <c r="BJ28" s="941"/>
      <c r="BK28" s="941"/>
      <c r="BL28" s="941"/>
      <c r="BM28" s="941"/>
      <c r="BN28" s="941"/>
      <c r="BO28" s="941"/>
      <c r="BP28" s="73" t="s">
        <v>88</v>
      </c>
      <c r="BQ28" s="74" t="s">
        <v>89</v>
      </c>
      <c r="BR28" s="73" t="s">
        <v>90</v>
      </c>
      <c r="BS28" s="73" t="s">
        <v>91</v>
      </c>
    </row>
    <row r="29" spans="1:72" x14ac:dyDescent="0.15">
      <c r="B29" s="62">
        <v>4</v>
      </c>
      <c r="C29" s="938" t="str">
        <f>IF(ISERROR(MATCH('南(14)'!B29,予選学校名!$H$3:$H$16,0)),"",INDEX(予選学校名!$H$3:$K$16,MATCH('南(14)'!B29,予選学校名!$H$3:$H$16,0),2))</f>
        <v>南部</v>
      </c>
      <c r="D29" s="636"/>
      <c r="E29" s="637"/>
      <c r="F29" s="637"/>
      <c r="G29" s="638"/>
      <c r="H29" s="638"/>
      <c r="I29" s="638"/>
      <c r="J29" s="639"/>
      <c r="K29" s="610" t="str">
        <f>IF(M30="","",SUM(M30,M31))</f>
        <v/>
      </c>
      <c r="L29" s="611"/>
      <c r="M29" s="611"/>
      <c r="N29" s="75" t="str">
        <f>IF(K29="","",IF(K29&gt;O29,"○",IF(K29&lt;O29,"●","△")))</f>
        <v/>
      </c>
      <c r="O29" s="611" t="str">
        <f>IF(O30="","",SUM(O30,O31))</f>
        <v/>
      </c>
      <c r="P29" s="611"/>
      <c r="Q29" s="612"/>
      <c r="R29" s="610" t="str">
        <f>IF(T30="","",SUM(T30,T31))</f>
        <v/>
      </c>
      <c r="S29" s="611"/>
      <c r="T29" s="611"/>
      <c r="U29" s="75" t="str">
        <f>IF(R29="","",IF(R29&gt;V29,"○",IF(R29&lt;V29,"●","△")))</f>
        <v/>
      </c>
      <c r="V29" s="611" t="str">
        <f>IF(V30="","",SUM(V30,V31))</f>
        <v/>
      </c>
      <c r="W29" s="611"/>
      <c r="X29" s="612"/>
      <c r="Y29" s="940"/>
      <c r="Z29" s="937"/>
      <c r="AA29" s="937"/>
      <c r="AB29" s="192"/>
      <c r="AC29" s="937"/>
      <c r="AD29" s="937"/>
      <c r="AE29" s="939"/>
      <c r="AF29" s="608" t="str">
        <f>IF(COUNT(D30:AE30)=0,"",COUNTIF(D29:AE29,"○")*3+COUNTIF(D29:AE29,"△"))</f>
        <v/>
      </c>
      <c r="AG29" s="608" t="str">
        <f>IF(AF29="","",SUM(H29:H40)/2-SUM(D29:D40))</f>
        <v/>
      </c>
      <c r="AH29" s="608" t="str">
        <f>IF(AF29="","",SUM(H29:H40)/2)</f>
        <v/>
      </c>
      <c r="AI29" s="608" t="str">
        <f>IF(OR(AF29="",MOD(COUNT(D29:AE29),2)=1),"",RANK(AJ29,$AJ$29:$AJ$44))</f>
        <v/>
      </c>
      <c r="AJ29" s="76" t="str">
        <f>IF(OR(AF29="",MOD(COUNT(D29:AE29),2)=1),"",AF29*10000+AG29*100+AH29)</f>
        <v/>
      </c>
      <c r="AK29" s="76"/>
      <c r="AL29" s="62">
        <v>11</v>
      </c>
      <c r="AM29" s="938" t="str">
        <f>IF(ISERROR(MATCH('南(14)'!AL29,予選学校名!$H$3:$H$16,0)),"",INDEX(予選学校名!$H$3:$K$16,MATCH('南(14)'!AL29,予選学校名!$H$3:$H$16,0),2))</f>
        <v>丸内</v>
      </c>
      <c r="AN29" s="636"/>
      <c r="AO29" s="637"/>
      <c r="AP29" s="637"/>
      <c r="AQ29" s="638"/>
      <c r="AR29" s="638"/>
      <c r="AS29" s="638"/>
      <c r="AT29" s="639"/>
      <c r="AU29" s="610" t="str">
        <f>IF(AW30="","",SUM(AW30,AW31))</f>
        <v/>
      </c>
      <c r="AV29" s="611"/>
      <c r="AW29" s="611"/>
      <c r="AX29" s="75" t="str">
        <f>IF(AU29="","",IF(AU29&gt;AY29,"○",IF(AU29&lt;AY29,"●","△")))</f>
        <v/>
      </c>
      <c r="AY29" s="611" t="str">
        <f>IF(AY30="","",SUM(AY30,AY31))</f>
        <v/>
      </c>
      <c r="AZ29" s="611"/>
      <c r="BA29" s="612"/>
      <c r="BB29" s="610" t="str">
        <f>IF(BD30="","",SUM(BD30,BD31))</f>
        <v/>
      </c>
      <c r="BC29" s="611"/>
      <c r="BD29" s="611"/>
      <c r="BE29" s="75" t="str">
        <f>IF(BB29="","",IF(BB29&gt;BF29,"○",IF(BB29&lt;BF29,"●","△")))</f>
        <v/>
      </c>
      <c r="BF29" s="611" t="str">
        <f>IF(BF30="","",SUM(BF30,BF31))</f>
        <v/>
      </c>
      <c r="BG29" s="611"/>
      <c r="BH29" s="612"/>
      <c r="BI29" s="610" t="str">
        <f>IF(BK30="","",SUM(BK30,BK31))</f>
        <v/>
      </c>
      <c r="BJ29" s="611"/>
      <c r="BK29" s="611"/>
      <c r="BL29" s="75" t="str">
        <f>IF(BI29="","",IF(BI29&gt;BM29,"○",IF(BI29&lt;BM29,"●","△")))</f>
        <v/>
      </c>
      <c r="BM29" s="611" t="str">
        <f>IF(BM30="","",SUM(BM30,BM31))</f>
        <v/>
      </c>
      <c r="BN29" s="611"/>
      <c r="BO29" s="612"/>
      <c r="BP29" s="608" t="str">
        <f>IF(COUNT(AN30:BO30)=0,"",COUNTIF(AN29:BO29,"○")*3+COUNTIF(AN29:BO29,"△"))</f>
        <v/>
      </c>
      <c r="BQ29" s="608" t="str">
        <f>IF(BP29="","",SUM(AR29:AR44)/2-SUM(AN29:AN44))</f>
        <v/>
      </c>
      <c r="BR29" s="608" t="str">
        <f>IF(BP29="","",SUM(AR29:AR44)/2)</f>
        <v/>
      </c>
      <c r="BS29" s="608" t="str">
        <f>IF(OR(BP29="",MOD(COUNT(AN29:BO29),2)=1),"",RANK(BT29,$BT$29:$BT$44))</f>
        <v/>
      </c>
      <c r="BT29" s="76" t="str">
        <f>IF(OR(BP29="",MOD(COUNT(AN29:BO29),2)=1),"",BP29*10000+BQ29*100+BR29)</f>
        <v/>
      </c>
    </row>
    <row r="30" spans="1:72" x14ac:dyDescent="0.15">
      <c r="C30" s="938"/>
      <c r="D30" s="640"/>
      <c r="E30" s="641"/>
      <c r="F30" s="641"/>
      <c r="G30" s="641"/>
      <c r="H30" s="641"/>
      <c r="I30" s="641"/>
      <c r="J30" s="642"/>
      <c r="K30" s="77"/>
      <c r="N30" s="61" t="s">
        <v>92</v>
      </c>
      <c r="Q30" s="78"/>
      <c r="R30" s="77"/>
      <c r="U30" s="61" t="s">
        <v>92</v>
      </c>
      <c r="X30" s="78"/>
      <c r="Y30" s="193"/>
      <c r="AB30" s="76" t="s">
        <v>92</v>
      </c>
      <c r="AE30" s="194"/>
      <c r="AF30" s="608"/>
      <c r="AG30" s="608"/>
      <c r="AH30" s="608"/>
      <c r="AI30" s="608"/>
      <c r="AJ30" s="76"/>
      <c r="AK30" s="76"/>
      <c r="AM30" s="938"/>
      <c r="AN30" s="640"/>
      <c r="AO30" s="641"/>
      <c r="AP30" s="641"/>
      <c r="AQ30" s="641"/>
      <c r="AR30" s="641"/>
      <c r="AS30" s="641"/>
      <c r="AT30" s="642"/>
      <c r="AU30" s="77"/>
      <c r="AX30" s="61" t="s">
        <v>92</v>
      </c>
      <c r="BA30" s="78"/>
      <c r="BB30" s="77"/>
      <c r="BE30" s="61" t="s">
        <v>92</v>
      </c>
      <c r="BH30" s="78"/>
      <c r="BI30" s="77"/>
      <c r="BL30" s="61" t="s">
        <v>92</v>
      </c>
      <c r="BO30" s="78"/>
      <c r="BP30" s="608"/>
      <c r="BQ30" s="608"/>
      <c r="BR30" s="608"/>
      <c r="BS30" s="608"/>
      <c r="BT30" s="76"/>
    </row>
    <row r="31" spans="1:72" x14ac:dyDescent="0.15">
      <c r="C31" s="938"/>
      <c r="D31" s="640"/>
      <c r="E31" s="641"/>
      <c r="F31" s="641"/>
      <c r="G31" s="641"/>
      <c r="H31" s="641"/>
      <c r="I31" s="641"/>
      <c r="J31" s="642"/>
      <c r="K31" s="77"/>
      <c r="N31" s="61" t="s">
        <v>92</v>
      </c>
      <c r="Q31" s="78"/>
      <c r="R31" s="77"/>
      <c r="U31" s="61" t="s">
        <v>92</v>
      </c>
      <c r="X31" s="78"/>
      <c r="Y31" s="193"/>
      <c r="AB31" s="76" t="s">
        <v>92</v>
      </c>
      <c r="AE31" s="194"/>
      <c r="AF31" s="608"/>
      <c r="AG31" s="608"/>
      <c r="AH31" s="608"/>
      <c r="AI31" s="608"/>
      <c r="AJ31" s="76"/>
      <c r="AK31" s="76"/>
      <c r="AM31" s="938"/>
      <c r="AN31" s="640"/>
      <c r="AO31" s="641"/>
      <c r="AP31" s="641"/>
      <c r="AQ31" s="641"/>
      <c r="AR31" s="641"/>
      <c r="AS31" s="641"/>
      <c r="AT31" s="642"/>
      <c r="AU31" s="77"/>
      <c r="AX31" s="61" t="s">
        <v>92</v>
      </c>
      <c r="BA31" s="78"/>
      <c r="BB31" s="77"/>
      <c r="BE31" s="61" t="s">
        <v>92</v>
      </c>
      <c r="BH31" s="78"/>
      <c r="BI31" s="77"/>
      <c r="BL31" s="61" t="s">
        <v>92</v>
      </c>
      <c r="BO31" s="78"/>
      <c r="BP31" s="608"/>
      <c r="BQ31" s="608"/>
      <c r="BR31" s="608"/>
      <c r="BS31" s="608"/>
      <c r="BT31" s="76"/>
    </row>
    <row r="32" spans="1:72" ht="3.75" customHeight="1" x14ac:dyDescent="0.15">
      <c r="C32" s="938"/>
      <c r="D32" s="643"/>
      <c r="E32" s="644"/>
      <c r="F32" s="644"/>
      <c r="G32" s="644"/>
      <c r="H32" s="644"/>
      <c r="I32" s="644"/>
      <c r="J32" s="645"/>
      <c r="K32" s="79"/>
      <c r="L32" s="80"/>
      <c r="M32" s="81"/>
      <c r="N32" s="82"/>
      <c r="O32" s="83"/>
      <c r="P32" s="80"/>
      <c r="Q32" s="84"/>
      <c r="R32" s="79"/>
      <c r="S32" s="80"/>
      <c r="T32" s="81"/>
      <c r="U32" s="82"/>
      <c r="V32" s="83"/>
      <c r="W32" s="80"/>
      <c r="X32" s="84"/>
      <c r="Y32" s="195"/>
      <c r="Z32" s="196"/>
      <c r="AA32" s="196"/>
      <c r="AB32" s="197"/>
      <c r="AC32" s="196"/>
      <c r="AD32" s="196"/>
      <c r="AE32" s="198"/>
      <c r="AF32" s="608"/>
      <c r="AG32" s="608"/>
      <c r="AH32" s="608"/>
      <c r="AI32" s="608"/>
      <c r="AJ32" s="76"/>
      <c r="AK32" s="76"/>
      <c r="AM32" s="938"/>
      <c r="AN32" s="643"/>
      <c r="AO32" s="644"/>
      <c r="AP32" s="644"/>
      <c r="AQ32" s="644"/>
      <c r="AR32" s="644"/>
      <c r="AS32" s="644"/>
      <c r="AT32" s="645"/>
      <c r="AU32" s="79"/>
      <c r="AV32" s="80"/>
      <c r="AW32" s="81"/>
      <c r="AX32" s="82"/>
      <c r="AY32" s="83"/>
      <c r="AZ32" s="80"/>
      <c r="BA32" s="84"/>
      <c r="BB32" s="79"/>
      <c r="BC32" s="80"/>
      <c r="BD32" s="81"/>
      <c r="BE32" s="82"/>
      <c r="BF32" s="83"/>
      <c r="BG32" s="80"/>
      <c r="BH32" s="84"/>
      <c r="BI32" s="79"/>
      <c r="BJ32" s="80"/>
      <c r="BK32" s="81"/>
      <c r="BL32" s="82"/>
      <c r="BM32" s="83"/>
      <c r="BN32" s="80"/>
      <c r="BO32" s="84"/>
      <c r="BP32" s="608"/>
      <c r="BQ32" s="608"/>
      <c r="BR32" s="608"/>
      <c r="BS32" s="608"/>
      <c r="BT32" s="76"/>
    </row>
    <row r="33" spans="1:105" x14ac:dyDescent="0.15">
      <c r="A33" s="62"/>
      <c r="B33" s="62">
        <v>5</v>
      </c>
      <c r="C33" s="938" t="str">
        <f>IF(ISERROR(MATCH('南(14)'!B33,予選学校名!$H$3:$H$16,0)),"",INDEX(予選学校名!$H$3:$K$16,MATCH('南(14)'!B33,予選学校名!$H$3:$H$16,0),2))</f>
        <v>寺井</v>
      </c>
      <c r="D33" s="610" t="str">
        <f>IF(F34="","",SUM(F34,F35))</f>
        <v/>
      </c>
      <c r="E33" s="611"/>
      <c r="F33" s="611"/>
      <c r="G33" s="75" t="str">
        <f>IF(D33="","",IF(D33&gt;H33,"○",IF(D33&lt;H33,"●","△")))</f>
        <v/>
      </c>
      <c r="H33" s="611" t="str">
        <f>IF(H34="","",SUM(H34,H35))</f>
        <v/>
      </c>
      <c r="I33" s="611"/>
      <c r="J33" s="612"/>
      <c r="K33" s="636"/>
      <c r="L33" s="637"/>
      <c r="M33" s="637"/>
      <c r="N33" s="638"/>
      <c r="O33" s="638"/>
      <c r="P33" s="638"/>
      <c r="Q33" s="639"/>
      <c r="R33" s="610" t="str">
        <f>IF(T34="","",SUM(T34,T35))</f>
        <v/>
      </c>
      <c r="S33" s="611"/>
      <c r="T33" s="611"/>
      <c r="U33" s="75" t="str">
        <f>IF(R33="","",IF(R33&gt;V33,"○",IF(R33&lt;V33,"●","△")))</f>
        <v/>
      </c>
      <c r="V33" s="611" t="str">
        <f>IF(V34="","",SUM(V34,V35))</f>
        <v/>
      </c>
      <c r="W33" s="611"/>
      <c r="X33" s="612"/>
      <c r="Y33" s="940"/>
      <c r="Z33" s="937"/>
      <c r="AA33" s="937"/>
      <c r="AB33" s="192"/>
      <c r="AC33" s="937"/>
      <c r="AD33" s="937"/>
      <c r="AE33" s="939"/>
      <c r="AF33" s="608" t="str">
        <f>IF(COUNT(D34:AE34)=0,"",COUNTIF(D33:AE33,"○")*3+COUNTIF(D33:AE33,"△"))</f>
        <v/>
      </c>
      <c r="AG33" s="608" t="str">
        <f>IF(AF33="","",SUM(O29:O40)/2-SUM(K29:K40))</f>
        <v/>
      </c>
      <c r="AH33" s="608" t="str">
        <f>IF(AF33="","",SUM(O29:O40)/2)</f>
        <v/>
      </c>
      <c r="AI33" s="608" t="str">
        <f>IF(OR(AF33="",MOD(COUNT(D33:AE33),2)=1),"",RANK(AJ33,$AJ$29:$AJ$44))</f>
        <v/>
      </c>
      <c r="AJ33" s="76" t="str">
        <f>IF(OR(AF33="",MOD(COUNT(D33:AE33),2)=1),"",AF33*10000+AG33*100+AH33)</f>
        <v/>
      </c>
      <c r="AK33" s="76"/>
      <c r="AL33" s="62">
        <v>12</v>
      </c>
      <c r="AM33" s="938" t="str">
        <f>IF(ISERROR(MATCH('南(14)'!AL33,予選学校名!$H$3:$H$16,0)),"",INDEX(予選学校名!$H$3:$K$16,MATCH('南(14)'!AL33,予選学校名!$H$3:$H$16,0),2))</f>
        <v/>
      </c>
      <c r="AN33" s="610" t="str">
        <f>IF(AP34="","",SUM(AP34,AP35))</f>
        <v/>
      </c>
      <c r="AO33" s="611"/>
      <c r="AP33" s="611"/>
      <c r="AQ33" s="75" t="str">
        <f>IF(AN33="","",IF(AN33&gt;AR33,"○",IF(AN33&lt;AR33,"●","△")))</f>
        <v/>
      </c>
      <c r="AR33" s="611" t="str">
        <f>IF(AR34="","",SUM(AR34,AR35))</f>
        <v/>
      </c>
      <c r="AS33" s="611"/>
      <c r="AT33" s="612"/>
      <c r="AU33" s="636"/>
      <c r="AV33" s="637"/>
      <c r="AW33" s="637"/>
      <c r="AX33" s="638"/>
      <c r="AY33" s="638"/>
      <c r="AZ33" s="638"/>
      <c r="BA33" s="639"/>
      <c r="BB33" s="610" t="str">
        <f>IF(BD34="","",SUM(BD34,BD35))</f>
        <v/>
      </c>
      <c r="BC33" s="611"/>
      <c r="BD33" s="611"/>
      <c r="BE33" s="75" t="str">
        <f>IF(BB33="","",IF(BB33&gt;BF33,"○",IF(BB33&lt;BF33,"●","△")))</f>
        <v/>
      </c>
      <c r="BF33" s="611" t="str">
        <f>IF(BF34="","",SUM(BF34,BF35))</f>
        <v/>
      </c>
      <c r="BG33" s="611"/>
      <c r="BH33" s="612"/>
      <c r="BI33" s="610" t="str">
        <f>IF(BK34="","",SUM(BK34,BK35))</f>
        <v/>
      </c>
      <c r="BJ33" s="611"/>
      <c r="BK33" s="611"/>
      <c r="BL33" s="75" t="str">
        <f>IF(BI33="","",IF(BI33&gt;BM33,"○",IF(BI33&lt;BM33,"●","△")))</f>
        <v/>
      </c>
      <c r="BM33" s="611" t="str">
        <f>IF(BM34="","",SUM(BM34,BM35))</f>
        <v/>
      </c>
      <c r="BN33" s="611"/>
      <c r="BO33" s="612"/>
      <c r="BP33" s="608" t="str">
        <f>IF(COUNT(AN34:BO34)=0,"",COUNTIF(AN33:BO33,"○")*3+COUNTIF(AN33:BO33,"△"))</f>
        <v/>
      </c>
      <c r="BQ33" s="608" t="str">
        <f>IF(BP33="","",SUM(AY29:AY44)/2-SUM(AU29:AU44))</f>
        <v/>
      </c>
      <c r="BR33" s="608" t="str">
        <f>IF(BP33="","",SUM(AY29:AY44)/2)</f>
        <v/>
      </c>
      <c r="BS33" s="608" t="str">
        <f>IF(OR(BP33="",MOD(COUNT(AN33:BO33),2)=1),"",RANK(BT33,$BT$29:$BT$44))</f>
        <v/>
      </c>
      <c r="BT33" s="76" t="str">
        <f>IF(OR(BP33="",MOD(COUNT(AN33:BO33),2)=1),"",BP33*10000+BQ33*100+BR33)</f>
        <v/>
      </c>
    </row>
    <row r="34" spans="1:105" x14ac:dyDescent="0.15">
      <c r="A34" s="62"/>
      <c r="C34" s="938"/>
      <c r="D34" s="77"/>
      <c r="F34" s="64" t="str">
        <f>IF(O30="","",O30)</f>
        <v/>
      </c>
      <c r="G34" s="61" t="s">
        <v>92</v>
      </c>
      <c r="H34" s="65" t="str">
        <f>IF(M30="","",M30)</f>
        <v/>
      </c>
      <c r="J34" s="78"/>
      <c r="K34" s="640"/>
      <c r="L34" s="641"/>
      <c r="M34" s="641"/>
      <c r="N34" s="641"/>
      <c r="O34" s="641"/>
      <c r="P34" s="641"/>
      <c r="Q34" s="642"/>
      <c r="R34" s="77"/>
      <c r="U34" s="61" t="s">
        <v>92</v>
      </c>
      <c r="X34" s="78"/>
      <c r="Y34" s="193"/>
      <c r="AB34" s="76" t="s">
        <v>92</v>
      </c>
      <c r="AE34" s="194"/>
      <c r="AF34" s="608"/>
      <c r="AG34" s="608"/>
      <c r="AH34" s="608"/>
      <c r="AI34" s="608"/>
      <c r="AJ34" s="76"/>
      <c r="AK34" s="76"/>
      <c r="AM34" s="938"/>
      <c r="AN34" s="77"/>
      <c r="AP34" s="64" t="str">
        <f>IF(AY30="","",AY30)</f>
        <v/>
      </c>
      <c r="AQ34" s="61" t="s">
        <v>92</v>
      </c>
      <c r="AR34" s="65" t="str">
        <f>IF(AW30="","",AW30)</f>
        <v/>
      </c>
      <c r="AT34" s="78"/>
      <c r="AU34" s="640"/>
      <c r="AV34" s="641"/>
      <c r="AW34" s="641"/>
      <c r="AX34" s="641"/>
      <c r="AY34" s="641"/>
      <c r="AZ34" s="641"/>
      <c r="BA34" s="642"/>
      <c r="BB34" s="77"/>
      <c r="BE34" s="61" t="s">
        <v>92</v>
      </c>
      <c r="BH34" s="78"/>
      <c r="BI34" s="77"/>
      <c r="BL34" s="61" t="s">
        <v>92</v>
      </c>
      <c r="BO34" s="78"/>
      <c r="BP34" s="608"/>
      <c r="BQ34" s="608"/>
      <c r="BR34" s="608"/>
      <c r="BS34" s="608"/>
      <c r="BT34" s="76"/>
    </row>
    <row r="35" spans="1:105" x14ac:dyDescent="0.15">
      <c r="A35" s="62"/>
      <c r="C35" s="938"/>
      <c r="D35" s="77"/>
      <c r="F35" s="64" t="str">
        <f>IF(O31="","",O31)</f>
        <v/>
      </c>
      <c r="G35" s="61" t="s">
        <v>92</v>
      </c>
      <c r="H35" s="65" t="str">
        <f>IF(M31="","",M31)</f>
        <v/>
      </c>
      <c r="J35" s="78"/>
      <c r="K35" s="640"/>
      <c r="L35" s="641"/>
      <c r="M35" s="641"/>
      <c r="N35" s="641"/>
      <c r="O35" s="641"/>
      <c r="P35" s="641"/>
      <c r="Q35" s="642"/>
      <c r="R35" s="77"/>
      <c r="U35" s="61" t="s">
        <v>92</v>
      </c>
      <c r="X35" s="78"/>
      <c r="Y35" s="193"/>
      <c r="AB35" s="76" t="s">
        <v>92</v>
      </c>
      <c r="AE35" s="194"/>
      <c r="AF35" s="608"/>
      <c r="AG35" s="608"/>
      <c r="AH35" s="608"/>
      <c r="AI35" s="608"/>
      <c r="AJ35" s="76"/>
      <c r="AK35" s="76"/>
      <c r="AM35" s="938"/>
      <c r="AN35" s="77"/>
      <c r="AP35" s="64" t="str">
        <f>IF(AY31="","",AY31)</f>
        <v/>
      </c>
      <c r="AQ35" s="61" t="s">
        <v>92</v>
      </c>
      <c r="AR35" s="65" t="str">
        <f>IF(AW31="","",AW31)</f>
        <v/>
      </c>
      <c r="AT35" s="78"/>
      <c r="AU35" s="640"/>
      <c r="AV35" s="641"/>
      <c r="AW35" s="641"/>
      <c r="AX35" s="641"/>
      <c r="AY35" s="641"/>
      <c r="AZ35" s="641"/>
      <c r="BA35" s="642"/>
      <c r="BB35" s="77"/>
      <c r="BE35" s="61" t="s">
        <v>92</v>
      </c>
      <c r="BH35" s="78"/>
      <c r="BI35" s="77"/>
      <c r="BL35" s="61" t="s">
        <v>92</v>
      </c>
      <c r="BO35" s="78"/>
      <c r="BP35" s="608"/>
      <c r="BQ35" s="608"/>
      <c r="BR35" s="608"/>
      <c r="BS35" s="608"/>
      <c r="BT35" s="76"/>
    </row>
    <row r="36" spans="1:105" ht="3.75" customHeight="1" x14ac:dyDescent="0.15">
      <c r="A36" s="62"/>
      <c r="C36" s="938"/>
      <c r="D36" s="79"/>
      <c r="E36" s="80"/>
      <c r="F36" s="81"/>
      <c r="G36" s="82"/>
      <c r="H36" s="83"/>
      <c r="I36" s="80"/>
      <c r="J36" s="84"/>
      <c r="K36" s="643"/>
      <c r="L36" s="644"/>
      <c r="M36" s="644"/>
      <c r="N36" s="644"/>
      <c r="O36" s="644"/>
      <c r="P36" s="644"/>
      <c r="Q36" s="645"/>
      <c r="R36" s="79"/>
      <c r="S36" s="80"/>
      <c r="T36" s="81"/>
      <c r="U36" s="82"/>
      <c r="V36" s="83"/>
      <c r="W36" s="80"/>
      <c r="X36" s="84"/>
      <c r="Y36" s="195"/>
      <c r="Z36" s="196"/>
      <c r="AA36" s="196"/>
      <c r="AB36" s="197"/>
      <c r="AC36" s="196"/>
      <c r="AD36" s="196"/>
      <c r="AE36" s="198"/>
      <c r="AF36" s="608"/>
      <c r="AG36" s="608"/>
      <c r="AH36" s="608"/>
      <c r="AI36" s="608"/>
      <c r="AJ36" s="76"/>
      <c r="AK36" s="76"/>
      <c r="AM36" s="938"/>
      <c r="AN36" s="79"/>
      <c r="AO36" s="80"/>
      <c r="AP36" s="81"/>
      <c r="AQ36" s="82"/>
      <c r="AR36" s="83"/>
      <c r="AS36" s="80"/>
      <c r="AT36" s="84"/>
      <c r="AU36" s="643"/>
      <c r="AV36" s="644"/>
      <c r="AW36" s="644"/>
      <c r="AX36" s="644"/>
      <c r="AY36" s="644"/>
      <c r="AZ36" s="644"/>
      <c r="BA36" s="645"/>
      <c r="BB36" s="79"/>
      <c r="BC36" s="80"/>
      <c r="BD36" s="81"/>
      <c r="BE36" s="82"/>
      <c r="BF36" s="83"/>
      <c r="BG36" s="80"/>
      <c r="BH36" s="84"/>
      <c r="BI36" s="79"/>
      <c r="BJ36" s="80"/>
      <c r="BK36" s="81"/>
      <c r="BL36" s="82"/>
      <c r="BM36" s="83"/>
      <c r="BN36" s="80"/>
      <c r="BO36" s="84"/>
      <c r="BP36" s="608"/>
      <c r="BQ36" s="608"/>
      <c r="BR36" s="608"/>
      <c r="BS36" s="608"/>
      <c r="BT36" s="76"/>
    </row>
    <row r="37" spans="1:105" x14ac:dyDescent="0.15">
      <c r="A37" s="62"/>
      <c r="B37" s="62">
        <v>6</v>
      </c>
      <c r="C37" s="938" t="str">
        <f>IF(ISERROR(MATCH('南(14)'!B37,予選学校名!$H$3:$H$16,0)),"",INDEX(予選学校名!$H$3:$K$16,MATCH('南(14)'!B37,予選学校名!$H$3:$H$16,0),2))</f>
        <v>野々市</v>
      </c>
      <c r="D37" s="610" t="str">
        <f>IF(F38="","",SUM(F38,F39))</f>
        <v/>
      </c>
      <c r="E37" s="611"/>
      <c r="F37" s="611"/>
      <c r="G37" s="75" t="str">
        <f>IF(D37="","",IF(D37&gt;H37,"○",IF(D37&lt;H37,"●","△")))</f>
        <v/>
      </c>
      <c r="H37" s="611" t="str">
        <f>IF(H38="","",SUM(H38,H39))</f>
        <v/>
      </c>
      <c r="I37" s="611"/>
      <c r="J37" s="612"/>
      <c r="K37" s="610" t="str">
        <f>IF(M38="","",SUM(M38,M39))</f>
        <v/>
      </c>
      <c r="L37" s="611"/>
      <c r="M37" s="611"/>
      <c r="N37" s="75" t="str">
        <f>IF(K37="","",IF(K37&gt;O37,"○",IF(K37&lt;O37,"●","△")))</f>
        <v/>
      </c>
      <c r="O37" s="611" t="str">
        <f>IF(O38="","",SUM(O38,O39))</f>
        <v/>
      </c>
      <c r="P37" s="611"/>
      <c r="Q37" s="612"/>
      <c r="R37" s="636"/>
      <c r="S37" s="637"/>
      <c r="T37" s="637"/>
      <c r="U37" s="638"/>
      <c r="V37" s="638"/>
      <c r="W37" s="638"/>
      <c r="X37" s="639"/>
      <c r="Y37" s="940"/>
      <c r="Z37" s="937"/>
      <c r="AA37" s="937"/>
      <c r="AB37" s="192"/>
      <c r="AC37" s="937"/>
      <c r="AD37" s="937"/>
      <c r="AE37" s="939"/>
      <c r="AF37" s="608" t="str">
        <f>IF(COUNT(D38:AE38)=0,"",COUNTIF(D37:AE37,"○")*3+COUNTIF(D37:AE37,"△"))</f>
        <v/>
      </c>
      <c r="AG37" s="608" t="str">
        <f>IF(AF37="","",SUM(V29:V40)/2-SUM(R29:R40))</f>
        <v/>
      </c>
      <c r="AH37" s="608" t="str">
        <f>IF(AF37="","",SUM(V29:V40)/2)</f>
        <v/>
      </c>
      <c r="AI37" s="608" t="str">
        <f>IF(OR(AF37="",MOD(COUNT(D37:AE37),2)=1),"",RANK(AJ37,$AJ$29:$AJ$44))</f>
        <v/>
      </c>
      <c r="AJ37" s="76" t="str">
        <f>IF(OR(AF37="",MOD(COUNT(D37:AE37),2)=1),"",AF37*10000+AG37*100+AH37)</f>
        <v/>
      </c>
      <c r="AK37" s="76"/>
      <c r="AL37" s="62">
        <v>13</v>
      </c>
      <c r="AM37" s="938" t="str">
        <f>IF(ISERROR(MATCH('南(14)'!AL37,予選学校名!$H$3:$H$16,0)),"",INDEX(予選学校名!$H$3:$K$16,MATCH('南(14)'!AL37,予選学校名!$H$3:$H$16,0),2))</f>
        <v/>
      </c>
      <c r="AN37" s="610" t="str">
        <f>IF(AP38="","",SUM(AP38,AP39))</f>
        <v/>
      </c>
      <c r="AO37" s="611"/>
      <c r="AP37" s="611"/>
      <c r="AQ37" s="75" t="str">
        <f>IF(AN37="","",IF(AN37&gt;AR37,"○",IF(AN37&lt;AR37,"●","△")))</f>
        <v/>
      </c>
      <c r="AR37" s="611" t="str">
        <f>IF(AR38="","",SUM(AR38,AR39))</f>
        <v/>
      </c>
      <c r="AS37" s="611"/>
      <c r="AT37" s="612"/>
      <c r="AU37" s="610" t="str">
        <f>IF(AW38="","",SUM(AW38,AW39))</f>
        <v/>
      </c>
      <c r="AV37" s="611"/>
      <c r="AW37" s="611"/>
      <c r="AX37" s="75" t="str">
        <f>IF(AU37="","",IF(AU37&gt;AY37,"○",IF(AU37&lt;AY37,"●","△")))</f>
        <v/>
      </c>
      <c r="AY37" s="611" t="str">
        <f>IF(AY38="","",SUM(AY38,AY39))</f>
        <v/>
      </c>
      <c r="AZ37" s="611"/>
      <c r="BA37" s="612"/>
      <c r="BB37" s="636"/>
      <c r="BC37" s="637"/>
      <c r="BD37" s="637"/>
      <c r="BE37" s="638"/>
      <c r="BF37" s="638"/>
      <c r="BG37" s="638"/>
      <c r="BH37" s="639"/>
      <c r="BI37" s="610" t="str">
        <f>IF(BK38="","",SUM(BK38,BK39))</f>
        <v/>
      </c>
      <c r="BJ37" s="611"/>
      <c r="BK37" s="611"/>
      <c r="BL37" s="75" t="str">
        <f>IF(BI37="","",IF(BI37&gt;BM37,"○",IF(BI37&lt;BM37,"●","△")))</f>
        <v/>
      </c>
      <c r="BM37" s="611" t="str">
        <f>IF(BM38="","",SUM(BM38,BM39))</f>
        <v/>
      </c>
      <c r="BN37" s="611"/>
      <c r="BO37" s="612"/>
      <c r="BP37" s="608" t="str">
        <f>IF(COUNT(AN38:BO38)=0,"",COUNTIF(AN37:BO37,"○")*3+COUNTIF(AN37:BO37,"△"))</f>
        <v/>
      </c>
      <c r="BQ37" s="608" t="str">
        <f>IF(BP37="","",SUM(BF29:BF44)/2-SUM(BB29:BB44))</f>
        <v/>
      </c>
      <c r="BR37" s="608" t="str">
        <f>IF(BP37="","",SUM(BF29:BF44)/2)</f>
        <v/>
      </c>
      <c r="BS37" s="608" t="str">
        <f>IF(OR(BP37="",MOD(COUNT(AN37:BO37),2)=1),"",RANK(BT37,$BT$29:$BT$44))</f>
        <v/>
      </c>
      <c r="BT37" s="76" t="str">
        <f>IF(OR(BP37="",MOD(COUNT(AN37:BO37),2)=1),"",BP37*10000+BQ37*100+BR37)</f>
        <v/>
      </c>
    </row>
    <row r="38" spans="1:105" x14ac:dyDescent="0.15">
      <c r="A38" s="62"/>
      <c r="C38" s="938"/>
      <c r="D38" s="77"/>
      <c r="F38" s="64" t="str">
        <f>IF(V30="","",V30)</f>
        <v/>
      </c>
      <c r="G38" s="61" t="s">
        <v>92</v>
      </c>
      <c r="H38" s="65" t="str">
        <f>IF(T30="","",T30)</f>
        <v/>
      </c>
      <c r="J38" s="78"/>
      <c r="K38" s="77"/>
      <c r="M38" s="64" t="str">
        <f>IF(V34="","",V34)</f>
        <v/>
      </c>
      <c r="N38" s="61" t="s">
        <v>92</v>
      </c>
      <c r="O38" s="65" t="str">
        <f>IF(T34="","",T34)</f>
        <v/>
      </c>
      <c r="Q38" s="78"/>
      <c r="R38" s="640"/>
      <c r="S38" s="641"/>
      <c r="T38" s="641"/>
      <c r="U38" s="641"/>
      <c r="V38" s="641"/>
      <c r="W38" s="641"/>
      <c r="X38" s="642"/>
      <c r="Y38" s="193"/>
      <c r="AE38" s="194"/>
      <c r="AF38" s="608"/>
      <c r="AG38" s="608"/>
      <c r="AH38" s="608"/>
      <c r="AI38" s="608"/>
      <c r="AJ38" s="76"/>
      <c r="AK38" s="76"/>
      <c r="AM38" s="938"/>
      <c r="AN38" s="77"/>
      <c r="AP38" s="64" t="str">
        <f>IF(BF30="","",BF30)</f>
        <v/>
      </c>
      <c r="AQ38" s="61" t="s">
        <v>92</v>
      </c>
      <c r="AR38" s="65" t="str">
        <f>IF(BD30="","",BD30)</f>
        <v/>
      </c>
      <c r="AT38" s="78"/>
      <c r="AU38" s="77"/>
      <c r="AW38" s="64" t="str">
        <f>IF(BF34="","",BF34)</f>
        <v/>
      </c>
      <c r="AX38" s="61" t="s">
        <v>92</v>
      </c>
      <c r="AY38" s="65" t="str">
        <f>IF(BD34="","",BD34)</f>
        <v/>
      </c>
      <c r="BA38" s="78"/>
      <c r="BB38" s="640"/>
      <c r="BC38" s="641"/>
      <c r="BD38" s="641"/>
      <c r="BE38" s="641"/>
      <c r="BF38" s="641"/>
      <c r="BG38" s="641"/>
      <c r="BH38" s="642"/>
      <c r="BI38" s="77"/>
      <c r="BL38" s="61" t="s">
        <v>92</v>
      </c>
      <c r="BO38" s="78"/>
      <c r="BP38" s="608"/>
      <c r="BQ38" s="608"/>
      <c r="BR38" s="608"/>
      <c r="BS38" s="608"/>
      <c r="BT38" s="76"/>
    </row>
    <row r="39" spans="1:105" x14ac:dyDescent="0.15">
      <c r="A39" s="62"/>
      <c r="C39" s="938"/>
      <c r="D39" s="77"/>
      <c r="F39" s="64" t="str">
        <f>IF(V31="","",V31)</f>
        <v/>
      </c>
      <c r="G39" s="61" t="s">
        <v>92</v>
      </c>
      <c r="H39" s="65" t="str">
        <f>IF(T31="","",T31)</f>
        <v/>
      </c>
      <c r="J39" s="78"/>
      <c r="K39" s="77"/>
      <c r="M39" s="64" t="str">
        <f>IF(V35="","",V35)</f>
        <v/>
      </c>
      <c r="N39" s="61" t="s">
        <v>92</v>
      </c>
      <c r="O39" s="65" t="str">
        <f>IF(T35="","",T35)</f>
        <v/>
      </c>
      <c r="Q39" s="78"/>
      <c r="R39" s="640"/>
      <c r="S39" s="641"/>
      <c r="T39" s="641"/>
      <c r="U39" s="641"/>
      <c r="V39" s="641"/>
      <c r="W39" s="641"/>
      <c r="X39" s="642"/>
      <c r="Y39" s="193"/>
      <c r="AE39" s="194"/>
      <c r="AF39" s="608"/>
      <c r="AG39" s="608"/>
      <c r="AH39" s="608"/>
      <c r="AI39" s="608"/>
      <c r="AJ39" s="76"/>
      <c r="AK39" s="76"/>
      <c r="AM39" s="938"/>
      <c r="AN39" s="77"/>
      <c r="AP39" s="64" t="str">
        <f>IF(BF31="","",BF31)</f>
        <v/>
      </c>
      <c r="AQ39" s="61" t="s">
        <v>92</v>
      </c>
      <c r="AR39" s="65" t="str">
        <f>IF(BD31="","",BD31)</f>
        <v/>
      </c>
      <c r="AT39" s="78"/>
      <c r="AU39" s="77"/>
      <c r="AW39" s="64" t="str">
        <f>IF(BF35="","",BF35)</f>
        <v/>
      </c>
      <c r="AX39" s="61" t="s">
        <v>92</v>
      </c>
      <c r="AY39" s="65" t="str">
        <f>IF(BD35="","",BD35)</f>
        <v/>
      </c>
      <c r="BA39" s="78"/>
      <c r="BB39" s="640"/>
      <c r="BC39" s="641"/>
      <c r="BD39" s="641"/>
      <c r="BE39" s="641"/>
      <c r="BF39" s="641"/>
      <c r="BG39" s="641"/>
      <c r="BH39" s="642"/>
      <c r="BI39" s="77"/>
      <c r="BL39" s="61" t="s">
        <v>92</v>
      </c>
      <c r="BO39" s="78"/>
      <c r="BP39" s="608"/>
      <c r="BQ39" s="608"/>
      <c r="BR39" s="608"/>
      <c r="BS39" s="608"/>
      <c r="BT39" s="76"/>
    </row>
    <row r="40" spans="1:105" ht="3.75" customHeight="1" x14ac:dyDescent="0.15">
      <c r="A40" s="62"/>
      <c r="C40" s="938"/>
      <c r="D40" s="79"/>
      <c r="E40" s="80"/>
      <c r="F40" s="81"/>
      <c r="G40" s="82"/>
      <c r="H40" s="83"/>
      <c r="I40" s="80"/>
      <c r="J40" s="84"/>
      <c r="K40" s="79"/>
      <c r="L40" s="80"/>
      <c r="M40" s="81"/>
      <c r="N40" s="82"/>
      <c r="O40" s="83"/>
      <c r="P40" s="80"/>
      <c r="Q40" s="84"/>
      <c r="R40" s="643"/>
      <c r="S40" s="644"/>
      <c r="T40" s="644"/>
      <c r="U40" s="644"/>
      <c r="V40" s="644"/>
      <c r="W40" s="644"/>
      <c r="X40" s="645"/>
      <c r="Y40" s="195"/>
      <c r="Z40" s="196"/>
      <c r="AA40" s="196"/>
      <c r="AB40" s="197"/>
      <c r="AC40" s="196"/>
      <c r="AD40" s="196"/>
      <c r="AE40" s="198"/>
      <c r="AF40" s="608"/>
      <c r="AG40" s="608"/>
      <c r="AH40" s="608"/>
      <c r="AI40" s="608"/>
      <c r="AJ40" s="76"/>
      <c r="AK40" s="76"/>
      <c r="AM40" s="938"/>
      <c r="AN40" s="79"/>
      <c r="AO40" s="80"/>
      <c r="AP40" s="81"/>
      <c r="AQ40" s="82"/>
      <c r="AR40" s="83"/>
      <c r="AS40" s="80"/>
      <c r="AT40" s="84"/>
      <c r="AU40" s="79"/>
      <c r="AV40" s="80"/>
      <c r="AW40" s="81"/>
      <c r="AX40" s="82"/>
      <c r="AY40" s="83"/>
      <c r="AZ40" s="80"/>
      <c r="BA40" s="84"/>
      <c r="BB40" s="643"/>
      <c r="BC40" s="644"/>
      <c r="BD40" s="644"/>
      <c r="BE40" s="644"/>
      <c r="BF40" s="644"/>
      <c r="BG40" s="644"/>
      <c r="BH40" s="645"/>
      <c r="BI40" s="79"/>
      <c r="BJ40" s="80"/>
      <c r="BK40" s="81"/>
      <c r="BL40" s="82"/>
      <c r="BM40" s="83"/>
      <c r="BN40" s="80"/>
      <c r="BO40" s="84"/>
      <c r="BP40" s="608"/>
      <c r="BQ40" s="608"/>
      <c r="BR40" s="608"/>
      <c r="BS40" s="608"/>
      <c r="BT40" s="76"/>
    </row>
    <row r="41" spans="1:105" x14ac:dyDescent="0.15">
      <c r="A41" s="62"/>
      <c r="C41" s="937"/>
      <c r="D41" s="611"/>
      <c r="E41" s="611"/>
      <c r="F41" s="611"/>
      <c r="G41" s="75"/>
      <c r="H41" s="611"/>
      <c r="I41" s="611"/>
      <c r="J41" s="611"/>
      <c r="K41" s="611"/>
      <c r="L41" s="611"/>
      <c r="M41" s="611"/>
      <c r="N41" s="75"/>
      <c r="O41" s="611"/>
      <c r="P41" s="611"/>
      <c r="Q41" s="611"/>
      <c r="R41" s="611"/>
      <c r="S41" s="611"/>
      <c r="T41" s="611"/>
      <c r="U41" s="75"/>
      <c r="V41" s="611"/>
      <c r="W41" s="611"/>
      <c r="X41" s="611"/>
      <c r="Y41" s="937"/>
      <c r="Z41" s="937"/>
      <c r="AA41" s="937"/>
      <c r="AB41" s="192"/>
      <c r="AC41" s="937"/>
      <c r="AD41" s="937"/>
      <c r="AE41" s="937"/>
      <c r="AF41" s="937"/>
      <c r="AG41" s="937"/>
      <c r="AH41" s="937"/>
      <c r="AI41" s="937"/>
      <c r="AJ41" s="76"/>
      <c r="AK41" s="76"/>
      <c r="AL41" s="62">
        <v>14</v>
      </c>
      <c r="AM41" s="938" t="str">
        <f>IF(ISERROR(MATCH('南(14)'!AL41,予選学校名!$H$3:$H$16,0)),"",INDEX(予選学校名!$H$3:$K$16,MATCH('南(14)'!AL41,予選学校名!$H$3:$H$16,0),2))</f>
        <v/>
      </c>
      <c r="AN41" s="610" t="str">
        <f>IF(AP42="","",SUM(AP42,AP43))</f>
        <v/>
      </c>
      <c r="AO41" s="611"/>
      <c r="AP41" s="611"/>
      <c r="AQ41" s="75" t="str">
        <f>IF(AN41="","",IF(AN41&gt;AR41,"○",IF(AN41&lt;AR41,"●","△")))</f>
        <v/>
      </c>
      <c r="AR41" s="611" t="str">
        <f>IF(AR42="","",SUM(AR42,AR43))</f>
        <v/>
      </c>
      <c r="AS41" s="611"/>
      <c r="AT41" s="612"/>
      <c r="AU41" s="610" t="str">
        <f>IF(AW42="","",SUM(AW42,AW43))</f>
        <v/>
      </c>
      <c r="AV41" s="611"/>
      <c r="AW41" s="611"/>
      <c r="AX41" s="75" t="str">
        <f>IF(AU41="","",IF(AU41&gt;AY41,"○",IF(AU41&lt;AY41,"●","△")))</f>
        <v/>
      </c>
      <c r="AY41" s="611" t="str">
        <f>IF(AY42="","",SUM(AY42,AY43))</f>
        <v/>
      </c>
      <c r="AZ41" s="611"/>
      <c r="BA41" s="612"/>
      <c r="BB41" s="610" t="str">
        <f>IF(BD42="","",SUM(BD42,BD43))</f>
        <v/>
      </c>
      <c r="BC41" s="611"/>
      <c r="BD41" s="611"/>
      <c r="BE41" s="75" t="str">
        <f>IF(BB41="","",IF(BB41&gt;BF41,"○",IF(BB41&lt;BF41,"●","△")))</f>
        <v/>
      </c>
      <c r="BF41" s="611" t="str">
        <f>IF(BF42="","",SUM(BF42,BF43))</f>
        <v/>
      </c>
      <c r="BG41" s="611"/>
      <c r="BH41" s="612"/>
      <c r="BI41" s="636"/>
      <c r="BJ41" s="637"/>
      <c r="BK41" s="637"/>
      <c r="BL41" s="638"/>
      <c r="BM41" s="638"/>
      <c r="BN41" s="638"/>
      <c r="BO41" s="639"/>
      <c r="BP41" s="608" t="str">
        <f>IF(COUNT(AN42:BO42)=0,"",COUNTIF(AN41:BO41,"○")*3+COUNTIF(AN41:BO41,"△"))</f>
        <v/>
      </c>
      <c r="BQ41" s="608" t="str">
        <f>IF(BP41="","",SUM(BM29:BM44)/2-SUM(BI29:BI44))</f>
        <v/>
      </c>
      <c r="BR41" s="608" t="str">
        <f>IF(BP41="","",SUM(BM29:BM44)/2)</f>
        <v/>
      </c>
      <c r="BS41" s="608" t="str">
        <f>IF(OR(BP41="",MOD(COUNT(AN41:BO41),2)=1),"",RANK(BT41,$BT$29:$BT$44))</f>
        <v/>
      </c>
      <c r="BT41" s="76" t="str">
        <f>IF(OR(BP41="",MOD(COUNT(AN41:BO41),2)=1),"",BP41*10000+BQ41*100+BR41)</f>
        <v/>
      </c>
      <c r="BW41" s="635" t="s">
        <v>93</v>
      </c>
      <c r="BX41" s="635"/>
      <c r="BY41" s="635"/>
      <c r="BZ41" s="635"/>
      <c r="CA41" s="635"/>
      <c r="CB41" s="635"/>
      <c r="CC41" s="635"/>
      <c r="CD41" s="635"/>
      <c r="CE41" s="635"/>
      <c r="CF41" s="635"/>
      <c r="CG41" s="635"/>
      <c r="CH41" s="635"/>
      <c r="CI41" s="635"/>
      <c r="CJ41" s="635"/>
      <c r="CK41" s="635"/>
      <c r="CL41" s="635"/>
      <c r="CM41" s="635"/>
      <c r="CN41" s="635"/>
      <c r="CO41" s="635"/>
      <c r="CP41" s="635"/>
      <c r="CQ41" s="635"/>
      <c r="CR41" s="635"/>
      <c r="CS41" s="635"/>
      <c r="CT41" s="635"/>
      <c r="CU41" s="635"/>
      <c r="CV41" s="635"/>
      <c r="CW41" s="635"/>
    </row>
    <row r="42" spans="1:105" x14ac:dyDescent="0.15">
      <c r="A42" s="62"/>
      <c r="C42" s="615"/>
      <c r="AF42" s="615"/>
      <c r="AG42" s="615"/>
      <c r="AH42" s="615"/>
      <c r="AI42" s="615"/>
      <c r="AJ42" s="76"/>
      <c r="AK42" s="76"/>
      <c r="AM42" s="938"/>
      <c r="AN42" s="77"/>
      <c r="AP42" s="64" t="str">
        <f>IF(BM30="","",BM30)</f>
        <v/>
      </c>
      <c r="AQ42" s="61" t="s">
        <v>92</v>
      </c>
      <c r="AR42" s="65" t="str">
        <f>IF(BK30="","",BK30)</f>
        <v/>
      </c>
      <c r="AT42" s="78"/>
      <c r="AU42" s="77"/>
      <c r="AW42" s="64" t="str">
        <f>IF(BM34="","",BM34)</f>
        <v/>
      </c>
      <c r="AX42" s="61" t="s">
        <v>92</v>
      </c>
      <c r="AY42" s="65" t="str">
        <f>IF(BK34="","",BK34)</f>
        <v/>
      </c>
      <c r="BA42" s="78"/>
      <c r="BB42" s="77"/>
      <c r="BD42" s="64" t="str">
        <f>IF(BM38="","",BM38)</f>
        <v/>
      </c>
      <c r="BE42" s="61" t="s">
        <v>92</v>
      </c>
      <c r="BF42" s="65" t="str">
        <f>IF(BK38="","",BK38)</f>
        <v/>
      </c>
      <c r="BH42" s="78"/>
      <c r="BI42" s="640"/>
      <c r="BJ42" s="641"/>
      <c r="BK42" s="641"/>
      <c r="BL42" s="641"/>
      <c r="BM42" s="641"/>
      <c r="BN42" s="641"/>
      <c r="BO42" s="642"/>
      <c r="BP42" s="608"/>
      <c r="BQ42" s="608"/>
      <c r="BR42" s="608"/>
      <c r="BS42" s="608"/>
      <c r="BT42" s="76"/>
      <c r="BW42" s="635"/>
      <c r="BX42" s="635"/>
      <c r="BY42" s="635"/>
      <c r="BZ42" s="635"/>
      <c r="CA42" s="635"/>
      <c r="CB42" s="635"/>
      <c r="CC42" s="635"/>
      <c r="CD42" s="635"/>
      <c r="CE42" s="635"/>
      <c r="CF42" s="635"/>
      <c r="CG42" s="635"/>
      <c r="CH42" s="635"/>
      <c r="CI42" s="635"/>
      <c r="CJ42" s="635"/>
      <c r="CK42" s="635"/>
      <c r="CL42" s="635"/>
      <c r="CM42" s="635"/>
      <c r="CN42" s="635"/>
      <c r="CO42" s="635"/>
      <c r="CP42" s="635"/>
      <c r="CQ42" s="635"/>
      <c r="CR42" s="635"/>
      <c r="CS42" s="635"/>
      <c r="CT42" s="635"/>
      <c r="CU42" s="635"/>
      <c r="CV42" s="635"/>
      <c r="CW42" s="635"/>
    </row>
    <row r="43" spans="1:105" x14ac:dyDescent="0.15">
      <c r="A43" s="62"/>
      <c r="C43" s="615"/>
      <c r="AF43" s="615"/>
      <c r="AG43" s="615"/>
      <c r="AH43" s="615"/>
      <c r="AI43" s="615"/>
      <c r="AJ43" s="76"/>
      <c r="AK43" s="76"/>
      <c r="AM43" s="938"/>
      <c r="AN43" s="77"/>
      <c r="AP43" s="64" t="str">
        <f>IF(BM31="","",BM31)</f>
        <v/>
      </c>
      <c r="AQ43" s="61" t="s">
        <v>92</v>
      </c>
      <c r="AR43" s="65" t="str">
        <f>IF(BK31="","",BK31)</f>
        <v/>
      </c>
      <c r="AT43" s="78"/>
      <c r="AU43" s="77"/>
      <c r="AW43" s="64" t="str">
        <f>IF(BM35="","",BM35)</f>
        <v/>
      </c>
      <c r="AX43" s="61" t="s">
        <v>92</v>
      </c>
      <c r="AY43" s="65" t="str">
        <f>IF(BK35="","",BK35)</f>
        <v/>
      </c>
      <c r="BA43" s="78"/>
      <c r="BB43" s="77"/>
      <c r="BD43" s="64" t="str">
        <f>IF(BM39="","",BM39)</f>
        <v/>
      </c>
      <c r="BE43" s="61" t="s">
        <v>92</v>
      </c>
      <c r="BF43" s="65" t="str">
        <f>IF(BK39="","",BK39)</f>
        <v/>
      </c>
      <c r="BH43" s="78"/>
      <c r="BI43" s="640"/>
      <c r="BJ43" s="641"/>
      <c r="BK43" s="641"/>
      <c r="BL43" s="641"/>
      <c r="BM43" s="641"/>
      <c r="BN43" s="641"/>
      <c r="BO43" s="642"/>
      <c r="BP43" s="608"/>
      <c r="BQ43" s="608"/>
      <c r="BR43" s="608"/>
      <c r="BS43" s="608"/>
      <c r="BT43" s="76"/>
      <c r="BW43" s="635"/>
      <c r="BX43" s="635"/>
      <c r="BY43" s="635"/>
      <c r="BZ43" s="635"/>
      <c r="CA43" s="635"/>
      <c r="CB43" s="635"/>
      <c r="CC43" s="635"/>
      <c r="CD43" s="635"/>
      <c r="CE43" s="635"/>
      <c r="CF43" s="635"/>
      <c r="CG43" s="635"/>
      <c r="CH43" s="635"/>
      <c r="CI43" s="635"/>
      <c r="CJ43" s="635"/>
      <c r="CK43" s="635"/>
      <c r="CL43" s="635"/>
      <c r="CM43" s="635"/>
      <c r="CN43" s="635"/>
      <c r="CO43" s="635"/>
      <c r="CP43" s="635"/>
      <c r="CQ43" s="635"/>
      <c r="CR43" s="635"/>
      <c r="CS43" s="635"/>
      <c r="CT43" s="635"/>
      <c r="CU43" s="635"/>
      <c r="CV43" s="635"/>
      <c r="CW43" s="635"/>
    </row>
    <row r="44" spans="1:105" ht="3.75" customHeight="1" x14ac:dyDescent="0.15">
      <c r="A44" s="62"/>
      <c r="C44" s="615"/>
      <c r="AF44" s="615"/>
      <c r="AG44" s="615"/>
      <c r="AH44" s="615"/>
      <c r="AI44" s="615"/>
      <c r="AJ44" s="76"/>
      <c r="AK44" s="76"/>
      <c r="AM44" s="938"/>
      <c r="AN44" s="79"/>
      <c r="AO44" s="80"/>
      <c r="AP44" s="81"/>
      <c r="AQ44" s="82"/>
      <c r="AR44" s="83"/>
      <c r="AS44" s="80"/>
      <c r="AT44" s="84"/>
      <c r="AU44" s="79"/>
      <c r="AV44" s="80"/>
      <c r="AW44" s="81"/>
      <c r="AX44" s="82"/>
      <c r="AY44" s="83"/>
      <c r="AZ44" s="80"/>
      <c r="BA44" s="84"/>
      <c r="BB44" s="79"/>
      <c r="BC44" s="80"/>
      <c r="BD44" s="81"/>
      <c r="BE44" s="82"/>
      <c r="BF44" s="83"/>
      <c r="BG44" s="80"/>
      <c r="BH44" s="84"/>
      <c r="BI44" s="643"/>
      <c r="BJ44" s="644"/>
      <c r="BK44" s="644"/>
      <c r="BL44" s="644"/>
      <c r="BM44" s="644"/>
      <c r="BN44" s="644"/>
      <c r="BO44" s="645"/>
      <c r="BP44" s="608"/>
      <c r="BQ44" s="608"/>
      <c r="BR44" s="608"/>
      <c r="BS44" s="608"/>
      <c r="BT44" s="76"/>
    </row>
    <row r="46" spans="1:105" ht="43.5" customHeight="1" x14ac:dyDescent="0.15">
      <c r="A46" s="62"/>
      <c r="BW46" s="86" t="s">
        <v>146</v>
      </c>
      <c r="CU46" s="86" t="s">
        <v>147</v>
      </c>
    </row>
    <row r="47" spans="1:105" ht="22.5" customHeight="1" x14ac:dyDescent="0.15">
      <c r="A47" s="62"/>
      <c r="BZ47" s="624" t="s">
        <v>95</v>
      </c>
      <c r="CA47" s="624"/>
      <c r="CB47" s="624"/>
      <c r="CC47" s="199" t="str">
        <f>IF(I3="","",I3)</f>
        <v/>
      </c>
      <c r="CX47" s="624" t="s">
        <v>148</v>
      </c>
      <c r="CY47" s="624"/>
      <c r="CZ47" s="624"/>
      <c r="DA47" s="200" t="str">
        <f>IF(AP3="","",AP3)</f>
        <v/>
      </c>
    </row>
    <row r="48" spans="1:105" ht="3" customHeight="1" x14ac:dyDescent="0.15">
      <c r="A48" s="62"/>
      <c r="BZ48" s="87"/>
      <c r="CA48" s="87"/>
      <c r="CB48" s="87"/>
      <c r="CC48" s="199"/>
      <c r="CX48" s="87"/>
      <c r="CY48" s="87"/>
      <c r="CZ48" s="87"/>
      <c r="DA48" s="200"/>
    </row>
    <row r="49" spans="1:118" x14ac:dyDescent="0.15">
      <c r="A49" s="62"/>
      <c r="CF49" s="620"/>
      <c r="DD49" s="620"/>
    </row>
    <row r="50" spans="1:118" x14ac:dyDescent="0.15">
      <c r="CD50" s="624" t="str">
        <f>IF(CD53="","",SUM(CD53:CE56))</f>
        <v/>
      </c>
      <c r="CE50" s="624"/>
      <c r="CF50" s="620"/>
      <c r="CH50" s="621" t="str">
        <f>IF(CH53="","",SUM(CH53:CI56))</f>
        <v/>
      </c>
      <c r="CI50" s="621"/>
      <c r="DB50" s="624" t="str">
        <f>IF(DB53="","",SUM(DB53:DC56))</f>
        <v/>
      </c>
      <c r="DC50" s="624"/>
      <c r="DD50" s="620"/>
      <c r="DF50" s="621" t="str">
        <f>IF(DF53="","",SUM(DF53:DG56))</f>
        <v/>
      </c>
      <c r="DG50" s="621"/>
    </row>
    <row r="51" spans="1:118" s="85" customFormat="1" hidden="1" x14ac:dyDescent="0.15">
      <c r="A51" s="88"/>
      <c r="D51" s="88"/>
      <c r="E51" s="88"/>
      <c r="F51" s="89"/>
      <c r="G51" s="90"/>
      <c r="H51" s="91"/>
      <c r="I51" s="88"/>
      <c r="J51" s="88"/>
      <c r="K51" s="88"/>
      <c r="L51" s="88"/>
      <c r="M51" s="89"/>
      <c r="N51" s="90"/>
      <c r="O51" s="91"/>
      <c r="P51" s="88"/>
      <c r="Q51" s="88"/>
      <c r="R51" s="88"/>
      <c r="S51" s="88"/>
      <c r="T51" s="89"/>
      <c r="U51" s="90"/>
      <c r="V51" s="91"/>
      <c r="W51" s="88"/>
      <c r="X51" s="88"/>
      <c r="AB51" s="92"/>
      <c r="AN51" s="88"/>
      <c r="AO51" s="88"/>
      <c r="AP51" s="89"/>
      <c r="AQ51" s="90"/>
      <c r="AR51" s="91"/>
      <c r="AS51" s="88"/>
      <c r="AT51" s="88"/>
      <c r="AU51" s="88"/>
      <c r="AV51" s="88"/>
      <c r="AW51" s="89"/>
      <c r="AX51" s="90"/>
      <c r="AY51" s="91"/>
      <c r="AZ51" s="88"/>
      <c r="BA51" s="88"/>
      <c r="BB51" s="88"/>
      <c r="BC51" s="88"/>
      <c r="BD51" s="89"/>
      <c r="BE51" s="90"/>
      <c r="BF51" s="91"/>
      <c r="BG51" s="88"/>
      <c r="BH51" s="88"/>
      <c r="BI51" s="88"/>
      <c r="BJ51" s="88"/>
      <c r="BK51" s="89"/>
      <c r="BL51" s="90"/>
      <c r="BM51" s="91"/>
      <c r="BN51" s="88"/>
      <c r="BO51" s="88"/>
      <c r="CD51" s="629" t="str">
        <f>IF(CD53="","",SUM(CD53:CE57))</f>
        <v/>
      </c>
      <c r="CE51" s="629"/>
      <c r="CF51" s="620"/>
      <c r="CH51" s="630" t="str">
        <f>IF(CH53="","",SUM(CH53:CI57))</f>
        <v/>
      </c>
      <c r="CI51" s="630"/>
      <c r="DB51" s="629" t="str">
        <f>IF(DB53="","",SUM(DB53:DC57))</f>
        <v/>
      </c>
      <c r="DC51" s="629"/>
      <c r="DD51" s="620"/>
      <c r="DF51" s="630" t="str">
        <f>IF(DF53="","",SUM(DF53:DG57))</f>
        <v/>
      </c>
      <c r="DG51" s="630"/>
    </row>
    <row r="52" spans="1:118" ht="7.5" customHeight="1" thickBot="1" x14ac:dyDescent="0.2">
      <c r="CA52" s="625"/>
      <c r="CB52" s="625"/>
      <c r="CC52" s="625"/>
      <c r="CD52" s="625"/>
      <c r="CE52" s="625"/>
      <c r="CF52" s="632"/>
      <c r="CG52" s="625"/>
      <c r="CH52" s="625"/>
      <c r="CI52" s="625"/>
      <c r="CJ52" s="625"/>
      <c r="CK52" s="625"/>
      <c r="CL52" s="625"/>
      <c r="CY52" s="625"/>
      <c r="CZ52" s="625"/>
      <c r="DA52" s="625"/>
      <c r="DB52" s="625"/>
      <c r="DC52" s="625"/>
      <c r="DD52" s="632"/>
      <c r="DE52" s="625"/>
      <c r="DF52" s="625"/>
      <c r="DG52" s="625"/>
      <c r="DH52" s="625"/>
      <c r="DI52" s="625"/>
      <c r="DJ52" s="625"/>
    </row>
    <row r="53" spans="1:118" ht="14.25" customHeight="1" thickTop="1" x14ac:dyDescent="0.15">
      <c r="BX53" s="631" t="str">
        <f>IF(BX59=CB59,"",IF(CB59&lt;BX59,BW67,CC67))</f>
        <v/>
      </c>
      <c r="BY53" s="631"/>
      <c r="BZ53" s="620"/>
      <c r="CD53" s="624"/>
      <c r="CE53" s="624"/>
      <c r="CF53" s="615" t="s">
        <v>92</v>
      </c>
      <c r="CG53" s="615"/>
      <c r="CH53" s="621"/>
      <c r="CI53" s="621"/>
      <c r="CM53" s="619"/>
      <c r="CN53" s="628" t="str">
        <f>IF(CJ59=CN59,"",IF(CN59&lt;CJ59,CI67,CO67))</f>
        <v/>
      </c>
      <c r="CO53" s="628"/>
      <c r="CV53" s="631" t="str">
        <f>IF(CV59=CZ59,"",IF(CZ59&lt;CV59,CU67,DA67))</f>
        <v/>
      </c>
      <c r="CW53" s="631"/>
      <c r="CX53" s="620"/>
      <c r="DB53" s="624"/>
      <c r="DC53" s="624"/>
      <c r="DD53" s="615" t="s">
        <v>92</v>
      </c>
      <c r="DE53" s="615"/>
      <c r="DF53" s="621"/>
      <c r="DG53" s="621"/>
      <c r="DK53" s="619"/>
      <c r="DL53" s="628" t="str">
        <f>IF(DH59=DL59,"",IF(DL59&lt;DH59,DG67,DM67))</f>
        <v/>
      </c>
      <c r="DM53" s="628"/>
    </row>
    <row r="54" spans="1:118" x14ac:dyDescent="0.15">
      <c r="BX54" s="631"/>
      <c r="BY54" s="631"/>
      <c r="BZ54" s="620"/>
      <c r="CD54" s="624"/>
      <c r="CE54" s="624"/>
      <c r="CF54" s="615" t="s">
        <v>92</v>
      </c>
      <c r="CG54" s="615"/>
      <c r="CH54" s="621"/>
      <c r="CI54" s="621"/>
      <c r="CM54" s="619"/>
      <c r="CN54" s="628"/>
      <c r="CO54" s="628"/>
      <c r="CV54" s="631"/>
      <c r="CW54" s="631"/>
      <c r="CX54" s="620"/>
      <c r="DB54" s="624"/>
      <c r="DC54" s="624"/>
      <c r="DD54" s="615" t="s">
        <v>92</v>
      </c>
      <c r="DE54" s="615"/>
      <c r="DF54" s="621"/>
      <c r="DG54" s="621"/>
      <c r="DK54" s="619"/>
      <c r="DL54" s="628"/>
      <c r="DM54" s="628"/>
    </row>
    <row r="55" spans="1:118" x14ac:dyDescent="0.15">
      <c r="A55" s="31" t="str">
        <f>IF(CD51=CH51,"",IF(BX53=BW67,CC67,BW67))</f>
        <v/>
      </c>
      <c r="BX55" s="631"/>
      <c r="BY55" s="631"/>
      <c r="BZ55" s="620"/>
      <c r="CD55" s="624"/>
      <c r="CE55" s="624"/>
      <c r="CF55" s="615" t="str">
        <f>IF(CD55="","","－")</f>
        <v/>
      </c>
      <c r="CG55" s="615"/>
      <c r="CH55" s="621"/>
      <c r="CI55" s="621"/>
      <c r="CM55" s="619"/>
      <c r="CN55" s="628"/>
      <c r="CO55" s="628"/>
      <c r="CV55" s="631"/>
      <c r="CW55" s="631"/>
      <c r="CX55" s="620"/>
      <c r="DB55" s="624"/>
      <c r="DC55" s="624"/>
      <c r="DD55" s="615" t="str">
        <f>IF(DB55="","","－")</f>
        <v/>
      </c>
      <c r="DE55" s="615"/>
      <c r="DF55" s="621"/>
      <c r="DG55" s="621"/>
      <c r="DK55" s="619"/>
      <c r="DL55" s="628"/>
      <c r="DM55" s="628"/>
    </row>
    <row r="56" spans="1:118" x14ac:dyDescent="0.15">
      <c r="A56" s="31" t="str">
        <f>IF(CD51=CH51,"",IF(CN53=CO67,CI67,CO67))</f>
        <v/>
      </c>
      <c r="BX56" s="631"/>
      <c r="BY56" s="631"/>
      <c r="BZ56" s="620"/>
      <c r="CD56" s="624"/>
      <c r="CE56" s="624"/>
      <c r="CF56" s="615" t="str">
        <f>IF(CD56="","","－")</f>
        <v/>
      </c>
      <c r="CG56" s="615"/>
      <c r="CH56" s="621"/>
      <c r="CI56" s="621"/>
      <c r="CM56" s="619"/>
      <c r="CN56" s="628"/>
      <c r="CO56" s="628"/>
      <c r="CV56" s="631"/>
      <c r="CW56" s="631"/>
      <c r="CX56" s="620"/>
      <c r="DB56" s="624"/>
      <c r="DC56" s="624"/>
      <c r="DD56" s="615" t="str">
        <f>IF(DB56="","","－")</f>
        <v/>
      </c>
      <c r="DE56" s="615"/>
      <c r="DF56" s="621"/>
      <c r="DG56" s="621"/>
      <c r="DK56" s="619"/>
      <c r="DL56" s="628"/>
      <c r="DM56" s="628"/>
    </row>
    <row r="57" spans="1:118" x14ac:dyDescent="0.15">
      <c r="BZ57" s="620"/>
      <c r="CD57" s="624"/>
      <c r="CE57" s="624"/>
      <c r="CF57" s="615" t="str">
        <f>IF(CD57="","","PK")</f>
        <v/>
      </c>
      <c r="CG57" s="615"/>
      <c r="CH57" s="621"/>
      <c r="CI57" s="621"/>
      <c r="CM57" s="619"/>
      <c r="CX57" s="620"/>
      <c r="DB57" s="624"/>
      <c r="DC57" s="624"/>
      <c r="DD57" s="615" t="str">
        <f>IF(DB57="","","PK")</f>
        <v/>
      </c>
      <c r="DE57" s="615"/>
      <c r="DF57" s="621"/>
      <c r="DG57" s="621"/>
      <c r="DK57" s="619"/>
    </row>
    <row r="58" spans="1:118" x14ac:dyDescent="0.15">
      <c r="BX58" s="624" t="str">
        <f>IF(BX61="","",SUM(BX61:BY64))</f>
        <v/>
      </c>
      <c r="BY58" s="624"/>
      <c r="BZ58" s="620"/>
      <c r="CB58" s="621" t="str">
        <f>IF(CB61="","",SUM(CB61:CC64))</f>
        <v/>
      </c>
      <c r="CC58" s="621"/>
      <c r="CF58" s="615"/>
      <c r="CG58" s="615"/>
      <c r="CJ58" s="624" t="str">
        <f>IF(CJ61="","",SUM(CJ61:CK64))</f>
        <v/>
      </c>
      <c r="CK58" s="624"/>
      <c r="CM58" s="619"/>
      <c r="CN58" s="621" t="str">
        <f>IF(CN61="","",SUM(CN61:CO64))</f>
        <v/>
      </c>
      <c r="CO58" s="621"/>
      <c r="CV58" s="624" t="str">
        <f>IF(CV61="","",SUM(CV61:CW64))</f>
        <v/>
      </c>
      <c r="CW58" s="624"/>
      <c r="CX58" s="620"/>
      <c r="CZ58" s="621" t="str">
        <f>IF(CZ61="","",SUM(CZ61:DA64))</f>
        <v/>
      </c>
      <c r="DA58" s="621"/>
      <c r="DD58" s="615"/>
      <c r="DE58" s="615"/>
      <c r="DH58" s="624" t="str">
        <f>IF(DH61="","",SUM(DH61:DI64))</f>
        <v/>
      </c>
      <c r="DI58" s="624"/>
      <c r="DK58" s="619"/>
      <c r="DL58" s="621" t="str">
        <f>IF(DL61="","",SUM(DL61:DM64))</f>
        <v/>
      </c>
      <c r="DM58" s="621"/>
    </row>
    <row r="59" spans="1:118" s="85" customFormat="1" hidden="1" x14ac:dyDescent="0.15">
      <c r="A59" s="88"/>
      <c r="D59" s="88"/>
      <c r="E59" s="88"/>
      <c r="F59" s="89"/>
      <c r="G59" s="90"/>
      <c r="H59" s="91"/>
      <c r="I59" s="88"/>
      <c r="J59" s="88"/>
      <c r="K59" s="88"/>
      <c r="L59" s="88"/>
      <c r="M59" s="89"/>
      <c r="N59" s="90"/>
      <c r="O59" s="91"/>
      <c r="P59" s="88"/>
      <c r="Q59" s="88"/>
      <c r="R59" s="88"/>
      <c r="S59" s="88"/>
      <c r="T59" s="89"/>
      <c r="U59" s="90"/>
      <c r="V59" s="91"/>
      <c r="W59" s="88"/>
      <c r="X59" s="88"/>
      <c r="AB59" s="92"/>
      <c r="AN59" s="88"/>
      <c r="AO59" s="88"/>
      <c r="AP59" s="89"/>
      <c r="AQ59" s="90"/>
      <c r="AR59" s="91"/>
      <c r="AS59" s="88"/>
      <c r="AT59" s="88"/>
      <c r="AU59" s="88"/>
      <c r="AV59" s="88"/>
      <c r="AW59" s="89"/>
      <c r="AX59" s="90"/>
      <c r="AY59" s="91"/>
      <c r="AZ59" s="88"/>
      <c r="BA59" s="88"/>
      <c r="BB59" s="88"/>
      <c r="BC59" s="88"/>
      <c r="BD59" s="89"/>
      <c r="BE59" s="90"/>
      <c r="BF59" s="91"/>
      <c r="BG59" s="88"/>
      <c r="BH59" s="88"/>
      <c r="BI59" s="88"/>
      <c r="BJ59" s="88"/>
      <c r="BK59" s="89"/>
      <c r="BL59" s="90"/>
      <c r="BM59" s="91"/>
      <c r="BN59" s="88"/>
      <c r="BO59" s="88"/>
      <c r="BX59" s="629" t="str">
        <f>IF(BX61="","",SUM(BX61:BY65))</f>
        <v/>
      </c>
      <c r="BY59" s="629"/>
      <c r="BZ59" s="620"/>
      <c r="CB59" s="630" t="str">
        <f>IF(CB61="","",SUM(CB61:CC65))</f>
        <v/>
      </c>
      <c r="CC59" s="630"/>
      <c r="CJ59" s="629" t="str">
        <f>IF(CJ61="","",SUM(CJ61:CK65))</f>
        <v/>
      </c>
      <c r="CK59" s="629"/>
      <c r="CM59" s="619"/>
      <c r="CN59" s="630" t="str">
        <f>IF(CN61="","",SUM(CN61:CO65))</f>
        <v/>
      </c>
      <c r="CO59" s="630"/>
      <c r="CV59" s="629" t="str">
        <f>IF(CV61="","",SUM(CV61:CW65))</f>
        <v/>
      </c>
      <c r="CW59" s="629"/>
      <c r="CX59" s="620"/>
      <c r="CZ59" s="630" t="str">
        <f>IF(CZ61="","",SUM(CZ61:DA65))</f>
        <v/>
      </c>
      <c r="DA59" s="630"/>
      <c r="DH59" s="629" t="str">
        <f>IF(DH61="","",SUM(DH61:DI65))</f>
        <v/>
      </c>
      <c r="DI59" s="629"/>
      <c r="DK59" s="619"/>
      <c r="DL59" s="630" t="str">
        <f>IF(DL61="","",SUM(DL61:DM65))</f>
        <v/>
      </c>
      <c r="DM59" s="630"/>
    </row>
    <row r="60" spans="1:118" ht="7.5" customHeight="1" thickBot="1" x14ac:dyDescent="0.2">
      <c r="BX60" s="625"/>
      <c r="BY60" s="625"/>
      <c r="BZ60" s="632"/>
      <c r="CA60" s="625"/>
      <c r="CB60" s="625"/>
      <c r="CC60" s="625"/>
      <c r="CJ60" s="625"/>
      <c r="CK60" s="625"/>
      <c r="CL60" s="625"/>
      <c r="CM60" s="627"/>
      <c r="CN60" s="625"/>
      <c r="CO60" s="625"/>
      <c r="CV60" s="625"/>
      <c r="CW60" s="625"/>
      <c r="CX60" s="632"/>
      <c r="CY60" s="625"/>
      <c r="CZ60" s="625"/>
      <c r="DA60" s="625"/>
      <c r="DH60" s="625"/>
      <c r="DI60" s="625"/>
      <c r="DJ60" s="625"/>
      <c r="DK60" s="627"/>
      <c r="DL60" s="625"/>
      <c r="DM60" s="625"/>
    </row>
    <row r="61" spans="1:118" ht="15" thickTop="1" x14ac:dyDescent="0.15">
      <c r="BW61" s="620"/>
      <c r="BX61" s="624"/>
      <c r="BY61" s="624"/>
      <c r="BZ61" s="615" t="s">
        <v>92</v>
      </c>
      <c r="CA61" s="615"/>
      <c r="CB61" s="621"/>
      <c r="CC61" s="621"/>
      <c r="CD61" s="619"/>
      <c r="CI61" s="620"/>
      <c r="CJ61" s="624"/>
      <c r="CK61" s="624"/>
      <c r="CL61" s="615" t="s">
        <v>92</v>
      </c>
      <c r="CM61" s="615"/>
      <c r="CN61" s="621"/>
      <c r="CO61" s="621"/>
      <c r="CP61" s="619"/>
      <c r="CU61" s="620"/>
      <c r="CV61" s="624"/>
      <c r="CW61" s="624"/>
      <c r="CX61" s="615" t="s">
        <v>92</v>
      </c>
      <c r="CY61" s="615"/>
      <c r="CZ61" s="621"/>
      <c r="DA61" s="621"/>
      <c r="DB61" s="619"/>
      <c r="DG61" s="620"/>
      <c r="DH61" s="624"/>
      <c r="DI61" s="624"/>
      <c r="DJ61" s="615" t="s">
        <v>92</v>
      </c>
      <c r="DK61" s="615"/>
      <c r="DL61" s="621"/>
      <c r="DM61" s="621"/>
      <c r="DN61" s="619"/>
    </row>
    <row r="62" spans="1:118" x14ac:dyDescent="0.15">
      <c r="BW62" s="620"/>
      <c r="BX62" s="624"/>
      <c r="BY62" s="624"/>
      <c r="BZ62" s="615" t="s">
        <v>92</v>
      </c>
      <c r="CA62" s="615"/>
      <c r="CB62" s="621"/>
      <c r="CC62" s="621"/>
      <c r="CD62" s="619"/>
      <c r="CI62" s="620"/>
      <c r="CJ62" s="624"/>
      <c r="CK62" s="624"/>
      <c r="CL62" s="615" t="s">
        <v>92</v>
      </c>
      <c r="CM62" s="615"/>
      <c r="CN62" s="621"/>
      <c r="CO62" s="621"/>
      <c r="CP62" s="619"/>
      <c r="CU62" s="620"/>
      <c r="CV62" s="624"/>
      <c r="CW62" s="624"/>
      <c r="CX62" s="615" t="s">
        <v>92</v>
      </c>
      <c r="CY62" s="615"/>
      <c r="CZ62" s="621"/>
      <c r="DA62" s="621"/>
      <c r="DB62" s="619"/>
      <c r="DG62" s="620"/>
      <c r="DH62" s="624"/>
      <c r="DI62" s="624"/>
      <c r="DJ62" s="615" t="s">
        <v>92</v>
      </c>
      <c r="DK62" s="615"/>
      <c r="DL62" s="621"/>
      <c r="DM62" s="621"/>
      <c r="DN62" s="619"/>
    </row>
    <row r="63" spans="1:118" x14ac:dyDescent="0.15">
      <c r="BW63" s="620"/>
      <c r="BX63" s="624"/>
      <c r="BY63" s="624"/>
      <c r="BZ63" s="615" t="str">
        <f>IF(BX63="","","－")</f>
        <v/>
      </c>
      <c r="CA63" s="615"/>
      <c r="CB63" s="621"/>
      <c r="CC63" s="621"/>
      <c r="CD63" s="619"/>
      <c r="CI63" s="620"/>
      <c r="CJ63" s="624"/>
      <c r="CK63" s="624"/>
      <c r="CL63" s="615" t="str">
        <f>IF(CJ63="","","－")</f>
        <v/>
      </c>
      <c r="CM63" s="615"/>
      <c r="CN63" s="621"/>
      <c r="CO63" s="621"/>
      <c r="CP63" s="619"/>
      <c r="CU63" s="620"/>
      <c r="CV63" s="624"/>
      <c r="CW63" s="624"/>
      <c r="CX63" s="615" t="str">
        <f>IF(CV63="","","－")</f>
        <v/>
      </c>
      <c r="CY63" s="615"/>
      <c r="CZ63" s="621"/>
      <c r="DA63" s="621"/>
      <c r="DB63" s="619"/>
      <c r="DG63" s="620"/>
      <c r="DH63" s="624"/>
      <c r="DI63" s="624"/>
      <c r="DJ63" s="615" t="str">
        <f>IF(DH63="","","－")</f>
        <v/>
      </c>
      <c r="DK63" s="615"/>
      <c r="DL63" s="621"/>
      <c r="DM63" s="621"/>
      <c r="DN63" s="619"/>
    </row>
    <row r="64" spans="1:118" x14ac:dyDescent="0.15">
      <c r="BW64" s="620"/>
      <c r="BX64" s="624"/>
      <c r="BY64" s="624"/>
      <c r="BZ64" s="615" t="str">
        <f>IF(BX64="","","－")</f>
        <v/>
      </c>
      <c r="CA64" s="615"/>
      <c r="CB64" s="621"/>
      <c r="CC64" s="621"/>
      <c r="CD64" s="619"/>
      <c r="CI64" s="620"/>
      <c r="CJ64" s="624"/>
      <c r="CK64" s="624"/>
      <c r="CL64" s="615" t="str">
        <f>IF(CJ64="","","－")</f>
        <v/>
      </c>
      <c r="CM64" s="615"/>
      <c r="CN64" s="621"/>
      <c r="CO64" s="621"/>
      <c r="CP64" s="619"/>
      <c r="CU64" s="620"/>
      <c r="CV64" s="624"/>
      <c r="CW64" s="624"/>
      <c r="CX64" s="615" t="str">
        <f>IF(CV64="","","－")</f>
        <v/>
      </c>
      <c r="CY64" s="615"/>
      <c r="CZ64" s="621"/>
      <c r="DA64" s="621"/>
      <c r="DB64" s="619"/>
      <c r="DG64" s="620"/>
      <c r="DH64" s="624"/>
      <c r="DI64" s="624"/>
      <c r="DJ64" s="615" t="str">
        <f>IF(DH64="","","－")</f>
        <v/>
      </c>
      <c r="DK64" s="615"/>
      <c r="DL64" s="621"/>
      <c r="DM64" s="621"/>
      <c r="DN64" s="619"/>
    </row>
    <row r="65" spans="75:121" x14ac:dyDescent="0.15">
      <c r="BW65" s="620"/>
      <c r="BX65" s="624"/>
      <c r="BY65" s="624"/>
      <c r="BZ65" s="615" t="str">
        <f>IF(BX65="","","PK")</f>
        <v/>
      </c>
      <c r="CA65" s="615"/>
      <c r="CB65" s="621"/>
      <c r="CC65" s="621"/>
      <c r="CD65" s="619"/>
      <c r="CI65" s="620"/>
      <c r="CJ65" s="624"/>
      <c r="CK65" s="624"/>
      <c r="CL65" s="615" t="str">
        <f>IF(CJ65="","","PK")</f>
        <v/>
      </c>
      <c r="CM65" s="615"/>
      <c r="CN65" s="621"/>
      <c r="CO65" s="621"/>
      <c r="CP65" s="619"/>
      <c r="CU65" s="620"/>
      <c r="CV65" s="624"/>
      <c r="CW65" s="624"/>
      <c r="CX65" s="615" t="str">
        <f>IF(CV65="","","PK")</f>
        <v/>
      </c>
      <c r="CY65" s="615"/>
      <c r="CZ65" s="621"/>
      <c r="DA65" s="621"/>
      <c r="DB65" s="619"/>
      <c r="DG65" s="620"/>
      <c r="DH65" s="624"/>
      <c r="DI65" s="624"/>
      <c r="DJ65" s="615" t="str">
        <f>IF(DH65="","","PK")</f>
        <v/>
      </c>
      <c r="DK65" s="615"/>
      <c r="DL65" s="621"/>
      <c r="DM65" s="621"/>
      <c r="DN65" s="619"/>
    </row>
    <row r="66" spans="75:121" x14ac:dyDescent="0.15">
      <c r="BW66" s="620"/>
      <c r="BZ66" s="615"/>
      <c r="CA66" s="615"/>
      <c r="CD66" s="619"/>
      <c r="CI66" s="620"/>
      <c r="CL66" s="615"/>
      <c r="CM66" s="615"/>
      <c r="CP66" s="619"/>
      <c r="CU66" s="620"/>
      <c r="CX66" s="615"/>
      <c r="CY66" s="615"/>
      <c r="DB66" s="619"/>
      <c r="DG66" s="620"/>
      <c r="DJ66" s="615"/>
      <c r="DK66" s="615"/>
      <c r="DN66" s="619"/>
    </row>
    <row r="67" spans="75:121" ht="183.75" customHeight="1" x14ac:dyDescent="0.15">
      <c r="BW67" s="617" t="str">
        <f>IF(ISERROR(MATCH(1,$AI$10:$AI$25,0)),"A1位(　　　　　)",INDEX($C$10:$C$25,MATCH(1,$AI$10:$AI$25,0),1))</f>
        <v>A1位(　　　　　)</v>
      </c>
      <c r="BX67" s="617"/>
      <c r="BY67" s="94"/>
      <c r="BZ67" s="94"/>
      <c r="CA67" s="94"/>
      <c r="CB67" s="94"/>
      <c r="CC67" s="617" t="str">
        <f>IF(ISERROR(MATCH(1,$BS$29:$BS$44,0)),"D1位(　　　　　)",INDEX($AM$29:$AM$44,MATCH(1,$BS$29:$BS$44,0),1))</f>
        <v>D1位(　　　　　)</v>
      </c>
      <c r="CD67" s="617"/>
      <c r="CE67" s="94"/>
      <c r="CF67" s="94"/>
      <c r="CG67" s="94"/>
      <c r="CH67" s="94"/>
      <c r="CI67" s="617" t="str">
        <f>IF(ISERROR(MATCH(1,$BS$10:$BS$25,0)),"C1位(　　　　　)",INDEX($AM$10:$AM$25,MATCH(1,$BS$10:$BS$25,0),1))</f>
        <v>C1位(　　　　　)</v>
      </c>
      <c r="CJ67" s="617"/>
      <c r="CK67" s="94"/>
      <c r="CL67" s="94"/>
      <c r="CM67" s="94"/>
      <c r="CN67" s="94"/>
      <c r="CO67" s="617" t="str">
        <f>IF(ISERROR(MATCH(1,$AI$29:$AI$44,0)),"B1位(　　　　　)",INDEX($C$29:$C$44,MATCH(1,$AI$29:$AI$44,0),1))</f>
        <v>B1位(　　　　　)</v>
      </c>
      <c r="CP67" s="617"/>
      <c r="CQ67" s="94"/>
      <c r="CR67" s="94"/>
      <c r="CS67" s="94"/>
      <c r="CT67" s="94"/>
      <c r="CU67" s="617" t="str">
        <f>IF(ISERROR(MATCH(2,$AI$10:$AI$25,0)),"A2位(　　　　　)",INDEX($C$10:$C$25,MATCH(2,$AI$10:$AI$25,0),1))</f>
        <v>A2位(　　　　　)</v>
      </c>
      <c r="CV67" s="617"/>
      <c r="CW67" s="94"/>
      <c r="CX67" s="94"/>
      <c r="CY67" s="94"/>
      <c r="CZ67" s="94"/>
      <c r="DA67" s="617" t="str">
        <f>IF(ISERROR(MATCH(2,$BS$29:$BS$44,0)),"D2位(　　　　　)",INDEX($AM$29:$AM$44,MATCH(2,$BS$29:$BS$44,0),1))</f>
        <v>D2位(　　　　　)</v>
      </c>
      <c r="DB67" s="617"/>
      <c r="DC67" s="94"/>
      <c r="DD67" s="94"/>
      <c r="DE67" s="94"/>
      <c r="DF67" s="94"/>
      <c r="DG67" s="617" t="str">
        <f>IF(ISERROR(MATCH(2,$BS$10:$BS$25,0)),"C2位(　　　　　)",INDEX($AM$10:$AM$25,MATCH(2,$BS$10:$BS$25,0),1))</f>
        <v>C2位(　　　　　)</v>
      </c>
      <c r="DH67" s="617"/>
      <c r="DI67" s="94"/>
      <c r="DJ67" s="94"/>
      <c r="DK67" s="94"/>
      <c r="DL67" s="94"/>
      <c r="DM67" s="617" t="str">
        <f>IF(ISERROR(MATCH(2,$AI$29:$AI$44,0)),"B2位(　　　　　)",INDEX($C$29:$C$44,MATCH(2,$AI$29:$AI$44,0),1))</f>
        <v>B2位(　　　　　)</v>
      </c>
      <c r="DN67" s="617"/>
      <c r="DO67" s="76"/>
      <c r="DP67" s="76"/>
      <c r="DQ67" s="76"/>
    </row>
  </sheetData>
  <mergeCells count="384">
    <mergeCell ref="F3:H3"/>
    <mergeCell ref="I3:AG3"/>
    <mergeCell ref="AH3:AI3"/>
    <mergeCell ref="AP3:BJ3"/>
    <mergeCell ref="BK3:BO3"/>
    <mergeCell ref="F4:H4"/>
    <mergeCell ref="I4:AG4"/>
    <mergeCell ref="AH4:AI4"/>
    <mergeCell ref="BI9:BO9"/>
    <mergeCell ref="AN9:AT9"/>
    <mergeCell ref="AU9:BA9"/>
    <mergeCell ref="BB9:BH9"/>
    <mergeCell ref="C10:C13"/>
    <mergeCell ref="D10:J13"/>
    <mergeCell ref="K10:M10"/>
    <mergeCell ref="O10:Q10"/>
    <mergeCell ref="R10:T10"/>
    <mergeCell ref="V10:X10"/>
    <mergeCell ref="F5:H5"/>
    <mergeCell ref="I5:AG5"/>
    <mergeCell ref="AH5:AI5"/>
    <mergeCell ref="I6:AG6"/>
    <mergeCell ref="AH6:AI6"/>
    <mergeCell ref="D9:J9"/>
    <mergeCell ref="K9:Q9"/>
    <mergeCell ref="R9:X9"/>
    <mergeCell ref="Y9:AE9"/>
    <mergeCell ref="Y10:AA10"/>
    <mergeCell ref="AC10:AE10"/>
    <mergeCell ref="AF10:AF13"/>
    <mergeCell ref="AG10:AG13"/>
    <mergeCell ref="AH10:AH13"/>
    <mergeCell ref="AI10:AI13"/>
    <mergeCell ref="BI10:BK10"/>
    <mergeCell ref="BM10:BO10"/>
    <mergeCell ref="BP10:BP13"/>
    <mergeCell ref="BQ10:BQ13"/>
    <mergeCell ref="BR10:BR13"/>
    <mergeCell ref="BS10:BS13"/>
    <mergeCell ref="AM10:AM13"/>
    <mergeCell ref="AN10:AT13"/>
    <mergeCell ref="AU10:AW10"/>
    <mergeCell ref="AY10:BA10"/>
    <mergeCell ref="BB10:BD10"/>
    <mergeCell ref="BF10:BH10"/>
    <mergeCell ref="Y14:AA14"/>
    <mergeCell ref="AC14:AE14"/>
    <mergeCell ref="AF14:AF17"/>
    <mergeCell ref="AG14:AG17"/>
    <mergeCell ref="AH14:AH17"/>
    <mergeCell ref="AI14:AI17"/>
    <mergeCell ref="C14:C17"/>
    <mergeCell ref="D14:F14"/>
    <mergeCell ref="H14:J14"/>
    <mergeCell ref="K14:Q17"/>
    <mergeCell ref="R14:T14"/>
    <mergeCell ref="V14:X14"/>
    <mergeCell ref="BI14:BK14"/>
    <mergeCell ref="BM14:BO14"/>
    <mergeCell ref="BP14:BP17"/>
    <mergeCell ref="BQ14:BQ17"/>
    <mergeCell ref="BR14:BR17"/>
    <mergeCell ref="BS14:BS17"/>
    <mergeCell ref="AM14:AM17"/>
    <mergeCell ref="AN14:AP14"/>
    <mergeCell ref="AR14:AT14"/>
    <mergeCell ref="AU14:BA17"/>
    <mergeCell ref="BB14:BD14"/>
    <mergeCell ref="BF14:BH14"/>
    <mergeCell ref="Y18:AA18"/>
    <mergeCell ref="AC18:AE18"/>
    <mergeCell ref="AF18:AF21"/>
    <mergeCell ref="AG18:AG21"/>
    <mergeCell ref="AH18:AH21"/>
    <mergeCell ref="AI18:AI21"/>
    <mergeCell ref="C18:C21"/>
    <mergeCell ref="D18:F18"/>
    <mergeCell ref="H18:J18"/>
    <mergeCell ref="K18:M18"/>
    <mergeCell ref="O18:Q18"/>
    <mergeCell ref="R18:X21"/>
    <mergeCell ref="BI18:BK18"/>
    <mergeCell ref="BM18:BO18"/>
    <mergeCell ref="BP18:BP21"/>
    <mergeCell ref="BQ18:BQ21"/>
    <mergeCell ref="BR18:BR21"/>
    <mergeCell ref="BS18:BS21"/>
    <mergeCell ref="AM18:AM21"/>
    <mergeCell ref="AN18:AP18"/>
    <mergeCell ref="AR18:AT18"/>
    <mergeCell ref="AU18:AW18"/>
    <mergeCell ref="AY18:BA18"/>
    <mergeCell ref="BB18:BH21"/>
    <mergeCell ref="AF22:AF25"/>
    <mergeCell ref="AG22:AG25"/>
    <mergeCell ref="AH22:AH25"/>
    <mergeCell ref="C22:C25"/>
    <mergeCell ref="D22:F22"/>
    <mergeCell ref="H22:J22"/>
    <mergeCell ref="K22:M22"/>
    <mergeCell ref="O22:Q22"/>
    <mergeCell ref="R22:T22"/>
    <mergeCell ref="BS22:BS25"/>
    <mergeCell ref="D28:J28"/>
    <mergeCell ref="K28:Q28"/>
    <mergeCell ref="R28:X28"/>
    <mergeCell ref="Y28:AE28"/>
    <mergeCell ref="AN28:AT28"/>
    <mergeCell ref="AU28:BA28"/>
    <mergeCell ref="BB28:BH28"/>
    <mergeCell ref="BI28:BO28"/>
    <mergeCell ref="BB22:BD22"/>
    <mergeCell ref="BF22:BH22"/>
    <mergeCell ref="BI22:BO25"/>
    <mergeCell ref="BP22:BP25"/>
    <mergeCell ref="BQ22:BQ25"/>
    <mergeCell ref="BR22:BR25"/>
    <mergeCell ref="AI22:AI25"/>
    <mergeCell ref="AM22:AM25"/>
    <mergeCell ref="AN22:AP22"/>
    <mergeCell ref="AR22:AT22"/>
    <mergeCell ref="AU22:AW22"/>
    <mergeCell ref="AY22:BA22"/>
    <mergeCell ref="V22:X22"/>
    <mergeCell ref="Y22:AA22"/>
    <mergeCell ref="AC22:AE22"/>
    <mergeCell ref="Y29:AA29"/>
    <mergeCell ref="AC29:AE29"/>
    <mergeCell ref="AF29:AF32"/>
    <mergeCell ref="AG29:AG32"/>
    <mergeCell ref="AH29:AH32"/>
    <mergeCell ref="AI29:AI32"/>
    <mergeCell ref="C29:C32"/>
    <mergeCell ref="D29:J32"/>
    <mergeCell ref="K29:M29"/>
    <mergeCell ref="O29:Q29"/>
    <mergeCell ref="R29:T29"/>
    <mergeCell ref="V29:X29"/>
    <mergeCell ref="BI29:BK29"/>
    <mergeCell ref="BM29:BO29"/>
    <mergeCell ref="BP29:BP32"/>
    <mergeCell ref="BQ29:BQ32"/>
    <mergeCell ref="BR29:BR32"/>
    <mergeCell ref="BS29:BS32"/>
    <mergeCell ref="AM29:AM32"/>
    <mergeCell ref="AN29:AT32"/>
    <mergeCell ref="AU29:AW29"/>
    <mergeCell ref="AY29:BA29"/>
    <mergeCell ref="BB29:BD29"/>
    <mergeCell ref="BF29:BH29"/>
    <mergeCell ref="Y33:AA33"/>
    <mergeCell ref="AC33:AE33"/>
    <mergeCell ref="AF33:AF36"/>
    <mergeCell ref="AG33:AG36"/>
    <mergeCell ref="AH33:AH36"/>
    <mergeCell ref="AI33:AI36"/>
    <mergeCell ref="C33:C36"/>
    <mergeCell ref="D33:F33"/>
    <mergeCell ref="H33:J33"/>
    <mergeCell ref="K33:Q36"/>
    <mergeCell ref="R33:T33"/>
    <mergeCell ref="V33:X33"/>
    <mergeCell ref="BI33:BK33"/>
    <mergeCell ref="BM33:BO33"/>
    <mergeCell ref="BP33:BP36"/>
    <mergeCell ref="BQ33:BQ36"/>
    <mergeCell ref="BR33:BR36"/>
    <mergeCell ref="BS33:BS36"/>
    <mergeCell ref="AM33:AM36"/>
    <mergeCell ref="AN33:AP33"/>
    <mergeCell ref="AR33:AT33"/>
    <mergeCell ref="AU33:BA36"/>
    <mergeCell ref="BB33:BD33"/>
    <mergeCell ref="BF33:BH33"/>
    <mergeCell ref="Y37:AA37"/>
    <mergeCell ref="AC37:AE37"/>
    <mergeCell ref="AF37:AF40"/>
    <mergeCell ref="AG37:AG40"/>
    <mergeCell ref="AH37:AH40"/>
    <mergeCell ref="AI37:AI40"/>
    <mergeCell ref="C37:C40"/>
    <mergeCell ref="D37:F37"/>
    <mergeCell ref="H37:J37"/>
    <mergeCell ref="K37:M37"/>
    <mergeCell ref="O37:Q37"/>
    <mergeCell ref="R37:X40"/>
    <mergeCell ref="BI37:BK37"/>
    <mergeCell ref="BM37:BO37"/>
    <mergeCell ref="BP37:BP40"/>
    <mergeCell ref="BQ37:BQ40"/>
    <mergeCell ref="BR37:BR40"/>
    <mergeCell ref="BS37:BS40"/>
    <mergeCell ref="AM37:AM40"/>
    <mergeCell ref="AN37:AP37"/>
    <mergeCell ref="AR37:AT37"/>
    <mergeCell ref="AU37:AW37"/>
    <mergeCell ref="AY37:BA37"/>
    <mergeCell ref="BB37:BH40"/>
    <mergeCell ref="V41:X41"/>
    <mergeCell ref="Y41:AA41"/>
    <mergeCell ref="AC41:AE41"/>
    <mergeCell ref="AF41:AF44"/>
    <mergeCell ref="AG41:AG44"/>
    <mergeCell ref="AH41:AH44"/>
    <mergeCell ref="C41:C44"/>
    <mergeCell ref="D41:F41"/>
    <mergeCell ref="H41:J41"/>
    <mergeCell ref="K41:M41"/>
    <mergeCell ref="O41:Q41"/>
    <mergeCell ref="R41:T41"/>
    <mergeCell ref="BB41:BD41"/>
    <mergeCell ref="BF41:BH41"/>
    <mergeCell ref="BI41:BO44"/>
    <mergeCell ref="BP41:BP44"/>
    <mergeCell ref="BQ41:BQ44"/>
    <mergeCell ref="BR41:BR44"/>
    <mergeCell ref="AI41:AI44"/>
    <mergeCell ref="AM41:AM44"/>
    <mergeCell ref="AN41:AP41"/>
    <mergeCell ref="AR41:AT41"/>
    <mergeCell ref="AU41:AW41"/>
    <mergeCell ref="AY41:BA41"/>
    <mergeCell ref="BS41:BS44"/>
    <mergeCell ref="BW41:CW43"/>
    <mergeCell ref="BZ47:CB47"/>
    <mergeCell ref="CX47:CZ47"/>
    <mergeCell ref="CF49:CF52"/>
    <mergeCell ref="DD49:DD52"/>
    <mergeCell ref="CD50:CE50"/>
    <mergeCell ref="CH50:CI50"/>
    <mergeCell ref="DB50:DC50"/>
    <mergeCell ref="DF50:DG50"/>
    <mergeCell ref="CD51:CE51"/>
    <mergeCell ref="CH51:CI51"/>
    <mergeCell ref="DB51:DC51"/>
    <mergeCell ref="DF51:DG51"/>
    <mergeCell ref="CA52:CE52"/>
    <mergeCell ref="CG52:CL52"/>
    <mergeCell ref="CY52:DC52"/>
    <mergeCell ref="DE52:DJ52"/>
    <mergeCell ref="BX53:BY56"/>
    <mergeCell ref="BZ53:BZ60"/>
    <mergeCell ref="CD53:CE53"/>
    <mergeCell ref="CF53:CG53"/>
    <mergeCell ref="CH53:CI53"/>
    <mergeCell ref="CM53:CM60"/>
    <mergeCell ref="CH55:CI55"/>
    <mergeCell ref="CD56:CE56"/>
    <mergeCell ref="CF56:CG56"/>
    <mergeCell ref="CH56:CI56"/>
    <mergeCell ref="CJ60:CL60"/>
    <mergeCell ref="DL53:DM56"/>
    <mergeCell ref="CD54:CE54"/>
    <mergeCell ref="CF54:CG54"/>
    <mergeCell ref="CH54:CI54"/>
    <mergeCell ref="DB54:DC54"/>
    <mergeCell ref="DD54:DE54"/>
    <mergeCell ref="DF54:DG54"/>
    <mergeCell ref="CD55:CE55"/>
    <mergeCell ref="CF55:CG55"/>
    <mergeCell ref="CN53:CO56"/>
    <mergeCell ref="CV53:CW56"/>
    <mergeCell ref="CX53:CX60"/>
    <mergeCell ref="DB53:DC53"/>
    <mergeCell ref="DD53:DE53"/>
    <mergeCell ref="DF53:DG53"/>
    <mergeCell ref="DB55:DC55"/>
    <mergeCell ref="DD55:DE55"/>
    <mergeCell ref="DF55:DG55"/>
    <mergeCell ref="DB56:DC56"/>
    <mergeCell ref="DD56:DE56"/>
    <mergeCell ref="DF56:DG56"/>
    <mergeCell ref="CD57:CE57"/>
    <mergeCell ref="CF57:CG57"/>
    <mergeCell ref="CH57:CI57"/>
    <mergeCell ref="DB57:DC57"/>
    <mergeCell ref="DD57:DE57"/>
    <mergeCell ref="DF57:DG57"/>
    <mergeCell ref="DK53:DK60"/>
    <mergeCell ref="CZ58:DA58"/>
    <mergeCell ref="DD58:DE58"/>
    <mergeCell ref="DH58:DI58"/>
    <mergeCell ref="DL58:DM58"/>
    <mergeCell ref="BX59:BY59"/>
    <mergeCell ref="CB59:CC59"/>
    <mergeCell ref="CJ59:CK59"/>
    <mergeCell ref="CN59:CO59"/>
    <mergeCell ref="CV59:CW59"/>
    <mergeCell ref="CZ59:DA59"/>
    <mergeCell ref="BX58:BY58"/>
    <mergeCell ref="CB58:CC58"/>
    <mergeCell ref="CF58:CG58"/>
    <mergeCell ref="CJ58:CK58"/>
    <mergeCell ref="CN58:CO58"/>
    <mergeCell ref="CV58:CW58"/>
    <mergeCell ref="DH59:DI59"/>
    <mergeCell ref="DL59:DM59"/>
    <mergeCell ref="BX60:BY60"/>
    <mergeCell ref="CA60:CC60"/>
    <mergeCell ref="CN60:CO60"/>
    <mergeCell ref="CV60:CW60"/>
    <mergeCell ref="CY60:DA60"/>
    <mergeCell ref="DH60:DJ60"/>
    <mergeCell ref="DL60:DM60"/>
    <mergeCell ref="DL61:DM61"/>
    <mergeCell ref="DN61:DN66"/>
    <mergeCell ref="CN62:CO62"/>
    <mergeCell ref="CV62:CW62"/>
    <mergeCell ref="CX62:CY62"/>
    <mergeCell ref="CX61:CY61"/>
    <mergeCell ref="CZ61:DA61"/>
    <mergeCell ref="DB61:DB66"/>
    <mergeCell ref="DG61:DG66"/>
    <mergeCell ref="DH61:DI61"/>
    <mergeCell ref="DJ61:DK61"/>
    <mergeCell ref="CZ62:DA62"/>
    <mergeCell ref="DH62:DI62"/>
    <mergeCell ref="DJ62:DK62"/>
    <mergeCell ref="CV64:CW64"/>
    <mergeCell ref="CX64:CY64"/>
    <mergeCell ref="CZ64:DA64"/>
    <mergeCell ref="CP61:CP66"/>
    <mergeCell ref="DL62:DM62"/>
    <mergeCell ref="CV63:CW63"/>
    <mergeCell ref="CX63:CY63"/>
    <mergeCell ref="CZ63:DA63"/>
    <mergeCell ref="CU61:CU66"/>
    <mergeCell ref="CV61:CW61"/>
    <mergeCell ref="CV65:CW65"/>
    <mergeCell ref="BX61:BY61"/>
    <mergeCell ref="BZ61:CA61"/>
    <mergeCell ref="CB61:CC61"/>
    <mergeCell ref="CD61:CD66"/>
    <mergeCell ref="CB65:CC65"/>
    <mergeCell ref="CJ65:CK65"/>
    <mergeCell ref="CL65:CM65"/>
    <mergeCell ref="DJ63:DK63"/>
    <mergeCell ref="DL63:DM63"/>
    <mergeCell ref="CN65:CO65"/>
    <mergeCell ref="BX64:BY64"/>
    <mergeCell ref="BZ64:CA64"/>
    <mergeCell ref="CB64:CC64"/>
    <mergeCell ref="CJ64:CK64"/>
    <mergeCell ref="CL64:CM64"/>
    <mergeCell ref="CN64:CO64"/>
    <mergeCell ref="CI61:CI66"/>
    <mergeCell ref="BX62:BY62"/>
    <mergeCell ref="BZ62:CA62"/>
    <mergeCell ref="CB62:CC62"/>
    <mergeCell ref="CJ62:CK62"/>
    <mergeCell ref="CL62:CM62"/>
    <mergeCell ref="CJ61:CK61"/>
    <mergeCell ref="CL61:CM61"/>
    <mergeCell ref="CN61:CO61"/>
    <mergeCell ref="BX63:BY63"/>
    <mergeCell ref="BZ63:CA63"/>
    <mergeCell ref="CB63:CC63"/>
    <mergeCell ref="CJ63:CK63"/>
    <mergeCell ref="CL63:CM63"/>
    <mergeCell ref="CN63:CO63"/>
    <mergeCell ref="DG67:DH67"/>
    <mergeCell ref="DM67:DN67"/>
    <mergeCell ref="BW67:BX67"/>
    <mergeCell ref="CC67:CD67"/>
    <mergeCell ref="CI67:CJ67"/>
    <mergeCell ref="CO67:CP67"/>
    <mergeCell ref="CU67:CV67"/>
    <mergeCell ref="DA67:DB67"/>
    <mergeCell ref="CX65:CY65"/>
    <mergeCell ref="CZ65:DA65"/>
    <mergeCell ref="DH65:DI65"/>
    <mergeCell ref="DJ65:DK65"/>
    <mergeCell ref="DL65:DM65"/>
    <mergeCell ref="BZ66:CA66"/>
    <mergeCell ref="CL66:CM66"/>
    <mergeCell ref="CX66:CY66"/>
    <mergeCell ref="DJ66:DK66"/>
    <mergeCell ref="BW61:BW66"/>
    <mergeCell ref="DH64:DI64"/>
    <mergeCell ref="DJ64:DK64"/>
    <mergeCell ref="DL64:DM64"/>
    <mergeCell ref="DH63:DI63"/>
    <mergeCell ref="BX65:BY65"/>
    <mergeCell ref="BZ65:CA65"/>
  </mergeCells>
  <phoneticPr fontId="2"/>
  <conditionalFormatting sqref="BW61:BW66">
    <cfRule type="expression" dxfId="237" priority="32" stopIfTrue="1">
      <formula>$BX$59&lt;=$CB$59</formula>
    </cfRule>
  </conditionalFormatting>
  <conditionalFormatting sqref="BX60:BY60">
    <cfRule type="expression" dxfId="236" priority="29" stopIfTrue="1">
      <formula>$BX$59&lt;=$CB$59</formula>
    </cfRule>
  </conditionalFormatting>
  <conditionalFormatting sqref="BZ53:BZ60">
    <cfRule type="expression" dxfId="235" priority="25" stopIfTrue="1">
      <formula>$BX$59=$CB$59</formula>
    </cfRule>
    <cfRule type="expression" dxfId="234" priority="26" stopIfTrue="1">
      <formula>$BX$59&lt;$CB$59</formula>
    </cfRule>
  </conditionalFormatting>
  <conditionalFormatting sqref="CA60:CC60">
    <cfRule type="expression" dxfId="233" priority="28" stopIfTrue="1">
      <formula>$CB$59&lt;=$BX$59</formula>
    </cfRule>
  </conditionalFormatting>
  <conditionalFormatting sqref="CA52:CE52">
    <cfRule type="expression" dxfId="232" priority="19" stopIfTrue="1">
      <formula>$CD$51&lt;=$CH$51</formula>
    </cfRule>
  </conditionalFormatting>
  <conditionalFormatting sqref="CD61:CD66">
    <cfRule type="expression" dxfId="231" priority="27" stopIfTrue="1">
      <formula>$CB$59&lt;=$BX$59</formula>
    </cfRule>
  </conditionalFormatting>
  <conditionalFormatting sqref="CF49:CF52">
    <cfRule type="expression" dxfId="230" priority="16" stopIfTrue="1">
      <formula>$CD$51=$CH$51</formula>
    </cfRule>
    <cfRule type="expression" dxfId="229" priority="17" stopIfTrue="1">
      <formula>$CD$51&lt;$CH$51</formula>
    </cfRule>
  </conditionalFormatting>
  <conditionalFormatting sqref="CG52:CL52">
    <cfRule type="expression" dxfId="228" priority="18" stopIfTrue="1">
      <formula>$CH$51&lt;=$CD$51</formula>
    </cfRule>
  </conditionalFormatting>
  <conditionalFormatting sqref="CI61:CI66">
    <cfRule type="expression" dxfId="227" priority="31" stopIfTrue="1">
      <formula>$CJ$59&lt;=$CN$59</formula>
    </cfRule>
  </conditionalFormatting>
  <conditionalFormatting sqref="CJ60:CL60">
    <cfRule type="expression" dxfId="226" priority="24" stopIfTrue="1">
      <formula>$CJ$59&lt;=$CN$59</formula>
    </cfRule>
  </conditionalFormatting>
  <conditionalFormatting sqref="CM53:CM60">
    <cfRule type="expression" dxfId="225" priority="20" stopIfTrue="1">
      <formula>$CN$59=$CJ$59</formula>
    </cfRule>
    <cfRule type="expression" dxfId="224" priority="21" stopIfTrue="1">
      <formula>$CN$59&lt;$CJ$59</formula>
    </cfRule>
  </conditionalFormatting>
  <conditionalFormatting sqref="CN60:CO60">
    <cfRule type="expression" dxfId="223" priority="23" stopIfTrue="1">
      <formula>$CN$59&lt;=$CJ$59</formula>
    </cfRule>
  </conditionalFormatting>
  <conditionalFormatting sqref="CP61:CP66">
    <cfRule type="expression" dxfId="222" priority="22" stopIfTrue="1">
      <formula>$CN$59&lt;=$CJ$59</formula>
    </cfRule>
  </conditionalFormatting>
  <conditionalFormatting sqref="CU61:CU66">
    <cfRule type="expression" dxfId="221" priority="30" stopIfTrue="1">
      <formula>$CV$59&lt;=$CZ$59</formula>
    </cfRule>
  </conditionalFormatting>
  <conditionalFormatting sqref="CV60:CW60">
    <cfRule type="expression" dxfId="220" priority="14" stopIfTrue="1">
      <formula>$CV$59&lt;=$CZ$59</formula>
    </cfRule>
  </conditionalFormatting>
  <conditionalFormatting sqref="CX53:CX60">
    <cfRule type="expression" dxfId="219" priority="10" stopIfTrue="1">
      <formula>$CV$59=$CZ$59</formula>
    </cfRule>
    <cfRule type="expression" dxfId="218" priority="11" stopIfTrue="1">
      <formula>$CV$59&lt;$CZ$59</formula>
    </cfRule>
  </conditionalFormatting>
  <conditionalFormatting sqref="CY60:DA60">
    <cfRule type="expression" dxfId="217" priority="13" stopIfTrue="1">
      <formula>$CZ$59&lt;=$CV$59</formula>
    </cfRule>
  </conditionalFormatting>
  <conditionalFormatting sqref="CY52:DC52">
    <cfRule type="expression" dxfId="216" priority="4" stopIfTrue="1">
      <formula>$DB$51&lt;=$DF$51</formula>
    </cfRule>
  </conditionalFormatting>
  <conditionalFormatting sqref="DB61:DB66">
    <cfRule type="expression" dxfId="215" priority="12" stopIfTrue="1">
      <formula>$CZ$59&lt;=$CV$59</formula>
    </cfRule>
  </conditionalFormatting>
  <conditionalFormatting sqref="DD49:DD52">
    <cfRule type="expression" dxfId="214" priority="1" stopIfTrue="1">
      <formula>$DB$51=$DF$51</formula>
    </cfRule>
    <cfRule type="expression" dxfId="213" priority="2" stopIfTrue="1">
      <formula>$DB$51&lt;$DF$51</formula>
    </cfRule>
  </conditionalFormatting>
  <conditionalFormatting sqref="DE52:DJ52">
    <cfRule type="expression" dxfId="212" priority="3" stopIfTrue="1">
      <formula>$DF$51&lt;=$DB$51</formula>
    </cfRule>
  </conditionalFormatting>
  <conditionalFormatting sqref="DG61:DG66">
    <cfRule type="expression" dxfId="211" priority="15" stopIfTrue="1">
      <formula>$DH$59&lt;=$DL$59</formula>
    </cfRule>
  </conditionalFormatting>
  <conditionalFormatting sqref="DH60:DJ60">
    <cfRule type="expression" dxfId="210" priority="9" stopIfTrue="1">
      <formula>$DH$59&lt;=$DL$59</formula>
    </cfRule>
  </conditionalFormatting>
  <conditionalFormatting sqref="DK53:DK60">
    <cfRule type="expression" dxfId="209" priority="5" stopIfTrue="1">
      <formula>$DL$59=$DH$59</formula>
    </cfRule>
    <cfRule type="expression" dxfId="208" priority="6" stopIfTrue="1">
      <formula>$DL$59&lt;$DH$59</formula>
    </cfRule>
  </conditionalFormatting>
  <conditionalFormatting sqref="DL60:DM60">
    <cfRule type="expression" dxfId="207" priority="8" stopIfTrue="1">
      <formula>$DL$59&lt;=$DH$59</formula>
    </cfRule>
  </conditionalFormatting>
  <conditionalFormatting sqref="DN61:DN66">
    <cfRule type="expression" dxfId="206" priority="7" stopIfTrue="1">
      <formula>$DL$59&lt;=$DH$59</formula>
    </cfRule>
  </conditionalFormatting>
  <printOptions horizontalCentered="1"/>
  <pageMargins left="0.39370078740157483" right="0.39370078740157483" top="0.59055118110236227" bottom="0.59055118110236227" header="0.31496062992125984" footer="0.31496062992125984"/>
  <pageSetup paperSize="9" scale="72"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DQ66"/>
  <sheetViews>
    <sheetView showGridLines="0" view="pageBreakPreview" topLeftCell="C51" zoomScale="70" zoomScaleNormal="85" zoomScaleSheetLayoutView="70" workbookViewId="0">
      <selection activeCell="DH64" sqref="DH60:DN65"/>
    </sheetView>
  </sheetViews>
  <sheetFormatPr defaultColWidth="9" defaultRowHeight="14.25" x14ac:dyDescent="0.15"/>
  <cols>
    <col min="1" max="1" width="9" style="31" customWidth="1"/>
    <col min="2" max="2" width="3.375" style="62" hidden="1" customWidth="1"/>
    <col min="3" max="3" width="5" style="62" customWidth="1"/>
    <col min="4" max="5" width="0.625" style="31" customWidth="1"/>
    <col min="6" max="6" width="2.375" style="64" customWidth="1"/>
    <col min="7" max="7" width="2.375" style="61" customWidth="1"/>
    <col min="8" max="8" width="2.375" style="65" customWidth="1"/>
    <col min="9" max="12" width="0.625" style="31" customWidth="1"/>
    <col min="13" max="13" width="2.375" style="64" customWidth="1"/>
    <col min="14" max="14" width="2.375" style="61" customWidth="1"/>
    <col min="15" max="15" width="2.375" style="65" customWidth="1"/>
    <col min="16" max="19" width="0.625" style="31" customWidth="1"/>
    <col min="20" max="20" width="2.375" style="64" customWidth="1"/>
    <col min="21" max="21" width="2.375" style="61" customWidth="1"/>
    <col min="22" max="22" width="2.375" style="65" customWidth="1"/>
    <col min="23" max="24" width="0.625" style="31" customWidth="1"/>
    <col min="25" max="26" width="0.625" style="62" hidden="1" customWidth="1"/>
    <col min="27" max="27" width="2.375" style="62" hidden="1" customWidth="1"/>
    <col min="28" max="28" width="2.375" style="76" hidden="1" customWidth="1"/>
    <col min="29" max="29" width="2.375" style="62" hidden="1" customWidth="1"/>
    <col min="30" max="31" width="0.625" style="62" hidden="1" customWidth="1"/>
    <col min="32" max="35" width="5" style="62" customWidth="1"/>
    <col min="36" max="36" width="6.375" style="62" hidden="1" customWidth="1"/>
    <col min="37" max="37" width="2.375" style="62" customWidth="1"/>
    <col min="38" max="38" width="4.375" style="62" hidden="1" customWidth="1"/>
    <col min="39" max="39" width="5" style="62" customWidth="1"/>
    <col min="40" max="41" width="0.625" style="31" customWidth="1"/>
    <col min="42" max="42" width="2.375" style="64" customWidth="1"/>
    <col min="43" max="43" width="2.375" style="61" customWidth="1"/>
    <col min="44" max="44" width="2.375" style="65" customWidth="1"/>
    <col min="45" max="48" width="0.625" style="31" customWidth="1"/>
    <col min="49" max="49" width="2.375" style="64" customWidth="1"/>
    <col min="50" max="50" width="2.375" style="61" customWidth="1"/>
    <col min="51" max="51" width="2.375" style="65" customWidth="1"/>
    <col min="52" max="55" width="0.625" style="31" customWidth="1"/>
    <col min="56" max="56" width="2.375" style="64" customWidth="1"/>
    <col min="57" max="57" width="2.375" style="61" customWidth="1"/>
    <col min="58" max="58" width="2.375" style="65" customWidth="1"/>
    <col min="59" max="62" width="0.625" style="31" customWidth="1"/>
    <col min="63" max="63" width="2.375" style="64" customWidth="1"/>
    <col min="64" max="64" width="2.375" style="61" customWidth="1"/>
    <col min="65" max="65" width="2.375" style="65" customWidth="1"/>
    <col min="66" max="67" width="0.625" style="31" customWidth="1"/>
    <col min="68" max="71" width="5" style="62" customWidth="1"/>
    <col min="72" max="72" width="0" style="62" hidden="1" customWidth="1"/>
    <col min="73" max="73" width="9" style="62"/>
    <col min="74" max="121" width="2.375" style="62" customWidth="1"/>
    <col min="122" max="16384" width="9" style="62"/>
  </cols>
  <sheetData>
    <row r="1" spans="1:82" ht="24.75" x14ac:dyDescent="0.15">
      <c r="C1" s="95" t="str">
        <f ca="1">"令和"&amp;IF(YEAR(NOW())=2019,"元",YEAR(NOW())-2018)&amp;"年度 第"&amp;YEAR(NOW())-1999&amp;"回 加賀地区中学校サッカー大会 《 南加賀ブロック 》"</f>
        <v>令和6年度 第25回 加賀地区中学校サッカー大会 《 南加賀ブロック 》</v>
      </c>
      <c r="BY1" s="31" t="s">
        <v>170</v>
      </c>
      <c r="BZ1" s="62" t="e">
        <f>DAY(#REF!)</f>
        <v>#REF!</v>
      </c>
      <c r="CA1" s="62" t="s">
        <v>84</v>
      </c>
      <c r="CB1" s="62" t="str">
        <f t="shared" ref="CB1:CB9" si="0">CHAR(10)</f>
        <v xml:space="preserve">
</v>
      </c>
      <c r="CC1" s="96" t="s">
        <v>177</v>
      </c>
      <c r="CD1" s="62" t="e">
        <f>BZ1&amp;CA1&amp;CB1&amp;CC1</f>
        <v>#REF!</v>
      </c>
    </row>
    <row r="2" spans="1:82" x14ac:dyDescent="0.15">
      <c r="A2" s="31" t="str">
        <f>IF(CD50=CH50,"",IF(CD50&gt;CH50,BX52,CN52))</f>
        <v/>
      </c>
      <c r="BY2" s="31" t="s">
        <v>167</v>
      </c>
      <c r="BZ2" s="62" t="e">
        <f>BZ1</f>
        <v>#REF!</v>
      </c>
      <c r="CA2" s="62" t="s">
        <v>84</v>
      </c>
      <c r="CB2" s="62" t="str">
        <f t="shared" si="0"/>
        <v xml:space="preserve">
</v>
      </c>
      <c r="CC2" s="96" t="s">
        <v>178</v>
      </c>
      <c r="CD2" s="62" t="e">
        <f t="shared" ref="CD2:CD9" si="1">BZ2&amp;CA2&amp;CB2&amp;CC2</f>
        <v>#REF!</v>
      </c>
    </row>
    <row r="3" spans="1:82" ht="25.5" customHeight="1" x14ac:dyDescent="0.15">
      <c r="A3" s="31" t="str">
        <f>IF(CD50=CH50,"",IF(CD50&lt;CH50,BX52,CN52))</f>
        <v/>
      </c>
      <c r="F3" s="634" t="s">
        <v>77</v>
      </c>
      <c r="G3" s="634"/>
      <c r="H3" s="634"/>
      <c r="I3" s="201" t="str">
        <f>IF(A2="","",IF(VLOOKUP(A2,予選学校名!$I$3:$L$32,3,FALSE)="",IF(VLOOKUP(A2,予選学校名!$I$3:$L$32,4,FALSE)="","",VLOOKUP(A2,予選学校名!$I$3:$L$32,4,FALSE)),VLOOKUP(A2,予選学校名!$I$3:$L$32,3,FALSE)&amp;"立")&amp;A2&amp;"中学校("&amp;VLOOKUP(A2,予選学校名!$I$3:$L$32,2,FALSE)&amp;")")</f>
        <v/>
      </c>
      <c r="J3" s="201"/>
      <c r="K3" s="201"/>
      <c r="L3" s="201"/>
      <c r="M3" s="202"/>
      <c r="N3" s="203"/>
      <c r="O3" s="204"/>
      <c r="P3" s="201"/>
      <c r="Q3" s="201"/>
      <c r="R3" s="201"/>
      <c r="S3" s="201"/>
      <c r="T3" s="202"/>
      <c r="U3" s="203"/>
      <c r="V3" s="204"/>
      <c r="W3" s="201"/>
      <c r="X3" s="201"/>
      <c r="Y3" s="201"/>
      <c r="Z3" s="201"/>
      <c r="AA3" s="201"/>
      <c r="AB3" s="203"/>
      <c r="AC3" s="201"/>
      <c r="AD3" s="201"/>
      <c r="AE3" s="201"/>
      <c r="AF3" s="201"/>
      <c r="AG3" s="201"/>
      <c r="AH3" s="205"/>
      <c r="AI3" s="205"/>
      <c r="AM3" s="62" t="s">
        <v>109</v>
      </c>
      <c r="AN3" s="62"/>
      <c r="AO3" s="62"/>
      <c r="AP3" s="201" t="str">
        <f>IF(A6="","",IF(VLOOKUP(A6,予選学校名!$I$3:$L$32,3,FALSE)="",IF(VLOOKUP(A6,予選学校名!$I$3:$L$32,4,FALSE)="","",VLOOKUP(A6,予選学校名!$I$3:$L$32,4,FALSE)),VLOOKUP(A6,予選学校名!$I$3:$L$32,3,FALSE)&amp;"立")&amp;A6&amp;"中学校("&amp;VLOOKUP(A6,予選学校名!$I$3:$L$32,2,FALSE)&amp;")")</f>
        <v/>
      </c>
      <c r="AQ3" s="201"/>
      <c r="AR3" s="205"/>
      <c r="AS3" s="205"/>
      <c r="AT3" s="206"/>
      <c r="AU3" s="207"/>
      <c r="AV3" s="208"/>
      <c r="AW3" s="205"/>
      <c r="AX3" s="205"/>
      <c r="AY3" s="205"/>
      <c r="AZ3" s="205"/>
      <c r="BA3" s="206"/>
      <c r="BB3" s="207"/>
      <c r="BC3" s="208"/>
      <c r="BD3" s="205"/>
      <c r="BE3" s="205"/>
      <c r="BF3" s="205"/>
      <c r="BG3" s="205"/>
      <c r="BH3" s="206"/>
      <c r="BI3" s="207"/>
      <c r="BJ3" s="208"/>
      <c r="BK3" s="206"/>
      <c r="BL3" s="207"/>
      <c r="BM3" s="209"/>
      <c r="BN3" s="210"/>
      <c r="BO3" s="210"/>
      <c r="BP3" s="205"/>
      <c r="BY3" s="31" t="s">
        <v>171</v>
      </c>
      <c r="BZ3" s="62" t="e">
        <f t="shared" ref="BZ3:BZ9" si="2">BZ2</f>
        <v>#REF!</v>
      </c>
      <c r="CA3" s="62" t="s">
        <v>84</v>
      </c>
      <c r="CB3" s="62" t="str">
        <f t="shared" si="0"/>
        <v xml:space="preserve">
</v>
      </c>
      <c r="CC3" s="96" t="s">
        <v>179</v>
      </c>
      <c r="CD3" s="62" t="e">
        <f t="shared" si="1"/>
        <v>#REF!</v>
      </c>
    </row>
    <row r="4" spans="1:82" ht="25.5" customHeight="1" x14ac:dyDescent="0.15">
      <c r="A4" s="31" t="str">
        <f>IF(CD50=CH50,"",IF(BX52=A2,A54,A55))</f>
        <v/>
      </c>
      <c r="F4" s="634" t="s">
        <v>79</v>
      </c>
      <c r="G4" s="634"/>
      <c r="H4" s="634"/>
      <c r="I4" s="201" t="str">
        <f>IF(A3="","",IF(VLOOKUP(A3,予選学校名!$I$3:$L$32,3,FALSE)="",IF(VLOOKUP(A3,予選学校名!$I$3:$L$32,4,FALSE)="","",VLOOKUP(A3,予選学校名!$I$3:$L$32,4,FALSE)),VLOOKUP(A3,予選学校名!$I$3:$L$32,3,FALSE)&amp;"立")&amp;A3&amp;"中学校("&amp;VLOOKUP(A3,予選学校名!$I$3:$L$32,2,FALSE)&amp;")")</f>
        <v/>
      </c>
      <c r="J4" s="211"/>
      <c r="K4" s="211"/>
      <c r="L4" s="211"/>
      <c r="M4" s="212"/>
      <c r="N4" s="213"/>
      <c r="O4" s="214"/>
      <c r="P4" s="211"/>
      <c r="Q4" s="211"/>
      <c r="R4" s="211"/>
      <c r="S4" s="211"/>
      <c r="T4" s="212"/>
      <c r="U4" s="213"/>
      <c r="V4" s="214"/>
      <c r="W4" s="211"/>
      <c r="X4" s="211"/>
      <c r="Y4" s="201"/>
      <c r="Z4" s="201"/>
      <c r="AA4" s="201"/>
      <c r="AB4" s="203"/>
      <c r="AC4" s="201"/>
      <c r="AD4" s="201"/>
      <c r="AE4" s="201"/>
      <c r="AF4" s="201"/>
      <c r="AG4" s="201"/>
      <c r="AH4" s="205"/>
      <c r="AI4" s="205"/>
      <c r="BY4" s="31" t="s">
        <v>169</v>
      </c>
      <c r="BZ4" s="62" t="e">
        <f t="shared" si="2"/>
        <v>#REF!</v>
      </c>
      <c r="CA4" s="62" t="s">
        <v>84</v>
      </c>
      <c r="CB4" s="62" t="str">
        <f t="shared" si="0"/>
        <v xml:space="preserve">
</v>
      </c>
      <c r="CC4" s="96" t="s">
        <v>180</v>
      </c>
      <c r="CD4" s="62" t="e">
        <f t="shared" si="1"/>
        <v>#REF!</v>
      </c>
    </row>
    <row r="5" spans="1:82" ht="25.5" customHeight="1" x14ac:dyDescent="0.15">
      <c r="A5" s="31" t="str">
        <f>IF(CD50=CH50,"",IF(BX52=A2,A55,A54))</f>
        <v/>
      </c>
      <c r="F5" s="634" t="s">
        <v>80</v>
      </c>
      <c r="G5" s="634"/>
      <c r="H5" s="634"/>
      <c r="I5" s="201" t="str">
        <f>IF(A4="","",IF(VLOOKUP(A4,予選学校名!$I$3:$L$32,3,FALSE)="",IF(VLOOKUP(A4,予選学校名!$I$3:$L$32,4,FALSE)="","",VLOOKUP(A4,予選学校名!$I$3:$L$32,4,FALSE)),VLOOKUP(A4,予選学校名!$I$3:$L$32,3,FALSE)&amp;"立")&amp;A4&amp;"中学校("&amp;VLOOKUP(A4,予選学校名!$I$3:$L$32,2,FALSE)&amp;")")</f>
        <v/>
      </c>
      <c r="J5" s="211"/>
      <c r="K5" s="211"/>
      <c r="L5" s="211"/>
      <c r="M5" s="212"/>
      <c r="N5" s="213"/>
      <c r="O5" s="214"/>
      <c r="P5" s="211"/>
      <c r="Q5" s="211"/>
      <c r="R5" s="211"/>
      <c r="S5" s="211"/>
      <c r="T5" s="212"/>
      <c r="U5" s="213"/>
      <c r="V5" s="214"/>
      <c r="W5" s="211"/>
      <c r="X5" s="211"/>
      <c r="Y5" s="201"/>
      <c r="Z5" s="201"/>
      <c r="AA5" s="201"/>
      <c r="AB5" s="203"/>
      <c r="AC5" s="201"/>
      <c r="AD5" s="201"/>
      <c r="AE5" s="201"/>
      <c r="AF5" s="201"/>
      <c r="AG5" s="201"/>
      <c r="AH5" s="205"/>
      <c r="AI5" s="205"/>
      <c r="BY5" s="31" t="s">
        <v>172</v>
      </c>
      <c r="BZ5" s="62" t="e">
        <f t="shared" si="2"/>
        <v>#REF!</v>
      </c>
      <c r="CA5" s="62" t="s">
        <v>84</v>
      </c>
      <c r="CB5" s="62" t="str">
        <f t="shared" si="0"/>
        <v xml:space="preserve">
</v>
      </c>
      <c r="CC5" s="96" t="s">
        <v>181</v>
      </c>
      <c r="CD5" s="62" t="e">
        <f t="shared" si="1"/>
        <v>#REF!</v>
      </c>
    </row>
    <row r="6" spans="1:82" ht="25.5" customHeight="1" x14ac:dyDescent="0.15">
      <c r="A6" s="31" t="str">
        <f>IF(DB50=DF50,"",IF(DB50&gt;DF50,CV52,DL52))</f>
        <v/>
      </c>
      <c r="I6" s="201" t="str">
        <f>IF(A5="","",IF(VLOOKUP(A5,予選学校名!$I$3:$L$32,3,FALSE)="",IF(VLOOKUP(A5,予選学校名!$I$3:$L$32,4,FALSE)="","",VLOOKUP(A5,予選学校名!$I$3:$L$32,4,FALSE)),VLOOKUP(A5,予選学校名!$I$3:$L$32,3,FALSE)&amp;"立")&amp;A5&amp;"中学校("&amp;VLOOKUP(A5,予選学校名!$I$3:$L$32,2,FALSE)&amp;")")</f>
        <v/>
      </c>
      <c r="J6" s="211"/>
      <c r="K6" s="211"/>
      <c r="L6" s="211"/>
      <c r="M6" s="212"/>
      <c r="N6" s="213"/>
      <c r="O6" s="214"/>
      <c r="P6" s="211"/>
      <c r="Q6" s="211"/>
      <c r="R6" s="211"/>
      <c r="S6" s="211"/>
      <c r="T6" s="212"/>
      <c r="U6" s="213"/>
      <c r="V6" s="214"/>
      <c r="W6" s="211"/>
      <c r="X6" s="211"/>
      <c r="Y6" s="201"/>
      <c r="Z6" s="201"/>
      <c r="AA6" s="201"/>
      <c r="AB6" s="203"/>
      <c r="AC6" s="201"/>
      <c r="AD6" s="201"/>
      <c r="AE6" s="201"/>
      <c r="AF6" s="201"/>
      <c r="AG6" s="201"/>
      <c r="AH6" s="205"/>
      <c r="AI6" s="205"/>
      <c r="BY6" s="31" t="s">
        <v>173</v>
      </c>
      <c r="BZ6" s="62" t="e">
        <f>BZ5+1</f>
        <v>#REF!</v>
      </c>
      <c r="CA6" s="62" t="s">
        <v>84</v>
      </c>
      <c r="CB6" s="62" t="str">
        <f t="shared" si="0"/>
        <v xml:space="preserve">
</v>
      </c>
      <c r="CC6" s="96" t="s">
        <v>177</v>
      </c>
      <c r="CD6" s="62" t="e">
        <f t="shared" si="1"/>
        <v>#REF!</v>
      </c>
    </row>
    <row r="7" spans="1:82" x14ac:dyDescent="0.15">
      <c r="BY7" s="31" t="s">
        <v>168</v>
      </c>
      <c r="BZ7" s="62" t="e">
        <f t="shared" si="2"/>
        <v>#REF!</v>
      </c>
      <c r="CA7" s="62" t="s">
        <v>84</v>
      </c>
      <c r="CB7" s="62" t="str">
        <f t="shared" si="0"/>
        <v xml:space="preserve">
</v>
      </c>
      <c r="CC7" s="96" t="s">
        <v>178</v>
      </c>
      <c r="CD7" s="62" t="e">
        <f t="shared" si="1"/>
        <v>#REF!</v>
      </c>
    </row>
    <row r="8" spans="1:82" s="68" customFormat="1" ht="18" x14ac:dyDescent="0.15">
      <c r="A8" s="67"/>
      <c r="C8" s="68" t="s">
        <v>182</v>
      </c>
      <c r="D8" s="67"/>
      <c r="E8" s="67"/>
      <c r="F8" s="69"/>
      <c r="G8" s="70"/>
      <c r="H8" s="71"/>
      <c r="I8" s="67"/>
      <c r="J8" s="67"/>
      <c r="K8" s="67"/>
      <c r="L8" s="67"/>
      <c r="M8" s="69"/>
      <c r="N8" s="70"/>
      <c r="O8" s="71"/>
      <c r="P8" s="67"/>
      <c r="Q8" s="67"/>
      <c r="R8" s="67"/>
      <c r="S8" s="67"/>
      <c r="T8" s="69"/>
      <c r="U8" s="70"/>
      <c r="V8" s="71"/>
      <c r="W8" s="67"/>
      <c r="X8" s="67"/>
      <c r="AB8" s="93"/>
      <c r="AM8" s="68" t="s">
        <v>183</v>
      </c>
      <c r="AN8" s="67"/>
      <c r="AO8" s="67"/>
      <c r="AP8" s="69"/>
      <c r="AQ8" s="70"/>
      <c r="AR8" s="71"/>
      <c r="AS8" s="67"/>
      <c r="AT8" s="67"/>
      <c r="AU8" s="67"/>
      <c r="AV8" s="67"/>
      <c r="AW8" s="69"/>
      <c r="AX8" s="70"/>
      <c r="AY8" s="71"/>
      <c r="AZ8" s="67"/>
      <c r="BA8" s="67"/>
      <c r="BB8" s="67"/>
      <c r="BC8" s="67"/>
      <c r="BD8" s="69"/>
      <c r="BE8" s="70"/>
      <c r="BF8" s="71"/>
      <c r="BG8" s="67"/>
      <c r="BH8" s="67"/>
      <c r="BI8" s="67"/>
      <c r="BJ8" s="67"/>
      <c r="BK8" s="69"/>
      <c r="BL8" s="70"/>
      <c r="BM8" s="71"/>
      <c r="BN8" s="67"/>
      <c r="BO8" s="67"/>
      <c r="BY8" s="31" t="s">
        <v>166</v>
      </c>
      <c r="BZ8" s="62" t="e">
        <f t="shared" si="2"/>
        <v>#REF!</v>
      </c>
      <c r="CA8" s="62" t="s">
        <v>84</v>
      </c>
      <c r="CB8" s="62" t="str">
        <f t="shared" si="0"/>
        <v xml:space="preserve">
</v>
      </c>
      <c r="CC8" s="96" t="s">
        <v>179</v>
      </c>
      <c r="CD8" s="62" t="e">
        <f t="shared" si="1"/>
        <v>#REF!</v>
      </c>
    </row>
    <row r="9" spans="1:82" ht="28.5" x14ac:dyDescent="0.15">
      <c r="C9" s="72"/>
      <c r="D9" s="941" t="str">
        <f>C10</f>
        <v>松任</v>
      </c>
      <c r="E9" s="941"/>
      <c r="F9" s="941"/>
      <c r="G9" s="941"/>
      <c r="H9" s="941"/>
      <c r="I9" s="941"/>
      <c r="J9" s="941"/>
      <c r="K9" s="941" t="str">
        <f>C14</f>
        <v>美川</v>
      </c>
      <c r="L9" s="941"/>
      <c r="M9" s="941"/>
      <c r="N9" s="941"/>
      <c r="O9" s="941"/>
      <c r="P9" s="941"/>
      <c r="Q9" s="941"/>
      <c r="R9" s="941" t="str">
        <f>C18</f>
        <v>根上</v>
      </c>
      <c r="S9" s="941"/>
      <c r="T9" s="941"/>
      <c r="U9" s="941"/>
      <c r="V9" s="941"/>
      <c r="W9" s="941"/>
      <c r="X9" s="941"/>
      <c r="Y9" s="608">
        <f>J18</f>
        <v>0</v>
      </c>
      <c r="Z9" s="608"/>
      <c r="AA9" s="608"/>
      <c r="AB9" s="608"/>
      <c r="AC9" s="608"/>
      <c r="AD9" s="608"/>
      <c r="AE9" s="608"/>
      <c r="AF9" s="73" t="s">
        <v>88</v>
      </c>
      <c r="AG9" s="74" t="s">
        <v>89</v>
      </c>
      <c r="AH9" s="73" t="s">
        <v>90</v>
      </c>
      <c r="AI9" s="73" t="s">
        <v>91</v>
      </c>
      <c r="AJ9" s="76"/>
      <c r="AK9" s="76"/>
      <c r="AM9" s="72"/>
      <c r="AN9" s="941" t="str">
        <f>AM10</f>
        <v>北辰</v>
      </c>
      <c r="AO9" s="941"/>
      <c r="AP9" s="941"/>
      <c r="AQ9" s="941"/>
      <c r="AR9" s="941"/>
      <c r="AS9" s="941"/>
      <c r="AT9" s="941"/>
      <c r="AU9" s="941" t="str">
        <f>AM14</f>
        <v>北星</v>
      </c>
      <c r="AV9" s="941"/>
      <c r="AW9" s="941"/>
      <c r="AX9" s="941"/>
      <c r="AY9" s="941"/>
      <c r="AZ9" s="941"/>
      <c r="BA9" s="941"/>
      <c r="BB9" s="941" t="str">
        <f>AM18</f>
        <v>松陽</v>
      </c>
      <c r="BC9" s="941"/>
      <c r="BD9" s="941"/>
      <c r="BE9" s="941"/>
      <c r="BF9" s="941"/>
      <c r="BG9" s="941"/>
      <c r="BH9" s="941"/>
      <c r="BI9" s="941" t="str">
        <f>AM22</f>
        <v>布水</v>
      </c>
      <c r="BJ9" s="941"/>
      <c r="BK9" s="941"/>
      <c r="BL9" s="941"/>
      <c r="BM9" s="941"/>
      <c r="BN9" s="941"/>
      <c r="BO9" s="941"/>
      <c r="BP9" s="73" t="s">
        <v>88</v>
      </c>
      <c r="BQ9" s="74" t="s">
        <v>89</v>
      </c>
      <c r="BR9" s="73" t="s">
        <v>90</v>
      </c>
      <c r="BS9" s="73" t="s">
        <v>91</v>
      </c>
      <c r="BY9" s="31" t="s">
        <v>174</v>
      </c>
      <c r="BZ9" s="62" t="e">
        <f t="shared" si="2"/>
        <v>#REF!</v>
      </c>
      <c r="CA9" s="62" t="s">
        <v>84</v>
      </c>
      <c r="CB9" s="62" t="str">
        <f t="shared" si="0"/>
        <v xml:space="preserve">
</v>
      </c>
      <c r="CC9" s="96" t="s">
        <v>184</v>
      </c>
      <c r="CD9" s="62" t="e">
        <f t="shared" si="1"/>
        <v>#REF!</v>
      </c>
    </row>
    <row r="10" spans="1:82" ht="13.5" customHeight="1" x14ac:dyDescent="0.15">
      <c r="B10" s="62">
        <v>1</v>
      </c>
      <c r="C10" s="938" t="str">
        <f>IF(ISERROR(MATCH('南(14時刻)'!B10,予選学校名!$H$3:$H$16,0)),"",INDEX(予選学校名!$H$3:$K$16,MATCH('南(14時刻)'!B10,予選学校名!$H$3:$H$16,0),2))</f>
        <v>松任</v>
      </c>
      <c r="D10" s="636"/>
      <c r="E10" s="637"/>
      <c r="F10" s="637"/>
      <c r="G10" s="638"/>
      <c r="H10" s="638"/>
      <c r="I10" s="638"/>
      <c r="J10" s="639"/>
      <c r="K10" s="670" t="e">
        <f>VLOOKUP(D14,$BY$1:$CD$9,6)</f>
        <v>#REF!</v>
      </c>
      <c r="L10" s="671"/>
      <c r="M10" s="671"/>
      <c r="N10" s="671"/>
      <c r="O10" s="671"/>
      <c r="P10" s="671"/>
      <c r="Q10" s="672"/>
      <c r="R10" s="670" t="e">
        <f>VLOOKUP(D18,$BY$1:$CD$9,6)</f>
        <v>#REF!</v>
      </c>
      <c r="S10" s="671"/>
      <c r="T10" s="671"/>
      <c r="U10" s="671"/>
      <c r="V10" s="671"/>
      <c r="W10" s="671"/>
      <c r="X10" s="672"/>
      <c r="Y10" s="940"/>
      <c r="Z10" s="937"/>
      <c r="AA10" s="937"/>
      <c r="AB10" s="192"/>
      <c r="AC10" s="937"/>
      <c r="AD10" s="937"/>
      <c r="AE10" s="939"/>
      <c r="AF10" s="608" t="str">
        <f>IF(COUNT(D11:AE11)=0,"",COUNTIF(D10:AE10,"○")*3+COUNTIF(D10:AE10,"△"))</f>
        <v/>
      </c>
      <c r="AG10" s="608" t="str">
        <f>IF(AF10="","",SUM(H10:H25)/2-SUM(D10:D25))</f>
        <v/>
      </c>
      <c r="AH10" s="608" t="str">
        <f>IF(AF10="","",SUM(H10:H25)/2)</f>
        <v/>
      </c>
      <c r="AI10" s="608" t="str">
        <f>IF(OR(AF10="",MOD(COUNT(D10:AE10),2)=1),"",RANK(AJ10,$AJ$10:$AJ$25))</f>
        <v/>
      </c>
      <c r="AJ10" s="76" t="str">
        <f>IF(OR(AF10="",MOD(COUNT(D10:AE10),2)=1),"",AF10*10000+AG10*100+AH10)</f>
        <v/>
      </c>
      <c r="AK10" s="76"/>
      <c r="AL10" s="62">
        <v>7</v>
      </c>
      <c r="AM10" s="938" t="str">
        <f>IF(ISERROR(MATCH('南(14時刻)'!AL10,予選学校名!$H$3:$H$16,0)),"",INDEX(予選学校名!$H$3:$K$16,MATCH('南(14時刻)'!AL10,予選学校名!$H$3:$H$16,0),2))</f>
        <v>北辰</v>
      </c>
      <c r="AN10" s="662"/>
      <c r="AO10" s="637"/>
      <c r="AP10" s="637"/>
      <c r="AQ10" s="637"/>
      <c r="AR10" s="637"/>
      <c r="AS10" s="637"/>
      <c r="AT10" s="663"/>
      <c r="AU10" s="670" t="e">
        <f>VLOOKUP(AN14,$BY$1:$CD$9,6)</f>
        <v>#REF!</v>
      </c>
      <c r="AV10" s="671"/>
      <c r="AW10" s="671"/>
      <c r="AX10" s="671"/>
      <c r="AY10" s="671"/>
      <c r="AZ10" s="671"/>
      <c r="BA10" s="672"/>
      <c r="BB10" s="670" t="e">
        <f>VLOOKUP(AN18,$BY$1:$CD$9,6)</f>
        <v>#REF!</v>
      </c>
      <c r="BC10" s="671"/>
      <c r="BD10" s="671"/>
      <c r="BE10" s="671"/>
      <c r="BF10" s="671"/>
      <c r="BG10" s="671"/>
      <c r="BH10" s="672"/>
      <c r="BI10" s="670" t="e">
        <f>VLOOKUP(AN22,$BY$1:$CD$9,6)</f>
        <v>#REF!</v>
      </c>
      <c r="BJ10" s="671"/>
      <c r="BK10" s="671"/>
      <c r="BL10" s="671"/>
      <c r="BM10" s="671"/>
      <c r="BN10" s="671"/>
      <c r="BO10" s="672"/>
      <c r="BP10" s="608" t="str">
        <f>IF(COUNT(AN11:BO11)=0,"",COUNTIF(AN10:BO10,"○")*3+COUNTIF(AN10:BO10,"△"))</f>
        <v/>
      </c>
      <c r="BQ10" s="608" t="str">
        <f>IF(BP10="","",SUM(AR10:AR25)/2-SUM(AN10:AN25))</f>
        <v/>
      </c>
      <c r="BR10" s="608" t="str">
        <f>IF(BP10="","",SUM(AR10:AR25)/2)</f>
        <v/>
      </c>
      <c r="BS10" s="608" t="str">
        <f>IF(OR(BP10="",MOD(COUNT(AN10:BO10),2)=1),"",RANK(BT10,$BT$10:$BT$25))</f>
        <v/>
      </c>
      <c r="BT10" s="76" t="str">
        <f>IF(OR(BP10="",MOD(COUNT(AN10:BO10),2)=1),"",BP10*10000+BQ10*100+BR10)</f>
        <v/>
      </c>
    </row>
    <row r="11" spans="1:82" x14ac:dyDescent="0.15">
      <c r="C11" s="938"/>
      <c r="D11" s="640"/>
      <c r="E11" s="641"/>
      <c r="F11" s="641"/>
      <c r="G11" s="641"/>
      <c r="H11" s="641"/>
      <c r="I11" s="641"/>
      <c r="J11" s="642"/>
      <c r="K11" s="673"/>
      <c r="L11" s="674"/>
      <c r="M11" s="674"/>
      <c r="N11" s="674"/>
      <c r="O11" s="674"/>
      <c r="P11" s="674"/>
      <c r="Q11" s="675"/>
      <c r="R11" s="673"/>
      <c r="S11" s="674"/>
      <c r="T11" s="674"/>
      <c r="U11" s="674"/>
      <c r="V11" s="674"/>
      <c r="W11" s="674"/>
      <c r="X11" s="675"/>
      <c r="Y11" s="193"/>
      <c r="AB11" s="76" t="s">
        <v>92</v>
      </c>
      <c r="AE11" s="194"/>
      <c r="AF11" s="608"/>
      <c r="AG11" s="608"/>
      <c r="AH11" s="608"/>
      <c r="AI11" s="608"/>
      <c r="AJ11" s="76"/>
      <c r="AK11" s="76"/>
      <c r="AM11" s="938"/>
      <c r="AN11" s="664"/>
      <c r="AO11" s="665"/>
      <c r="AP11" s="665"/>
      <c r="AQ11" s="665"/>
      <c r="AR11" s="665"/>
      <c r="AS11" s="665"/>
      <c r="AT11" s="666"/>
      <c r="AU11" s="673"/>
      <c r="AV11" s="674"/>
      <c r="AW11" s="674"/>
      <c r="AX11" s="674"/>
      <c r="AY11" s="674"/>
      <c r="AZ11" s="674"/>
      <c r="BA11" s="675"/>
      <c r="BB11" s="673"/>
      <c r="BC11" s="674"/>
      <c r="BD11" s="674"/>
      <c r="BE11" s="674"/>
      <c r="BF11" s="674"/>
      <c r="BG11" s="674"/>
      <c r="BH11" s="675"/>
      <c r="BI11" s="673"/>
      <c r="BJ11" s="674"/>
      <c r="BK11" s="674"/>
      <c r="BL11" s="674"/>
      <c r="BM11" s="674"/>
      <c r="BN11" s="674"/>
      <c r="BO11" s="675"/>
      <c r="BP11" s="608"/>
      <c r="BQ11" s="608"/>
      <c r="BR11" s="608"/>
      <c r="BS11" s="608"/>
      <c r="BT11" s="76"/>
    </row>
    <row r="12" spans="1:82" x14ac:dyDescent="0.15">
      <c r="C12" s="938"/>
      <c r="D12" s="640"/>
      <c r="E12" s="641"/>
      <c r="F12" s="641"/>
      <c r="G12" s="641"/>
      <c r="H12" s="641"/>
      <c r="I12" s="641"/>
      <c r="J12" s="642"/>
      <c r="K12" s="673"/>
      <c r="L12" s="674"/>
      <c r="M12" s="674"/>
      <c r="N12" s="674"/>
      <c r="O12" s="674"/>
      <c r="P12" s="674"/>
      <c r="Q12" s="675"/>
      <c r="R12" s="673"/>
      <c r="S12" s="674"/>
      <c r="T12" s="674"/>
      <c r="U12" s="674"/>
      <c r="V12" s="674"/>
      <c r="W12" s="674"/>
      <c r="X12" s="675"/>
      <c r="Y12" s="193"/>
      <c r="AB12" s="76" t="s">
        <v>92</v>
      </c>
      <c r="AE12" s="194"/>
      <c r="AF12" s="608"/>
      <c r="AG12" s="608"/>
      <c r="AH12" s="608"/>
      <c r="AI12" s="608"/>
      <c r="AJ12" s="76"/>
      <c r="AK12" s="76"/>
      <c r="AM12" s="938"/>
      <c r="AN12" s="664"/>
      <c r="AO12" s="665"/>
      <c r="AP12" s="665"/>
      <c r="AQ12" s="665"/>
      <c r="AR12" s="665"/>
      <c r="AS12" s="665"/>
      <c r="AT12" s="666"/>
      <c r="AU12" s="673"/>
      <c r="AV12" s="674"/>
      <c r="AW12" s="674"/>
      <c r="AX12" s="674"/>
      <c r="AY12" s="674"/>
      <c r="AZ12" s="674"/>
      <c r="BA12" s="675"/>
      <c r="BB12" s="673"/>
      <c r="BC12" s="674"/>
      <c r="BD12" s="674"/>
      <c r="BE12" s="674"/>
      <c r="BF12" s="674"/>
      <c r="BG12" s="674"/>
      <c r="BH12" s="675"/>
      <c r="BI12" s="673"/>
      <c r="BJ12" s="674"/>
      <c r="BK12" s="674"/>
      <c r="BL12" s="674"/>
      <c r="BM12" s="674"/>
      <c r="BN12" s="674"/>
      <c r="BO12" s="675"/>
      <c r="BP12" s="608"/>
      <c r="BQ12" s="608"/>
      <c r="BR12" s="608"/>
      <c r="BS12" s="608"/>
      <c r="BT12" s="76"/>
    </row>
    <row r="13" spans="1:82" ht="3.75" customHeight="1" x14ac:dyDescent="0.15">
      <c r="C13" s="938"/>
      <c r="D13" s="643"/>
      <c r="E13" s="644"/>
      <c r="F13" s="644"/>
      <c r="G13" s="644"/>
      <c r="H13" s="644"/>
      <c r="I13" s="644"/>
      <c r="J13" s="645"/>
      <c r="K13" s="676"/>
      <c r="L13" s="677"/>
      <c r="M13" s="677"/>
      <c r="N13" s="677"/>
      <c r="O13" s="677"/>
      <c r="P13" s="677"/>
      <c r="Q13" s="678"/>
      <c r="R13" s="676"/>
      <c r="S13" s="677"/>
      <c r="T13" s="677"/>
      <c r="U13" s="677"/>
      <c r="V13" s="677"/>
      <c r="W13" s="677"/>
      <c r="X13" s="678"/>
      <c r="Y13" s="195"/>
      <c r="Z13" s="196"/>
      <c r="AA13" s="196"/>
      <c r="AB13" s="197"/>
      <c r="AC13" s="196"/>
      <c r="AD13" s="196"/>
      <c r="AE13" s="198"/>
      <c r="AF13" s="608"/>
      <c r="AG13" s="608"/>
      <c r="AH13" s="608"/>
      <c r="AI13" s="608"/>
      <c r="AJ13" s="76"/>
      <c r="AK13" s="76"/>
      <c r="AM13" s="938"/>
      <c r="AN13" s="667"/>
      <c r="AO13" s="668"/>
      <c r="AP13" s="668"/>
      <c r="AQ13" s="668"/>
      <c r="AR13" s="668"/>
      <c r="AS13" s="668"/>
      <c r="AT13" s="669"/>
      <c r="AU13" s="676"/>
      <c r="AV13" s="677"/>
      <c r="AW13" s="677"/>
      <c r="AX13" s="677"/>
      <c r="AY13" s="677"/>
      <c r="AZ13" s="677"/>
      <c r="BA13" s="678"/>
      <c r="BB13" s="676"/>
      <c r="BC13" s="677"/>
      <c r="BD13" s="677"/>
      <c r="BE13" s="677"/>
      <c r="BF13" s="677"/>
      <c r="BG13" s="677"/>
      <c r="BH13" s="678"/>
      <c r="BI13" s="676"/>
      <c r="BJ13" s="677"/>
      <c r="BK13" s="677"/>
      <c r="BL13" s="677"/>
      <c r="BM13" s="677"/>
      <c r="BN13" s="677"/>
      <c r="BO13" s="678"/>
      <c r="BP13" s="608"/>
      <c r="BQ13" s="608"/>
      <c r="BR13" s="608"/>
      <c r="BS13" s="608"/>
      <c r="BT13" s="76"/>
    </row>
    <row r="14" spans="1:82" ht="13.5" customHeight="1" x14ac:dyDescent="0.15">
      <c r="B14" s="62">
        <v>2</v>
      </c>
      <c r="C14" s="938" t="str">
        <f>IF(ISERROR(MATCH('南(14時刻)'!B14,予選学校名!$H$3:$H$16,0)),"",INDEX(予選学校名!$H$3:$K$16,MATCH('南(14時刻)'!B14,予選学校名!$H$3:$H$16,0),2))</f>
        <v>美川</v>
      </c>
      <c r="D14" s="977" t="s">
        <v>174</v>
      </c>
      <c r="E14" s="654"/>
      <c r="F14" s="654"/>
      <c r="G14" s="654"/>
      <c r="H14" s="654"/>
      <c r="I14" s="654"/>
      <c r="J14" s="655"/>
      <c r="K14" s="636"/>
      <c r="L14" s="637"/>
      <c r="M14" s="637"/>
      <c r="N14" s="638"/>
      <c r="O14" s="638"/>
      <c r="P14" s="638"/>
      <c r="Q14" s="639"/>
      <c r="R14" s="670" t="e">
        <f>VLOOKUP(K18,$BY$1:$CD$9,6)</f>
        <v>#REF!</v>
      </c>
      <c r="S14" s="671"/>
      <c r="T14" s="671"/>
      <c r="U14" s="671"/>
      <c r="V14" s="671"/>
      <c r="W14" s="671"/>
      <c r="X14" s="672"/>
      <c r="Y14" s="940"/>
      <c r="Z14" s="937"/>
      <c r="AA14" s="937"/>
      <c r="AB14" s="192"/>
      <c r="AC14" s="937"/>
      <c r="AD14" s="937"/>
      <c r="AE14" s="939"/>
      <c r="AF14" s="608" t="str">
        <f>IF(COUNT(D15:AE15)=0,"",COUNTIF(D14:AE14,"○")*3+COUNTIF(D14:AE14,"△"))</f>
        <v/>
      </c>
      <c r="AG14" s="608" t="str">
        <f>IF(AF14="","",SUM(O10:O25)/2-SUM(K10:K25))</f>
        <v/>
      </c>
      <c r="AH14" s="608" t="str">
        <f>IF(AF14="","",SUM(H14:H29)/2)</f>
        <v/>
      </c>
      <c r="AI14" s="608" t="str">
        <f>IF(OR(AF14="",MOD(COUNT(D14:AE14),2)=1),"",RANK(AJ14,$AJ$10:$AJ$25))</f>
        <v/>
      </c>
      <c r="AJ14" s="76" t="str">
        <f>IF(OR(AF14="",MOD(COUNT(D14:AE14),2)=1),"",AF14*10000+AG14*100+AH14)</f>
        <v/>
      </c>
      <c r="AK14" s="76"/>
      <c r="AL14" s="62">
        <v>8</v>
      </c>
      <c r="AM14" s="938" t="str">
        <f>IF(ISERROR(MATCH('南(14時刻)'!AL14,予選学校名!$H$3:$H$16,0)),"",INDEX(予選学校名!$H$3:$K$16,MATCH('南(14時刻)'!AL14,予選学校名!$H$3:$H$16,0),2))</f>
        <v>北星</v>
      </c>
      <c r="AN14" s="653" t="s">
        <v>168</v>
      </c>
      <c r="AO14" s="654"/>
      <c r="AP14" s="654"/>
      <c r="AQ14" s="654"/>
      <c r="AR14" s="654"/>
      <c r="AS14" s="654"/>
      <c r="AT14" s="655"/>
      <c r="AU14" s="662"/>
      <c r="AV14" s="637"/>
      <c r="AW14" s="637"/>
      <c r="AX14" s="637"/>
      <c r="AY14" s="637"/>
      <c r="AZ14" s="637"/>
      <c r="BA14" s="663"/>
      <c r="BB14" s="670" t="e">
        <f>VLOOKUP(AU18,$BY$1:$CD$9,6)</f>
        <v>#REF!</v>
      </c>
      <c r="BC14" s="671"/>
      <c r="BD14" s="671"/>
      <c r="BE14" s="671"/>
      <c r="BF14" s="671"/>
      <c r="BG14" s="671"/>
      <c r="BH14" s="672"/>
      <c r="BI14" s="670" t="e">
        <f>VLOOKUP(AU22,$BY$1:$CD$9,6)</f>
        <v>#REF!</v>
      </c>
      <c r="BJ14" s="671"/>
      <c r="BK14" s="671"/>
      <c r="BL14" s="671"/>
      <c r="BM14" s="671"/>
      <c r="BN14" s="671"/>
      <c r="BO14" s="672"/>
      <c r="BP14" s="608" t="str">
        <f>IF(COUNT(AN15:BO15)=0,"",COUNTIF(AN14:BO14,"○")*3+COUNTIF(AN14:BO14,"△"))</f>
        <v/>
      </c>
      <c r="BQ14" s="608" t="str">
        <f>IF(BP14="","",SUM(AY10:AY25)/2-SUM(AU10:AU25))</f>
        <v/>
      </c>
      <c r="BR14" s="608" t="str">
        <f>IF(BP14="","",SUM(AY10:AY25)/2)</f>
        <v/>
      </c>
      <c r="BS14" s="608" t="str">
        <f>IF(OR(BP14="",MOD(COUNT(AN14:BO14),2)=1),"",RANK(BT14,$BT$10:$BT$25))</f>
        <v/>
      </c>
      <c r="BT14" s="76" t="str">
        <f>IF(OR(BP14="",MOD(COUNT(AN14:BO14),2)=1),"",BP14*10000+BQ14*100+BR14)</f>
        <v/>
      </c>
    </row>
    <row r="15" spans="1:82" x14ac:dyDescent="0.15">
      <c r="C15" s="938"/>
      <c r="D15" s="656"/>
      <c r="E15" s="657"/>
      <c r="F15" s="657"/>
      <c r="G15" s="657"/>
      <c r="H15" s="657"/>
      <c r="I15" s="657"/>
      <c r="J15" s="658"/>
      <c r="K15" s="640"/>
      <c r="L15" s="641"/>
      <c r="M15" s="641"/>
      <c r="N15" s="641"/>
      <c r="O15" s="641"/>
      <c r="P15" s="641"/>
      <c r="Q15" s="642"/>
      <c r="R15" s="673"/>
      <c r="S15" s="674"/>
      <c r="T15" s="674"/>
      <c r="U15" s="674"/>
      <c r="V15" s="674"/>
      <c r="W15" s="674"/>
      <c r="X15" s="675"/>
      <c r="Y15" s="193"/>
      <c r="AB15" s="76" t="s">
        <v>92</v>
      </c>
      <c r="AE15" s="194"/>
      <c r="AF15" s="608"/>
      <c r="AG15" s="608"/>
      <c r="AH15" s="608"/>
      <c r="AI15" s="608"/>
      <c r="AJ15" s="76"/>
      <c r="AK15" s="76"/>
      <c r="AM15" s="938"/>
      <c r="AN15" s="656"/>
      <c r="AO15" s="657"/>
      <c r="AP15" s="657"/>
      <c r="AQ15" s="657"/>
      <c r="AR15" s="657"/>
      <c r="AS15" s="657"/>
      <c r="AT15" s="658"/>
      <c r="AU15" s="664"/>
      <c r="AV15" s="665"/>
      <c r="AW15" s="665"/>
      <c r="AX15" s="665"/>
      <c r="AY15" s="665"/>
      <c r="AZ15" s="665"/>
      <c r="BA15" s="666"/>
      <c r="BB15" s="673"/>
      <c r="BC15" s="674"/>
      <c r="BD15" s="674"/>
      <c r="BE15" s="674"/>
      <c r="BF15" s="674"/>
      <c r="BG15" s="674"/>
      <c r="BH15" s="675"/>
      <c r="BI15" s="673"/>
      <c r="BJ15" s="674"/>
      <c r="BK15" s="674"/>
      <c r="BL15" s="674"/>
      <c r="BM15" s="674"/>
      <c r="BN15" s="674"/>
      <c r="BO15" s="675"/>
      <c r="BP15" s="608"/>
      <c r="BQ15" s="608"/>
      <c r="BR15" s="608"/>
      <c r="BS15" s="608"/>
      <c r="BT15" s="76"/>
    </row>
    <row r="16" spans="1:82" x14ac:dyDescent="0.15">
      <c r="C16" s="938"/>
      <c r="D16" s="656"/>
      <c r="E16" s="657"/>
      <c r="F16" s="657"/>
      <c r="G16" s="657"/>
      <c r="H16" s="657"/>
      <c r="I16" s="657"/>
      <c r="J16" s="658"/>
      <c r="K16" s="640"/>
      <c r="L16" s="641"/>
      <c r="M16" s="641"/>
      <c r="N16" s="641"/>
      <c r="O16" s="641"/>
      <c r="P16" s="641"/>
      <c r="Q16" s="642"/>
      <c r="R16" s="673"/>
      <c r="S16" s="674"/>
      <c r="T16" s="674"/>
      <c r="U16" s="674"/>
      <c r="V16" s="674"/>
      <c r="W16" s="674"/>
      <c r="X16" s="675"/>
      <c r="Y16" s="193"/>
      <c r="AB16" s="76" t="s">
        <v>92</v>
      </c>
      <c r="AE16" s="194"/>
      <c r="AF16" s="608"/>
      <c r="AG16" s="608"/>
      <c r="AH16" s="608"/>
      <c r="AI16" s="608"/>
      <c r="AJ16" s="76"/>
      <c r="AK16" s="76"/>
      <c r="AM16" s="938"/>
      <c r="AN16" s="656"/>
      <c r="AO16" s="657"/>
      <c r="AP16" s="657"/>
      <c r="AQ16" s="657"/>
      <c r="AR16" s="657"/>
      <c r="AS16" s="657"/>
      <c r="AT16" s="658"/>
      <c r="AU16" s="664"/>
      <c r="AV16" s="665"/>
      <c r="AW16" s="665"/>
      <c r="AX16" s="665"/>
      <c r="AY16" s="665"/>
      <c r="AZ16" s="665"/>
      <c r="BA16" s="666"/>
      <c r="BB16" s="673"/>
      <c r="BC16" s="674"/>
      <c r="BD16" s="674"/>
      <c r="BE16" s="674"/>
      <c r="BF16" s="674"/>
      <c r="BG16" s="674"/>
      <c r="BH16" s="675"/>
      <c r="BI16" s="673"/>
      <c r="BJ16" s="674"/>
      <c r="BK16" s="674"/>
      <c r="BL16" s="674"/>
      <c r="BM16" s="674"/>
      <c r="BN16" s="674"/>
      <c r="BO16" s="675"/>
      <c r="BP16" s="608"/>
      <c r="BQ16" s="608"/>
      <c r="BR16" s="608"/>
      <c r="BS16" s="608"/>
      <c r="BT16" s="76"/>
    </row>
    <row r="17" spans="1:72" ht="3.75" customHeight="1" x14ac:dyDescent="0.15">
      <c r="C17" s="938"/>
      <c r="D17" s="659"/>
      <c r="E17" s="660"/>
      <c r="F17" s="660"/>
      <c r="G17" s="660"/>
      <c r="H17" s="660"/>
      <c r="I17" s="660"/>
      <c r="J17" s="661"/>
      <c r="K17" s="643"/>
      <c r="L17" s="644"/>
      <c r="M17" s="644"/>
      <c r="N17" s="644"/>
      <c r="O17" s="644"/>
      <c r="P17" s="644"/>
      <c r="Q17" s="645"/>
      <c r="R17" s="676"/>
      <c r="S17" s="677"/>
      <c r="T17" s="677"/>
      <c r="U17" s="677"/>
      <c r="V17" s="677"/>
      <c r="W17" s="677"/>
      <c r="X17" s="678"/>
      <c r="Y17" s="195"/>
      <c r="Z17" s="196"/>
      <c r="AA17" s="196"/>
      <c r="AB17" s="197"/>
      <c r="AC17" s="196"/>
      <c r="AD17" s="196"/>
      <c r="AE17" s="198"/>
      <c r="AF17" s="608"/>
      <c r="AG17" s="608"/>
      <c r="AH17" s="608"/>
      <c r="AI17" s="608"/>
      <c r="AJ17" s="76"/>
      <c r="AK17" s="76"/>
      <c r="AM17" s="938"/>
      <c r="AN17" s="659"/>
      <c r="AO17" s="660"/>
      <c r="AP17" s="660"/>
      <c r="AQ17" s="660"/>
      <c r="AR17" s="660"/>
      <c r="AS17" s="660"/>
      <c r="AT17" s="661"/>
      <c r="AU17" s="667"/>
      <c r="AV17" s="668"/>
      <c r="AW17" s="668"/>
      <c r="AX17" s="668"/>
      <c r="AY17" s="668"/>
      <c r="AZ17" s="668"/>
      <c r="BA17" s="669"/>
      <c r="BB17" s="676"/>
      <c r="BC17" s="677"/>
      <c r="BD17" s="677"/>
      <c r="BE17" s="677"/>
      <c r="BF17" s="677"/>
      <c r="BG17" s="677"/>
      <c r="BH17" s="678"/>
      <c r="BI17" s="676"/>
      <c r="BJ17" s="677"/>
      <c r="BK17" s="677"/>
      <c r="BL17" s="677"/>
      <c r="BM17" s="677"/>
      <c r="BN17" s="677"/>
      <c r="BO17" s="678"/>
      <c r="BP17" s="608"/>
      <c r="BQ17" s="608"/>
      <c r="BR17" s="608"/>
      <c r="BS17" s="608"/>
      <c r="BT17" s="76"/>
    </row>
    <row r="18" spans="1:72" ht="13.5" customHeight="1" x14ac:dyDescent="0.15">
      <c r="B18" s="62">
        <v>3</v>
      </c>
      <c r="C18" s="938" t="str">
        <f>IF(ISERROR(MATCH('南(14時刻)'!B18,予選学校名!$H$3:$H$16,0)),"",INDEX(予選学校名!$H$3:$K$16,MATCH('南(14時刻)'!B18,予選学校名!$H$3:$H$16,0),2))</f>
        <v>根上</v>
      </c>
      <c r="D18" s="977" t="s">
        <v>171</v>
      </c>
      <c r="E18" s="654"/>
      <c r="F18" s="654"/>
      <c r="G18" s="654"/>
      <c r="H18" s="654"/>
      <c r="I18" s="654"/>
      <c r="J18" s="655"/>
      <c r="K18" s="977" t="s">
        <v>173</v>
      </c>
      <c r="L18" s="654"/>
      <c r="M18" s="654"/>
      <c r="N18" s="654"/>
      <c r="O18" s="654"/>
      <c r="P18" s="654"/>
      <c r="Q18" s="655"/>
      <c r="R18" s="636"/>
      <c r="S18" s="637"/>
      <c r="T18" s="637"/>
      <c r="U18" s="638"/>
      <c r="V18" s="638"/>
      <c r="W18" s="638"/>
      <c r="X18" s="639"/>
      <c r="Y18" s="940"/>
      <c r="Z18" s="937"/>
      <c r="AA18" s="937"/>
      <c r="AB18" s="192"/>
      <c r="AC18" s="937"/>
      <c r="AD18" s="937"/>
      <c r="AE18" s="939"/>
      <c r="AF18" s="608" t="str">
        <f>IF(COUNT(D19:AE19)=0,"",COUNTIF(D18:AE18,"○")*3+COUNTIF(D18:AE18,"△"))</f>
        <v/>
      </c>
      <c r="AG18" s="608" t="str">
        <f>IF(AF18="","",SUM(V10:V25)/2-SUM(R10:R25))</f>
        <v/>
      </c>
      <c r="AH18" s="608" t="str">
        <f>IF(AF18="","",SUM(H10:H25)/2)</f>
        <v/>
      </c>
      <c r="AI18" s="608" t="str">
        <f>IF(OR(AF18="",MOD(COUNT(D18:AE18),2)=1),"",RANK(AJ18,$AJ$10:$AJ$25))</f>
        <v/>
      </c>
      <c r="AJ18" s="76" t="str">
        <f>IF(OR(AF18="",MOD(COUNT(D18:AE18),2)=1),"",AF18*10000+AG18*100+AH18)</f>
        <v/>
      </c>
      <c r="AK18" s="76"/>
      <c r="AL18" s="62">
        <v>9</v>
      </c>
      <c r="AM18" s="938" t="str">
        <f>IF(ISERROR(MATCH('南(14時刻)'!AL18,予選学校名!$H$3:$H$16,0)),"",INDEX(予選学校名!$H$3:$K$16,MATCH('南(14時刻)'!AL18,予選学校名!$H$3:$H$16,0),2))</f>
        <v>松陽</v>
      </c>
      <c r="AN18" s="653" t="s">
        <v>169</v>
      </c>
      <c r="AO18" s="654"/>
      <c r="AP18" s="654"/>
      <c r="AQ18" s="654"/>
      <c r="AR18" s="654"/>
      <c r="AS18" s="654"/>
      <c r="AT18" s="655"/>
      <c r="AU18" s="653" t="s">
        <v>167</v>
      </c>
      <c r="AV18" s="654"/>
      <c r="AW18" s="654"/>
      <c r="AX18" s="654"/>
      <c r="AY18" s="654"/>
      <c r="AZ18" s="654"/>
      <c r="BA18" s="655"/>
      <c r="BB18" s="662"/>
      <c r="BC18" s="637"/>
      <c r="BD18" s="637"/>
      <c r="BE18" s="637"/>
      <c r="BF18" s="637"/>
      <c r="BG18" s="637"/>
      <c r="BH18" s="663"/>
      <c r="BI18" s="670" t="e">
        <f>VLOOKUP(BB22,$BY$1:$CD$9,6)</f>
        <v>#REF!</v>
      </c>
      <c r="BJ18" s="671"/>
      <c r="BK18" s="671"/>
      <c r="BL18" s="671"/>
      <c r="BM18" s="671"/>
      <c r="BN18" s="671"/>
      <c r="BO18" s="672"/>
      <c r="BP18" s="608" t="str">
        <f>IF(COUNT(AN19:BO19)=0,"",COUNTIF(AN18:BO18,"○")*3+COUNTIF(AN18:BO18,"△"))</f>
        <v/>
      </c>
      <c r="BQ18" s="608" t="str">
        <f>IF(BP18="","",SUM(BF10:BF25)/2-SUM(BB10:BB25))</f>
        <v/>
      </c>
      <c r="BR18" s="608" t="str">
        <f>IF(BP18="","",SUM(BF10:BF25)/2)</f>
        <v/>
      </c>
      <c r="BS18" s="608" t="str">
        <f>IF(OR(BP18="",MOD(COUNT(AN18:BO18),2)=1),"",RANK(BT18,$BT$10:$BT$25))</f>
        <v/>
      </c>
      <c r="BT18" s="76" t="str">
        <f>IF(OR(BP18="",MOD(COUNT(AN18:BO18),2)=1),"",BP18*10000+BQ18*100+BR18)</f>
        <v/>
      </c>
    </row>
    <row r="19" spans="1:72" x14ac:dyDescent="0.15">
      <c r="C19" s="938"/>
      <c r="D19" s="656"/>
      <c r="E19" s="657"/>
      <c r="F19" s="657"/>
      <c r="G19" s="657"/>
      <c r="H19" s="657"/>
      <c r="I19" s="657"/>
      <c r="J19" s="658"/>
      <c r="K19" s="656"/>
      <c r="L19" s="657"/>
      <c r="M19" s="657"/>
      <c r="N19" s="657"/>
      <c r="O19" s="657"/>
      <c r="P19" s="657"/>
      <c r="Q19" s="658"/>
      <c r="R19" s="640"/>
      <c r="S19" s="641"/>
      <c r="T19" s="641"/>
      <c r="U19" s="641"/>
      <c r="V19" s="641"/>
      <c r="W19" s="641"/>
      <c r="X19" s="642"/>
      <c r="Y19" s="193"/>
      <c r="AE19" s="194"/>
      <c r="AF19" s="608"/>
      <c r="AG19" s="608"/>
      <c r="AH19" s="608"/>
      <c r="AI19" s="608"/>
      <c r="AJ19" s="76"/>
      <c r="AK19" s="76"/>
      <c r="AM19" s="938"/>
      <c r="AN19" s="656"/>
      <c r="AO19" s="657"/>
      <c r="AP19" s="657"/>
      <c r="AQ19" s="657"/>
      <c r="AR19" s="657"/>
      <c r="AS19" s="657"/>
      <c r="AT19" s="658"/>
      <c r="AU19" s="656"/>
      <c r="AV19" s="657"/>
      <c r="AW19" s="657"/>
      <c r="AX19" s="657"/>
      <c r="AY19" s="657"/>
      <c r="AZ19" s="657"/>
      <c r="BA19" s="658"/>
      <c r="BB19" s="664"/>
      <c r="BC19" s="665"/>
      <c r="BD19" s="665"/>
      <c r="BE19" s="665"/>
      <c r="BF19" s="665"/>
      <c r="BG19" s="665"/>
      <c r="BH19" s="666"/>
      <c r="BI19" s="673"/>
      <c r="BJ19" s="674"/>
      <c r="BK19" s="674"/>
      <c r="BL19" s="674"/>
      <c r="BM19" s="674"/>
      <c r="BN19" s="674"/>
      <c r="BO19" s="675"/>
      <c r="BP19" s="608"/>
      <c r="BQ19" s="608"/>
      <c r="BR19" s="608"/>
      <c r="BS19" s="608"/>
      <c r="BT19" s="76"/>
    </row>
    <row r="20" spans="1:72" x14ac:dyDescent="0.15">
      <c r="C20" s="938"/>
      <c r="D20" s="656"/>
      <c r="E20" s="657"/>
      <c r="F20" s="657"/>
      <c r="G20" s="657"/>
      <c r="H20" s="657"/>
      <c r="I20" s="657"/>
      <c r="J20" s="658"/>
      <c r="K20" s="656"/>
      <c r="L20" s="657"/>
      <c r="M20" s="657"/>
      <c r="N20" s="657"/>
      <c r="O20" s="657"/>
      <c r="P20" s="657"/>
      <c r="Q20" s="658"/>
      <c r="R20" s="640"/>
      <c r="S20" s="641"/>
      <c r="T20" s="641"/>
      <c r="U20" s="641"/>
      <c r="V20" s="641"/>
      <c r="W20" s="641"/>
      <c r="X20" s="642"/>
      <c r="Y20" s="193"/>
      <c r="AE20" s="194"/>
      <c r="AF20" s="608"/>
      <c r="AG20" s="608"/>
      <c r="AH20" s="608"/>
      <c r="AI20" s="608"/>
      <c r="AJ20" s="76"/>
      <c r="AK20" s="76"/>
      <c r="AM20" s="938"/>
      <c r="AN20" s="656"/>
      <c r="AO20" s="657"/>
      <c r="AP20" s="657"/>
      <c r="AQ20" s="657"/>
      <c r="AR20" s="657"/>
      <c r="AS20" s="657"/>
      <c r="AT20" s="658"/>
      <c r="AU20" s="656"/>
      <c r="AV20" s="657"/>
      <c r="AW20" s="657"/>
      <c r="AX20" s="657"/>
      <c r="AY20" s="657"/>
      <c r="AZ20" s="657"/>
      <c r="BA20" s="658"/>
      <c r="BB20" s="664"/>
      <c r="BC20" s="665"/>
      <c r="BD20" s="665"/>
      <c r="BE20" s="665"/>
      <c r="BF20" s="665"/>
      <c r="BG20" s="665"/>
      <c r="BH20" s="666"/>
      <c r="BI20" s="673"/>
      <c r="BJ20" s="674"/>
      <c r="BK20" s="674"/>
      <c r="BL20" s="674"/>
      <c r="BM20" s="674"/>
      <c r="BN20" s="674"/>
      <c r="BO20" s="675"/>
      <c r="BP20" s="608"/>
      <c r="BQ20" s="608"/>
      <c r="BR20" s="608"/>
      <c r="BS20" s="608"/>
      <c r="BT20" s="76"/>
    </row>
    <row r="21" spans="1:72" ht="3.75" customHeight="1" x14ac:dyDescent="0.15">
      <c r="C21" s="998"/>
      <c r="D21" s="659"/>
      <c r="E21" s="660"/>
      <c r="F21" s="660"/>
      <c r="G21" s="660"/>
      <c r="H21" s="660"/>
      <c r="I21" s="660"/>
      <c r="J21" s="661"/>
      <c r="K21" s="659"/>
      <c r="L21" s="660"/>
      <c r="M21" s="660"/>
      <c r="N21" s="660"/>
      <c r="O21" s="660"/>
      <c r="P21" s="660"/>
      <c r="Q21" s="661"/>
      <c r="R21" s="643"/>
      <c r="S21" s="644"/>
      <c r="T21" s="644"/>
      <c r="U21" s="644"/>
      <c r="V21" s="644"/>
      <c r="W21" s="644"/>
      <c r="X21" s="645"/>
      <c r="Y21" s="195"/>
      <c r="Z21" s="196"/>
      <c r="AA21" s="196"/>
      <c r="AB21" s="197"/>
      <c r="AC21" s="196"/>
      <c r="AD21" s="196"/>
      <c r="AE21" s="198"/>
      <c r="AF21" s="608"/>
      <c r="AG21" s="608"/>
      <c r="AH21" s="608"/>
      <c r="AI21" s="608"/>
      <c r="AJ21" s="76"/>
      <c r="AK21" s="76"/>
      <c r="AM21" s="938"/>
      <c r="AN21" s="659"/>
      <c r="AO21" s="660"/>
      <c r="AP21" s="660"/>
      <c r="AQ21" s="660"/>
      <c r="AR21" s="660"/>
      <c r="AS21" s="660"/>
      <c r="AT21" s="661"/>
      <c r="AU21" s="659"/>
      <c r="AV21" s="660"/>
      <c r="AW21" s="660"/>
      <c r="AX21" s="660"/>
      <c r="AY21" s="660"/>
      <c r="AZ21" s="660"/>
      <c r="BA21" s="661"/>
      <c r="BB21" s="667"/>
      <c r="BC21" s="668"/>
      <c r="BD21" s="668"/>
      <c r="BE21" s="668"/>
      <c r="BF21" s="668"/>
      <c r="BG21" s="668"/>
      <c r="BH21" s="669"/>
      <c r="BI21" s="676"/>
      <c r="BJ21" s="677"/>
      <c r="BK21" s="677"/>
      <c r="BL21" s="677"/>
      <c r="BM21" s="677"/>
      <c r="BN21" s="677"/>
      <c r="BO21" s="678"/>
      <c r="BP21" s="608"/>
      <c r="BQ21" s="608"/>
      <c r="BR21" s="608"/>
      <c r="BS21" s="608"/>
      <c r="BT21" s="76"/>
    </row>
    <row r="22" spans="1:72" x14ac:dyDescent="0.15">
      <c r="C22" s="937"/>
      <c r="D22" s="611"/>
      <c r="E22" s="611"/>
      <c r="F22" s="611"/>
      <c r="G22" s="75"/>
      <c r="H22" s="611"/>
      <c r="I22" s="611"/>
      <c r="J22" s="611"/>
      <c r="K22" s="611"/>
      <c r="L22" s="611"/>
      <c r="M22" s="611"/>
      <c r="N22" s="75"/>
      <c r="O22" s="611"/>
      <c r="P22" s="611"/>
      <c r="Q22" s="611"/>
      <c r="R22" s="611"/>
      <c r="S22" s="611"/>
      <c r="T22" s="611"/>
      <c r="U22" s="75"/>
      <c r="V22" s="611"/>
      <c r="W22" s="611"/>
      <c r="X22" s="611"/>
      <c r="Y22" s="937"/>
      <c r="Z22" s="937"/>
      <c r="AA22" s="937"/>
      <c r="AB22" s="192"/>
      <c r="AC22" s="937"/>
      <c r="AD22" s="937"/>
      <c r="AE22" s="937"/>
      <c r="AF22" s="937"/>
      <c r="AG22" s="937"/>
      <c r="AH22" s="937"/>
      <c r="AI22" s="937"/>
      <c r="AJ22" s="76"/>
      <c r="AK22" s="76"/>
      <c r="AL22" s="62">
        <v>10</v>
      </c>
      <c r="AM22" s="938" t="str">
        <f>IF(ISERROR(MATCH('南(14時刻)'!AL22,予選学校名!$H$3:$H$16,0)),"",INDEX(予選学校名!$H$3:$K$16,MATCH('南(14時刻)'!AL22,予選学校名!$H$3:$H$16,0),2))</f>
        <v>布水</v>
      </c>
      <c r="AN22" s="653" t="s">
        <v>170</v>
      </c>
      <c r="AO22" s="654"/>
      <c r="AP22" s="654"/>
      <c r="AQ22" s="654"/>
      <c r="AR22" s="654"/>
      <c r="AS22" s="654"/>
      <c r="AT22" s="655"/>
      <c r="AU22" s="653" t="s">
        <v>172</v>
      </c>
      <c r="AV22" s="654"/>
      <c r="AW22" s="654"/>
      <c r="AX22" s="654"/>
      <c r="AY22" s="654"/>
      <c r="AZ22" s="654"/>
      <c r="BA22" s="655"/>
      <c r="BB22" s="653" t="s">
        <v>166</v>
      </c>
      <c r="BC22" s="654"/>
      <c r="BD22" s="654"/>
      <c r="BE22" s="654"/>
      <c r="BF22" s="654"/>
      <c r="BG22" s="654"/>
      <c r="BH22" s="655"/>
      <c r="BI22" s="662"/>
      <c r="BJ22" s="637"/>
      <c r="BK22" s="637"/>
      <c r="BL22" s="637"/>
      <c r="BM22" s="637"/>
      <c r="BN22" s="637"/>
      <c r="BO22" s="663"/>
      <c r="BP22" s="608" t="str">
        <f>IF(COUNT(AN23:BO23)=0,"",COUNTIF(AN22:BO22,"○")*3+COUNTIF(AN22:BO22,"△"))</f>
        <v/>
      </c>
      <c r="BQ22" s="608" t="str">
        <f>IF(BP22="","",SUM(BM10:BM25)/2-SUM(BI10:BI25))</f>
        <v/>
      </c>
      <c r="BR22" s="608" t="str">
        <f>IF(BP22="","",SUM(BM10:BM25)/2)</f>
        <v/>
      </c>
      <c r="BS22" s="608" t="str">
        <f>IF(OR(BP22="",MOD(COUNT(AN22:BO22),2)=1),"",RANK(BT22,$BT$10:$BT$25))</f>
        <v/>
      </c>
      <c r="BT22" s="76" t="str">
        <f>IF(OR(BP22="",MOD(COUNT(AN22:BO22),2)=1),"",BP22*10000+BQ22*100+BR22)</f>
        <v/>
      </c>
    </row>
    <row r="23" spans="1:72" x14ac:dyDescent="0.15">
      <c r="C23" s="615"/>
      <c r="AF23" s="615"/>
      <c r="AG23" s="615"/>
      <c r="AH23" s="615"/>
      <c r="AI23" s="615"/>
      <c r="AJ23" s="76"/>
      <c r="AK23" s="76"/>
      <c r="AM23" s="938"/>
      <c r="AN23" s="656"/>
      <c r="AO23" s="657"/>
      <c r="AP23" s="657"/>
      <c r="AQ23" s="657"/>
      <c r="AR23" s="657"/>
      <c r="AS23" s="657"/>
      <c r="AT23" s="658"/>
      <c r="AU23" s="656"/>
      <c r="AV23" s="657"/>
      <c r="AW23" s="657"/>
      <c r="AX23" s="657"/>
      <c r="AY23" s="657"/>
      <c r="AZ23" s="657"/>
      <c r="BA23" s="658"/>
      <c r="BB23" s="656"/>
      <c r="BC23" s="657"/>
      <c r="BD23" s="657"/>
      <c r="BE23" s="657"/>
      <c r="BF23" s="657"/>
      <c r="BG23" s="657"/>
      <c r="BH23" s="658"/>
      <c r="BI23" s="664"/>
      <c r="BJ23" s="665"/>
      <c r="BK23" s="665"/>
      <c r="BL23" s="665"/>
      <c r="BM23" s="665"/>
      <c r="BN23" s="665"/>
      <c r="BO23" s="666"/>
      <c r="BP23" s="608"/>
      <c r="BQ23" s="608"/>
      <c r="BR23" s="608"/>
      <c r="BS23" s="608"/>
      <c r="BT23" s="76"/>
    </row>
    <row r="24" spans="1:72" x14ac:dyDescent="0.15">
      <c r="C24" s="615"/>
      <c r="AF24" s="615"/>
      <c r="AG24" s="615"/>
      <c r="AH24" s="615"/>
      <c r="AI24" s="615"/>
      <c r="AJ24" s="76"/>
      <c r="AK24" s="76"/>
      <c r="AM24" s="938"/>
      <c r="AN24" s="656"/>
      <c r="AO24" s="657"/>
      <c r="AP24" s="657"/>
      <c r="AQ24" s="657"/>
      <c r="AR24" s="657"/>
      <c r="AS24" s="657"/>
      <c r="AT24" s="658"/>
      <c r="AU24" s="656"/>
      <c r="AV24" s="657"/>
      <c r="AW24" s="657"/>
      <c r="AX24" s="657"/>
      <c r="AY24" s="657"/>
      <c r="AZ24" s="657"/>
      <c r="BA24" s="658"/>
      <c r="BB24" s="656"/>
      <c r="BC24" s="657"/>
      <c r="BD24" s="657"/>
      <c r="BE24" s="657"/>
      <c r="BF24" s="657"/>
      <c r="BG24" s="657"/>
      <c r="BH24" s="658"/>
      <c r="BI24" s="664"/>
      <c r="BJ24" s="665"/>
      <c r="BK24" s="665"/>
      <c r="BL24" s="665"/>
      <c r="BM24" s="665"/>
      <c r="BN24" s="665"/>
      <c r="BO24" s="666"/>
      <c r="BP24" s="608"/>
      <c r="BQ24" s="608"/>
      <c r="BR24" s="608"/>
      <c r="BS24" s="608"/>
      <c r="BT24" s="76"/>
    </row>
    <row r="25" spans="1:72" ht="3.75" customHeight="1" x14ac:dyDescent="0.15">
      <c r="C25" s="615"/>
      <c r="AF25" s="615"/>
      <c r="AG25" s="615"/>
      <c r="AH25" s="615"/>
      <c r="AI25" s="615"/>
      <c r="AJ25" s="76"/>
      <c r="AK25" s="76"/>
      <c r="AM25" s="938"/>
      <c r="AN25" s="659"/>
      <c r="AO25" s="660"/>
      <c r="AP25" s="660"/>
      <c r="AQ25" s="660"/>
      <c r="AR25" s="660"/>
      <c r="AS25" s="660"/>
      <c r="AT25" s="661"/>
      <c r="AU25" s="659"/>
      <c r="AV25" s="660"/>
      <c r="AW25" s="660"/>
      <c r="AX25" s="660"/>
      <c r="AY25" s="660"/>
      <c r="AZ25" s="660"/>
      <c r="BA25" s="661"/>
      <c r="BB25" s="659"/>
      <c r="BC25" s="660"/>
      <c r="BD25" s="660"/>
      <c r="BE25" s="660"/>
      <c r="BF25" s="660"/>
      <c r="BG25" s="660"/>
      <c r="BH25" s="661"/>
      <c r="BI25" s="667"/>
      <c r="BJ25" s="668"/>
      <c r="BK25" s="668"/>
      <c r="BL25" s="668"/>
      <c r="BM25" s="668"/>
      <c r="BN25" s="668"/>
      <c r="BO25" s="669"/>
      <c r="BP25" s="608"/>
      <c r="BQ25" s="608"/>
      <c r="BR25" s="608"/>
      <c r="BS25" s="608"/>
      <c r="BT25" s="76"/>
    </row>
    <row r="26" spans="1:72" ht="7.5" customHeight="1" x14ac:dyDescent="0.15"/>
    <row r="27" spans="1:72" s="68" customFormat="1" ht="18" x14ac:dyDescent="0.15">
      <c r="A27" s="67"/>
      <c r="C27" s="68" t="s">
        <v>185</v>
      </c>
      <c r="D27" s="67"/>
      <c r="E27" s="67"/>
      <c r="F27" s="69"/>
      <c r="G27" s="70"/>
      <c r="H27" s="71"/>
      <c r="I27" s="67"/>
      <c r="J27" s="67"/>
      <c r="K27" s="67"/>
      <c r="L27" s="67"/>
      <c r="M27" s="69"/>
      <c r="N27" s="70"/>
      <c r="O27" s="71"/>
      <c r="P27" s="67"/>
      <c r="Q27" s="67"/>
      <c r="R27" s="67"/>
      <c r="S27" s="67"/>
      <c r="T27" s="69"/>
      <c r="U27" s="70"/>
      <c r="V27" s="71"/>
      <c r="W27" s="67"/>
      <c r="X27" s="67"/>
      <c r="AB27" s="93"/>
      <c r="AM27" s="68" t="s">
        <v>186</v>
      </c>
      <c r="AN27" s="67"/>
      <c r="AO27" s="67"/>
      <c r="AP27" s="69"/>
      <c r="AQ27" s="70"/>
      <c r="AR27" s="71"/>
      <c r="AS27" s="67"/>
      <c r="AT27" s="67"/>
      <c r="AU27" s="67"/>
      <c r="AV27" s="67"/>
      <c r="AW27" s="69"/>
      <c r="AX27" s="70"/>
      <c r="AY27" s="71"/>
      <c r="AZ27" s="67"/>
      <c r="BA27" s="67"/>
      <c r="BB27" s="67"/>
      <c r="BC27" s="67"/>
      <c r="BD27" s="69"/>
      <c r="BE27" s="70"/>
      <c r="BF27" s="71"/>
      <c r="BG27" s="67"/>
      <c r="BH27" s="67"/>
      <c r="BI27" s="67"/>
      <c r="BJ27" s="67"/>
      <c r="BK27" s="69"/>
      <c r="BL27" s="70"/>
      <c r="BM27" s="71"/>
      <c r="BN27" s="67"/>
      <c r="BO27" s="67"/>
    </row>
    <row r="28" spans="1:72" ht="28.5" x14ac:dyDescent="0.15">
      <c r="C28" s="72"/>
      <c r="D28" s="941" t="str">
        <f>C29</f>
        <v>南部</v>
      </c>
      <c r="E28" s="941"/>
      <c r="F28" s="941"/>
      <c r="G28" s="941"/>
      <c r="H28" s="941"/>
      <c r="I28" s="941"/>
      <c r="J28" s="941"/>
      <c r="K28" s="941" t="str">
        <f>C33</f>
        <v>寺井</v>
      </c>
      <c r="L28" s="941"/>
      <c r="M28" s="941"/>
      <c r="N28" s="941"/>
      <c r="O28" s="941"/>
      <c r="P28" s="941"/>
      <c r="Q28" s="941"/>
      <c r="R28" s="941" t="str">
        <f>C37</f>
        <v>野々市</v>
      </c>
      <c r="S28" s="941"/>
      <c r="T28" s="941"/>
      <c r="U28" s="941"/>
      <c r="V28" s="941"/>
      <c r="W28" s="941"/>
      <c r="X28" s="941"/>
      <c r="Y28" s="608">
        <f>J37</f>
        <v>0</v>
      </c>
      <c r="Z28" s="608"/>
      <c r="AA28" s="608"/>
      <c r="AB28" s="608"/>
      <c r="AC28" s="608"/>
      <c r="AD28" s="608"/>
      <c r="AE28" s="608"/>
      <c r="AF28" s="73" t="s">
        <v>88</v>
      </c>
      <c r="AG28" s="74" t="s">
        <v>89</v>
      </c>
      <c r="AH28" s="73" t="s">
        <v>90</v>
      </c>
      <c r="AI28" s="73" t="s">
        <v>91</v>
      </c>
      <c r="AJ28" s="76"/>
      <c r="AK28" s="76"/>
      <c r="AM28" s="72"/>
      <c r="AN28" s="941" t="str">
        <f>AM29</f>
        <v>丸内</v>
      </c>
      <c r="AO28" s="941"/>
      <c r="AP28" s="941"/>
      <c r="AQ28" s="941"/>
      <c r="AR28" s="941"/>
      <c r="AS28" s="941"/>
      <c r="AT28" s="941"/>
      <c r="AU28" s="941" t="str">
        <f>AM33</f>
        <v/>
      </c>
      <c r="AV28" s="941"/>
      <c r="AW28" s="941"/>
      <c r="AX28" s="941"/>
      <c r="AY28" s="941"/>
      <c r="AZ28" s="941"/>
      <c r="BA28" s="941"/>
      <c r="BB28" s="941" t="str">
        <f>AM37</f>
        <v/>
      </c>
      <c r="BC28" s="941"/>
      <c r="BD28" s="941"/>
      <c r="BE28" s="941"/>
      <c r="BF28" s="941"/>
      <c r="BG28" s="941"/>
      <c r="BH28" s="941"/>
      <c r="BI28" s="941" t="str">
        <f>AM41</f>
        <v/>
      </c>
      <c r="BJ28" s="941"/>
      <c r="BK28" s="941"/>
      <c r="BL28" s="941"/>
      <c r="BM28" s="941"/>
      <c r="BN28" s="941"/>
      <c r="BO28" s="941"/>
      <c r="BP28" s="73" t="s">
        <v>88</v>
      </c>
      <c r="BQ28" s="74" t="s">
        <v>89</v>
      </c>
      <c r="BR28" s="73" t="s">
        <v>90</v>
      </c>
      <c r="BS28" s="73" t="s">
        <v>91</v>
      </c>
    </row>
    <row r="29" spans="1:72" ht="13.5" customHeight="1" x14ac:dyDescent="0.15">
      <c r="B29" s="62">
        <v>4</v>
      </c>
      <c r="C29" s="938" t="str">
        <f>IF(ISERROR(MATCH('南(14時刻)'!B29,予選学校名!$H$3:$H$16,0)),"",INDEX(予選学校名!$H$3:$K$16,MATCH('南(14時刻)'!B29,予選学校名!$H$3:$H$16,0),2))</f>
        <v>南部</v>
      </c>
      <c r="D29" s="636"/>
      <c r="E29" s="637"/>
      <c r="F29" s="637"/>
      <c r="G29" s="638"/>
      <c r="H29" s="638"/>
      <c r="I29" s="638"/>
      <c r="J29" s="639"/>
      <c r="K29" s="670" t="e">
        <f>K10</f>
        <v>#REF!</v>
      </c>
      <c r="L29" s="671"/>
      <c r="M29" s="671"/>
      <c r="N29" s="671"/>
      <c r="O29" s="671"/>
      <c r="P29" s="671"/>
      <c r="Q29" s="672"/>
      <c r="R29" s="670" t="e">
        <f>R10</f>
        <v>#REF!</v>
      </c>
      <c r="S29" s="671"/>
      <c r="T29" s="671"/>
      <c r="U29" s="671"/>
      <c r="V29" s="671"/>
      <c r="W29" s="671"/>
      <c r="X29" s="672"/>
      <c r="Y29" s="940"/>
      <c r="Z29" s="937"/>
      <c r="AA29" s="937"/>
      <c r="AB29" s="192"/>
      <c r="AC29" s="937"/>
      <c r="AD29" s="937"/>
      <c r="AE29" s="939"/>
      <c r="AF29" s="608" t="str">
        <f>IF(COUNT(D30:AE30)=0,"",COUNTIF(D29:AE29,"○")*3+COUNTIF(D29:AE29,"△"))</f>
        <v/>
      </c>
      <c r="AG29" s="608" t="str">
        <f>IF(AF29="","",SUM(H29:H44)/2-SUM(D29:D44))</f>
        <v/>
      </c>
      <c r="AH29" s="608" t="str">
        <f>IF(AF29="","",SUM(H29:H44)/2)</f>
        <v/>
      </c>
      <c r="AI29" s="608" t="str">
        <f>IF(OR(AF29="",MOD(COUNT(D29:AE29),2)=1),"",RANK(AJ29,$AJ$29:$AJ$44))</f>
        <v/>
      </c>
      <c r="AJ29" s="76" t="str">
        <f>IF(OR(AF29="",MOD(COUNT(D29:AE29),2)=1),"",AF29*10000+AG29*100+AH29)</f>
        <v/>
      </c>
      <c r="AK29" s="76"/>
      <c r="AL29" s="62">
        <v>11</v>
      </c>
      <c r="AM29" s="938" t="str">
        <f>IF(ISERROR(MATCH('南(14時刻)'!AL29,予選学校名!$H$3:$H$16,0)),"",INDEX(予選学校名!$H$3:$K$16,MATCH('南(14時刻)'!AL29,予選学校名!$H$3:$H$16,0),2))</f>
        <v>丸内</v>
      </c>
      <c r="AN29" s="662"/>
      <c r="AO29" s="637"/>
      <c r="AP29" s="637"/>
      <c r="AQ29" s="637"/>
      <c r="AR29" s="637"/>
      <c r="AS29" s="637"/>
      <c r="AT29" s="663"/>
      <c r="AU29" s="670" t="e">
        <f>AU10</f>
        <v>#REF!</v>
      </c>
      <c r="AV29" s="671"/>
      <c r="AW29" s="671"/>
      <c r="AX29" s="671"/>
      <c r="AY29" s="671"/>
      <c r="AZ29" s="671"/>
      <c r="BA29" s="672"/>
      <c r="BB29" s="670" t="e">
        <f>BB10</f>
        <v>#REF!</v>
      </c>
      <c r="BC29" s="671"/>
      <c r="BD29" s="671"/>
      <c r="BE29" s="671"/>
      <c r="BF29" s="671"/>
      <c r="BG29" s="671"/>
      <c r="BH29" s="672"/>
      <c r="BI29" s="670" t="e">
        <f>BI10</f>
        <v>#REF!</v>
      </c>
      <c r="BJ29" s="671"/>
      <c r="BK29" s="671"/>
      <c r="BL29" s="671"/>
      <c r="BM29" s="671"/>
      <c r="BN29" s="671"/>
      <c r="BO29" s="672"/>
      <c r="BP29" s="608" t="str">
        <f>IF(COUNT(AN30:BO30)=0,"",COUNTIF(AN29:BO29,"○")*3+COUNTIF(AN29:BO29,"△"))</f>
        <v/>
      </c>
      <c r="BQ29" s="608" t="str">
        <f>IF(BP29="","",SUM(AR29:AR44)/2-SUM(AN29:AN44))</f>
        <v/>
      </c>
      <c r="BR29" s="608" t="str">
        <f>IF(BP29="","",SUM(AR29:AR44)/2)</f>
        <v/>
      </c>
      <c r="BS29" s="608" t="str">
        <f>IF(OR(BP29="",MOD(COUNT(AN29:BO29),2)=1),"",RANK(BT29,$BT$29:$BT$44))</f>
        <v/>
      </c>
      <c r="BT29" s="76" t="str">
        <f>IF(OR(BP29="",MOD(COUNT(AN29:BO29),2)=1),"",BP29*10000+BQ29*100+BR29)</f>
        <v/>
      </c>
    </row>
    <row r="30" spans="1:72" x14ac:dyDescent="0.15">
      <c r="C30" s="938"/>
      <c r="D30" s="640"/>
      <c r="E30" s="641"/>
      <c r="F30" s="641"/>
      <c r="G30" s="641"/>
      <c r="H30" s="641"/>
      <c r="I30" s="641"/>
      <c r="J30" s="642"/>
      <c r="K30" s="673"/>
      <c r="L30" s="674"/>
      <c r="M30" s="674"/>
      <c r="N30" s="674"/>
      <c r="O30" s="674"/>
      <c r="P30" s="674"/>
      <c r="Q30" s="675"/>
      <c r="R30" s="673"/>
      <c r="S30" s="674"/>
      <c r="T30" s="674"/>
      <c r="U30" s="674"/>
      <c r="V30" s="674"/>
      <c r="W30" s="674"/>
      <c r="X30" s="675"/>
      <c r="Y30" s="193"/>
      <c r="AB30" s="76" t="s">
        <v>92</v>
      </c>
      <c r="AE30" s="194"/>
      <c r="AF30" s="608"/>
      <c r="AG30" s="608"/>
      <c r="AH30" s="608"/>
      <c r="AI30" s="608"/>
      <c r="AJ30" s="76"/>
      <c r="AK30" s="76"/>
      <c r="AM30" s="938"/>
      <c r="AN30" s="664"/>
      <c r="AO30" s="665"/>
      <c r="AP30" s="665"/>
      <c r="AQ30" s="665"/>
      <c r="AR30" s="665"/>
      <c r="AS30" s="665"/>
      <c r="AT30" s="666"/>
      <c r="AU30" s="673"/>
      <c r="AV30" s="674"/>
      <c r="AW30" s="674"/>
      <c r="AX30" s="674"/>
      <c r="AY30" s="674"/>
      <c r="AZ30" s="674"/>
      <c r="BA30" s="675"/>
      <c r="BB30" s="673"/>
      <c r="BC30" s="674"/>
      <c r="BD30" s="674"/>
      <c r="BE30" s="674"/>
      <c r="BF30" s="674"/>
      <c r="BG30" s="674"/>
      <c r="BH30" s="675"/>
      <c r="BI30" s="673"/>
      <c r="BJ30" s="674"/>
      <c r="BK30" s="674"/>
      <c r="BL30" s="674"/>
      <c r="BM30" s="674"/>
      <c r="BN30" s="674"/>
      <c r="BO30" s="675"/>
      <c r="BP30" s="608"/>
      <c r="BQ30" s="608"/>
      <c r="BR30" s="608"/>
      <c r="BS30" s="608"/>
      <c r="BT30" s="76"/>
    </row>
    <row r="31" spans="1:72" x14ac:dyDescent="0.15">
      <c r="C31" s="938"/>
      <c r="D31" s="640"/>
      <c r="E31" s="641"/>
      <c r="F31" s="641"/>
      <c r="G31" s="641"/>
      <c r="H31" s="641"/>
      <c r="I31" s="641"/>
      <c r="J31" s="642"/>
      <c r="K31" s="673"/>
      <c r="L31" s="674"/>
      <c r="M31" s="674"/>
      <c r="N31" s="674"/>
      <c r="O31" s="674"/>
      <c r="P31" s="674"/>
      <c r="Q31" s="675"/>
      <c r="R31" s="673"/>
      <c r="S31" s="674"/>
      <c r="T31" s="674"/>
      <c r="U31" s="674"/>
      <c r="V31" s="674"/>
      <c r="W31" s="674"/>
      <c r="X31" s="675"/>
      <c r="Y31" s="193"/>
      <c r="AB31" s="76" t="s">
        <v>92</v>
      </c>
      <c r="AE31" s="194"/>
      <c r="AF31" s="608"/>
      <c r="AG31" s="608"/>
      <c r="AH31" s="608"/>
      <c r="AI31" s="608"/>
      <c r="AJ31" s="76"/>
      <c r="AK31" s="76"/>
      <c r="AM31" s="938"/>
      <c r="AN31" s="664"/>
      <c r="AO31" s="665"/>
      <c r="AP31" s="665"/>
      <c r="AQ31" s="665"/>
      <c r="AR31" s="665"/>
      <c r="AS31" s="665"/>
      <c r="AT31" s="666"/>
      <c r="AU31" s="673"/>
      <c r="AV31" s="674"/>
      <c r="AW31" s="674"/>
      <c r="AX31" s="674"/>
      <c r="AY31" s="674"/>
      <c r="AZ31" s="674"/>
      <c r="BA31" s="675"/>
      <c r="BB31" s="673"/>
      <c r="BC31" s="674"/>
      <c r="BD31" s="674"/>
      <c r="BE31" s="674"/>
      <c r="BF31" s="674"/>
      <c r="BG31" s="674"/>
      <c r="BH31" s="675"/>
      <c r="BI31" s="673"/>
      <c r="BJ31" s="674"/>
      <c r="BK31" s="674"/>
      <c r="BL31" s="674"/>
      <c r="BM31" s="674"/>
      <c r="BN31" s="674"/>
      <c r="BO31" s="675"/>
      <c r="BP31" s="608"/>
      <c r="BQ31" s="608"/>
      <c r="BR31" s="608"/>
      <c r="BS31" s="608"/>
      <c r="BT31" s="76"/>
    </row>
    <row r="32" spans="1:72" ht="3.75" customHeight="1" x14ac:dyDescent="0.15">
      <c r="C32" s="938"/>
      <c r="D32" s="643"/>
      <c r="E32" s="644"/>
      <c r="F32" s="644"/>
      <c r="G32" s="644"/>
      <c r="H32" s="644"/>
      <c r="I32" s="644"/>
      <c r="J32" s="645"/>
      <c r="K32" s="676"/>
      <c r="L32" s="677"/>
      <c r="M32" s="677"/>
      <c r="N32" s="677"/>
      <c r="O32" s="677"/>
      <c r="P32" s="677"/>
      <c r="Q32" s="678"/>
      <c r="R32" s="676"/>
      <c r="S32" s="677"/>
      <c r="T32" s="677"/>
      <c r="U32" s="677"/>
      <c r="V32" s="677"/>
      <c r="W32" s="677"/>
      <c r="X32" s="678"/>
      <c r="Y32" s="195"/>
      <c r="Z32" s="196"/>
      <c r="AA32" s="196"/>
      <c r="AB32" s="197"/>
      <c r="AC32" s="196"/>
      <c r="AD32" s="196"/>
      <c r="AE32" s="198"/>
      <c r="AF32" s="608"/>
      <c r="AG32" s="608"/>
      <c r="AH32" s="608"/>
      <c r="AI32" s="608"/>
      <c r="AJ32" s="76"/>
      <c r="AK32" s="76"/>
      <c r="AM32" s="938"/>
      <c r="AN32" s="667"/>
      <c r="AO32" s="668"/>
      <c r="AP32" s="668"/>
      <c r="AQ32" s="668"/>
      <c r="AR32" s="668"/>
      <c r="AS32" s="668"/>
      <c r="AT32" s="669"/>
      <c r="AU32" s="676"/>
      <c r="AV32" s="677"/>
      <c r="AW32" s="677"/>
      <c r="AX32" s="677"/>
      <c r="AY32" s="677"/>
      <c r="AZ32" s="677"/>
      <c r="BA32" s="678"/>
      <c r="BB32" s="676"/>
      <c r="BC32" s="677"/>
      <c r="BD32" s="677"/>
      <c r="BE32" s="677"/>
      <c r="BF32" s="677"/>
      <c r="BG32" s="677"/>
      <c r="BH32" s="678"/>
      <c r="BI32" s="676"/>
      <c r="BJ32" s="677"/>
      <c r="BK32" s="677"/>
      <c r="BL32" s="677"/>
      <c r="BM32" s="677"/>
      <c r="BN32" s="677"/>
      <c r="BO32" s="678"/>
      <c r="BP32" s="608"/>
      <c r="BQ32" s="608"/>
      <c r="BR32" s="608"/>
      <c r="BS32" s="608"/>
      <c r="BT32" s="76"/>
    </row>
    <row r="33" spans="1:108" ht="13.5" customHeight="1" x14ac:dyDescent="0.15">
      <c r="A33" s="62"/>
      <c r="B33" s="62">
        <v>5</v>
      </c>
      <c r="C33" s="938" t="str">
        <f>IF(ISERROR(MATCH('南(14時刻)'!B33,予選学校名!$H$3:$H$16,0)),"",INDEX(予選学校名!$H$3:$K$16,MATCH('南(14時刻)'!B33,予選学校名!$H$3:$H$16,0),2))</f>
        <v>寺井</v>
      </c>
      <c r="D33" s="977" t="s">
        <v>174</v>
      </c>
      <c r="E33" s="654"/>
      <c r="F33" s="654"/>
      <c r="G33" s="654"/>
      <c r="H33" s="654"/>
      <c r="I33" s="654"/>
      <c r="J33" s="655"/>
      <c r="K33" s="636"/>
      <c r="L33" s="637"/>
      <c r="M33" s="637"/>
      <c r="N33" s="638"/>
      <c r="O33" s="638"/>
      <c r="P33" s="638"/>
      <c r="Q33" s="639"/>
      <c r="R33" s="670" t="e">
        <f>R14</f>
        <v>#REF!</v>
      </c>
      <c r="S33" s="671"/>
      <c r="T33" s="671"/>
      <c r="U33" s="671"/>
      <c r="V33" s="671"/>
      <c r="W33" s="671"/>
      <c r="X33" s="672"/>
      <c r="Y33" s="940"/>
      <c r="Z33" s="937"/>
      <c r="AA33" s="937"/>
      <c r="AB33" s="192"/>
      <c r="AC33" s="937"/>
      <c r="AD33" s="937"/>
      <c r="AE33" s="939"/>
      <c r="AF33" s="608" t="str">
        <f>IF(COUNT(D34:AE34)=0,"",COUNTIF(D33:AE33,"○")*3+COUNTIF(D33:AE33,"△"))</f>
        <v/>
      </c>
      <c r="AG33" s="608" t="str">
        <f>IF(AF33="","",SUM(O29:O44)/2-SUM(K29:K44))</f>
        <v/>
      </c>
      <c r="AH33" s="608" t="str">
        <f>IF(AF33="","",SUM(H33:H53)/2)</f>
        <v/>
      </c>
      <c r="AI33" s="608" t="str">
        <f>IF(OR(AF33="",MOD(COUNT(D33:AE33),2)=1),"",RANK(AJ33,$AJ$29:$AJ$44))</f>
        <v/>
      </c>
      <c r="AJ33" s="76" t="str">
        <f>IF(OR(AF33="",MOD(COUNT(D33:AE33),2)=1),"",AF33*10000+AG33*100+AH33)</f>
        <v/>
      </c>
      <c r="AK33" s="76"/>
      <c r="AL33" s="62">
        <v>12</v>
      </c>
      <c r="AM33" s="938" t="str">
        <f>IF(ISERROR(MATCH('南(14時刻)'!AL33,予選学校名!$H$3:$H$16,0)),"",INDEX(予選学校名!$H$3:$K$16,MATCH('南(14時刻)'!AL33,予選学校名!$H$3:$H$16,0),2))</f>
        <v/>
      </c>
      <c r="AN33" s="653" t="s">
        <v>168</v>
      </c>
      <c r="AO33" s="654"/>
      <c r="AP33" s="654"/>
      <c r="AQ33" s="654"/>
      <c r="AR33" s="654"/>
      <c r="AS33" s="654"/>
      <c r="AT33" s="655"/>
      <c r="AU33" s="662"/>
      <c r="AV33" s="637"/>
      <c r="AW33" s="637"/>
      <c r="AX33" s="637"/>
      <c r="AY33" s="637"/>
      <c r="AZ33" s="637"/>
      <c r="BA33" s="663"/>
      <c r="BB33" s="670" t="e">
        <f>BB14</f>
        <v>#REF!</v>
      </c>
      <c r="BC33" s="671"/>
      <c r="BD33" s="671"/>
      <c r="BE33" s="671"/>
      <c r="BF33" s="671"/>
      <c r="BG33" s="671"/>
      <c r="BH33" s="672"/>
      <c r="BI33" s="670" t="e">
        <f>BI14</f>
        <v>#REF!</v>
      </c>
      <c r="BJ33" s="671"/>
      <c r="BK33" s="671"/>
      <c r="BL33" s="671"/>
      <c r="BM33" s="671"/>
      <c r="BN33" s="671"/>
      <c r="BO33" s="672"/>
      <c r="BP33" s="608" t="str">
        <f>IF(COUNT(AN34:BO34)=0,"",COUNTIF(AN33:BO33,"○")*3+COUNTIF(AN33:BO33,"△"))</f>
        <v/>
      </c>
      <c r="BQ33" s="608" t="str">
        <f>IF(BP33="","",SUM(AY29:AY44)/2-SUM(AU29:AU44))</f>
        <v/>
      </c>
      <c r="BR33" s="608" t="str">
        <f>IF(BP33="","",SUM(AY29:AY44)/2)</f>
        <v/>
      </c>
      <c r="BS33" s="608" t="str">
        <f>IF(OR(BP33="",MOD(COUNT(AN33:BO33),2)=1),"",RANK(BT33,$BT$29:$BT$44))</f>
        <v/>
      </c>
      <c r="BT33" s="76" t="str">
        <f>IF(OR(BP33="",MOD(COUNT(AN33:BO33),2)=1),"",BP33*10000+BQ33*100+BR33)</f>
        <v/>
      </c>
    </row>
    <row r="34" spans="1:108" x14ac:dyDescent="0.15">
      <c r="A34" s="62"/>
      <c r="C34" s="938"/>
      <c r="D34" s="656"/>
      <c r="E34" s="657"/>
      <c r="F34" s="657"/>
      <c r="G34" s="657"/>
      <c r="H34" s="657"/>
      <c r="I34" s="657"/>
      <c r="J34" s="658"/>
      <c r="K34" s="640"/>
      <c r="L34" s="641"/>
      <c r="M34" s="641"/>
      <c r="N34" s="641"/>
      <c r="O34" s="641"/>
      <c r="P34" s="641"/>
      <c r="Q34" s="642"/>
      <c r="R34" s="673"/>
      <c r="S34" s="674"/>
      <c r="T34" s="674"/>
      <c r="U34" s="674"/>
      <c r="V34" s="674"/>
      <c r="W34" s="674"/>
      <c r="X34" s="675"/>
      <c r="Y34" s="193"/>
      <c r="AB34" s="76" t="s">
        <v>92</v>
      </c>
      <c r="AE34" s="194"/>
      <c r="AF34" s="608"/>
      <c r="AG34" s="608"/>
      <c r="AH34" s="608"/>
      <c r="AI34" s="608"/>
      <c r="AJ34" s="76"/>
      <c r="AK34" s="76"/>
      <c r="AM34" s="938"/>
      <c r="AN34" s="656"/>
      <c r="AO34" s="657"/>
      <c r="AP34" s="657"/>
      <c r="AQ34" s="657"/>
      <c r="AR34" s="657"/>
      <c r="AS34" s="657"/>
      <c r="AT34" s="658"/>
      <c r="AU34" s="664"/>
      <c r="AV34" s="665"/>
      <c r="AW34" s="665"/>
      <c r="AX34" s="665"/>
      <c r="AY34" s="665"/>
      <c r="AZ34" s="665"/>
      <c r="BA34" s="666"/>
      <c r="BB34" s="673"/>
      <c r="BC34" s="674"/>
      <c r="BD34" s="674"/>
      <c r="BE34" s="674"/>
      <c r="BF34" s="674"/>
      <c r="BG34" s="674"/>
      <c r="BH34" s="675"/>
      <c r="BI34" s="673"/>
      <c r="BJ34" s="674"/>
      <c r="BK34" s="674"/>
      <c r="BL34" s="674"/>
      <c r="BM34" s="674"/>
      <c r="BN34" s="674"/>
      <c r="BO34" s="675"/>
      <c r="BP34" s="608"/>
      <c r="BQ34" s="608"/>
      <c r="BR34" s="608"/>
      <c r="BS34" s="608"/>
      <c r="BT34" s="76"/>
    </row>
    <row r="35" spans="1:108" x14ac:dyDescent="0.15">
      <c r="A35" s="62"/>
      <c r="C35" s="938"/>
      <c r="D35" s="656"/>
      <c r="E35" s="657"/>
      <c r="F35" s="657"/>
      <c r="G35" s="657"/>
      <c r="H35" s="657"/>
      <c r="I35" s="657"/>
      <c r="J35" s="658"/>
      <c r="K35" s="640"/>
      <c r="L35" s="641"/>
      <c r="M35" s="641"/>
      <c r="N35" s="641"/>
      <c r="O35" s="641"/>
      <c r="P35" s="641"/>
      <c r="Q35" s="642"/>
      <c r="R35" s="673"/>
      <c r="S35" s="674"/>
      <c r="T35" s="674"/>
      <c r="U35" s="674"/>
      <c r="V35" s="674"/>
      <c r="W35" s="674"/>
      <c r="X35" s="675"/>
      <c r="Y35" s="193"/>
      <c r="AB35" s="76" t="s">
        <v>92</v>
      </c>
      <c r="AE35" s="194"/>
      <c r="AF35" s="608"/>
      <c r="AG35" s="608"/>
      <c r="AH35" s="608"/>
      <c r="AI35" s="608"/>
      <c r="AJ35" s="76"/>
      <c r="AK35" s="76"/>
      <c r="AM35" s="938"/>
      <c r="AN35" s="656"/>
      <c r="AO35" s="657"/>
      <c r="AP35" s="657"/>
      <c r="AQ35" s="657"/>
      <c r="AR35" s="657"/>
      <c r="AS35" s="657"/>
      <c r="AT35" s="658"/>
      <c r="AU35" s="664"/>
      <c r="AV35" s="665"/>
      <c r="AW35" s="665"/>
      <c r="AX35" s="665"/>
      <c r="AY35" s="665"/>
      <c r="AZ35" s="665"/>
      <c r="BA35" s="666"/>
      <c r="BB35" s="673"/>
      <c r="BC35" s="674"/>
      <c r="BD35" s="674"/>
      <c r="BE35" s="674"/>
      <c r="BF35" s="674"/>
      <c r="BG35" s="674"/>
      <c r="BH35" s="675"/>
      <c r="BI35" s="673"/>
      <c r="BJ35" s="674"/>
      <c r="BK35" s="674"/>
      <c r="BL35" s="674"/>
      <c r="BM35" s="674"/>
      <c r="BN35" s="674"/>
      <c r="BO35" s="675"/>
      <c r="BP35" s="608"/>
      <c r="BQ35" s="608"/>
      <c r="BR35" s="608"/>
      <c r="BS35" s="608"/>
      <c r="BT35" s="76"/>
    </row>
    <row r="36" spans="1:108" ht="3.75" customHeight="1" x14ac:dyDescent="0.15">
      <c r="A36" s="62"/>
      <c r="C36" s="938"/>
      <c r="D36" s="659"/>
      <c r="E36" s="660"/>
      <c r="F36" s="660"/>
      <c r="G36" s="660"/>
      <c r="H36" s="660"/>
      <c r="I36" s="660"/>
      <c r="J36" s="661"/>
      <c r="K36" s="643"/>
      <c r="L36" s="644"/>
      <c r="M36" s="644"/>
      <c r="N36" s="644"/>
      <c r="O36" s="644"/>
      <c r="P36" s="644"/>
      <c r="Q36" s="645"/>
      <c r="R36" s="676"/>
      <c r="S36" s="677"/>
      <c r="T36" s="677"/>
      <c r="U36" s="677"/>
      <c r="V36" s="677"/>
      <c r="W36" s="677"/>
      <c r="X36" s="678"/>
      <c r="Y36" s="195"/>
      <c r="Z36" s="196"/>
      <c r="AA36" s="196"/>
      <c r="AB36" s="197"/>
      <c r="AC36" s="196"/>
      <c r="AD36" s="196"/>
      <c r="AE36" s="198"/>
      <c r="AF36" s="608"/>
      <c r="AG36" s="608"/>
      <c r="AH36" s="608"/>
      <c r="AI36" s="608"/>
      <c r="AJ36" s="76"/>
      <c r="AK36" s="76"/>
      <c r="AM36" s="938"/>
      <c r="AN36" s="659"/>
      <c r="AO36" s="660"/>
      <c r="AP36" s="660"/>
      <c r="AQ36" s="660"/>
      <c r="AR36" s="660"/>
      <c r="AS36" s="660"/>
      <c r="AT36" s="661"/>
      <c r="AU36" s="667"/>
      <c r="AV36" s="668"/>
      <c r="AW36" s="668"/>
      <c r="AX36" s="668"/>
      <c r="AY36" s="668"/>
      <c r="AZ36" s="668"/>
      <c r="BA36" s="669"/>
      <c r="BB36" s="676"/>
      <c r="BC36" s="677"/>
      <c r="BD36" s="677"/>
      <c r="BE36" s="677"/>
      <c r="BF36" s="677"/>
      <c r="BG36" s="677"/>
      <c r="BH36" s="678"/>
      <c r="BI36" s="676"/>
      <c r="BJ36" s="677"/>
      <c r="BK36" s="677"/>
      <c r="BL36" s="677"/>
      <c r="BM36" s="677"/>
      <c r="BN36" s="677"/>
      <c r="BO36" s="678"/>
      <c r="BP36" s="608"/>
      <c r="BQ36" s="608"/>
      <c r="BR36" s="608"/>
      <c r="BS36" s="608"/>
      <c r="BT36" s="76"/>
    </row>
    <row r="37" spans="1:108" ht="13.5" customHeight="1" x14ac:dyDescent="0.15">
      <c r="A37" s="62"/>
      <c r="B37" s="62">
        <v>6</v>
      </c>
      <c r="C37" s="938" t="str">
        <f>IF(ISERROR(MATCH('南(14時刻)'!B37,予選学校名!$H$3:$H$16,0)),"",INDEX(予選学校名!$H$3:$K$16,MATCH('南(14時刻)'!B37,予選学校名!$H$3:$H$16,0),2))</f>
        <v>野々市</v>
      </c>
      <c r="D37" s="977" t="s">
        <v>171</v>
      </c>
      <c r="E37" s="654"/>
      <c r="F37" s="654"/>
      <c r="G37" s="654"/>
      <c r="H37" s="654"/>
      <c r="I37" s="654"/>
      <c r="J37" s="655"/>
      <c r="K37" s="977" t="s">
        <v>173</v>
      </c>
      <c r="L37" s="654"/>
      <c r="M37" s="654"/>
      <c r="N37" s="654"/>
      <c r="O37" s="654"/>
      <c r="P37" s="654"/>
      <c r="Q37" s="655"/>
      <c r="R37" s="636"/>
      <c r="S37" s="637"/>
      <c r="T37" s="637"/>
      <c r="U37" s="638"/>
      <c r="V37" s="638"/>
      <c r="W37" s="638"/>
      <c r="X37" s="639"/>
      <c r="Y37" s="940"/>
      <c r="Z37" s="937"/>
      <c r="AA37" s="937"/>
      <c r="AB37" s="192"/>
      <c r="AC37" s="937"/>
      <c r="AD37" s="937"/>
      <c r="AE37" s="939"/>
      <c r="AF37" s="608" t="str">
        <f>IF(COUNT(D38:AE38)=0,"",COUNTIF(D37:AE37,"○")*3+COUNTIF(D37:AE37,"△"))</f>
        <v/>
      </c>
      <c r="AG37" s="608" t="str">
        <f>IF(AF37="","",SUM(V29:V44)/2-SUM(R29:R44))</f>
        <v/>
      </c>
      <c r="AH37" s="608" t="str">
        <f>IF(AF37="","",SUM(H37:H62)/2)</f>
        <v/>
      </c>
      <c r="AI37" s="608" t="str">
        <f>IF(OR(AF37="",MOD(COUNT(D37:AE37),2)=1),"",RANK(AJ37,$AJ$29:$AJ$44))</f>
        <v/>
      </c>
      <c r="AJ37" s="76" t="str">
        <f>IF(OR(AF37="",MOD(COUNT(D37:AE37),2)=1),"",AF37*10000+AG37*100+AH37)</f>
        <v/>
      </c>
      <c r="AK37" s="76"/>
      <c r="AL37" s="62">
        <v>13</v>
      </c>
      <c r="AM37" s="938" t="str">
        <f>IF(ISERROR(MATCH('南(14時刻)'!AL37,予選学校名!$H$3:$H$16,0)),"",INDEX(予選学校名!$H$3:$K$16,MATCH('南(14時刻)'!AL37,予選学校名!$H$3:$H$16,0),2))</f>
        <v/>
      </c>
      <c r="AN37" s="653" t="s">
        <v>169</v>
      </c>
      <c r="AO37" s="654"/>
      <c r="AP37" s="654"/>
      <c r="AQ37" s="654"/>
      <c r="AR37" s="654"/>
      <c r="AS37" s="654"/>
      <c r="AT37" s="655"/>
      <c r="AU37" s="653" t="s">
        <v>167</v>
      </c>
      <c r="AV37" s="654"/>
      <c r="AW37" s="654"/>
      <c r="AX37" s="654"/>
      <c r="AY37" s="654"/>
      <c r="AZ37" s="654"/>
      <c r="BA37" s="655"/>
      <c r="BB37" s="662"/>
      <c r="BC37" s="637"/>
      <c r="BD37" s="637"/>
      <c r="BE37" s="637"/>
      <c r="BF37" s="637"/>
      <c r="BG37" s="637"/>
      <c r="BH37" s="663"/>
      <c r="BI37" s="670" t="e">
        <f>BI18</f>
        <v>#REF!</v>
      </c>
      <c r="BJ37" s="671"/>
      <c r="BK37" s="671"/>
      <c r="BL37" s="671"/>
      <c r="BM37" s="671"/>
      <c r="BN37" s="671"/>
      <c r="BO37" s="672"/>
      <c r="BP37" s="608" t="str">
        <f>IF(COUNT(AN38:BO38)=0,"",COUNTIF(AN37:BO37,"○")*3+COUNTIF(AN37:BO37,"△"))</f>
        <v/>
      </c>
      <c r="BQ37" s="608" t="str">
        <f>IF(BP37="","",SUM(BF29:BF44)/2-SUM(BB29:BB44))</f>
        <v/>
      </c>
      <c r="BR37" s="608" t="str">
        <f>IF(BP37="","",SUM(BF29:BF44)/2)</f>
        <v/>
      </c>
      <c r="BS37" s="608" t="str">
        <f>IF(OR(BP37="",MOD(COUNT(AN37:BO37),2)=1),"",RANK(BT37,$BT$29:$BT$44))</f>
        <v/>
      </c>
      <c r="BT37" s="76" t="str">
        <f>IF(OR(BP37="",MOD(COUNT(AN37:BO37),2)=1),"",BP37*10000+BQ37*100+BR37)</f>
        <v/>
      </c>
    </row>
    <row r="38" spans="1:108" x14ac:dyDescent="0.15">
      <c r="A38" s="62"/>
      <c r="C38" s="938"/>
      <c r="D38" s="656"/>
      <c r="E38" s="657"/>
      <c r="F38" s="657"/>
      <c r="G38" s="657"/>
      <c r="H38" s="657"/>
      <c r="I38" s="657"/>
      <c r="J38" s="658"/>
      <c r="K38" s="656"/>
      <c r="L38" s="657"/>
      <c r="M38" s="657"/>
      <c r="N38" s="657"/>
      <c r="O38" s="657"/>
      <c r="P38" s="657"/>
      <c r="Q38" s="658"/>
      <c r="R38" s="640"/>
      <c r="S38" s="641"/>
      <c r="T38" s="641"/>
      <c r="U38" s="641"/>
      <c r="V38" s="641"/>
      <c r="W38" s="641"/>
      <c r="X38" s="642"/>
      <c r="Y38" s="193"/>
      <c r="AE38" s="194"/>
      <c r="AF38" s="608"/>
      <c r="AG38" s="608"/>
      <c r="AH38" s="608"/>
      <c r="AI38" s="608"/>
      <c r="AJ38" s="76"/>
      <c r="AK38" s="76"/>
      <c r="AM38" s="938"/>
      <c r="AN38" s="656"/>
      <c r="AO38" s="657"/>
      <c r="AP38" s="657"/>
      <c r="AQ38" s="657"/>
      <c r="AR38" s="657"/>
      <c r="AS38" s="657"/>
      <c r="AT38" s="658"/>
      <c r="AU38" s="656"/>
      <c r="AV38" s="657"/>
      <c r="AW38" s="657"/>
      <c r="AX38" s="657"/>
      <c r="AY38" s="657"/>
      <c r="AZ38" s="657"/>
      <c r="BA38" s="658"/>
      <c r="BB38" s="664"/>
      <c r="BC38" s="665"/>
      <c r="BD38" s="665"/>
      <c r="BE38" s="665"/>
      <c r="BF38" s="665"/>
      <c r="BG38" s="665"/>
      <c r="BH38" s="666"/>
      <c r="BI38" s="673"/>
      <c r="BJ38" s="674"/>
      <c r="BK38" s="674"/>
      <c r="BL38" s="674"/>
      <c r="BM38" s="674"/>
      <c r="BN38" s="674"/>
      <c r="BO38" s="675"/>
      <c r="BP38" s="608"/>
      <c r="BQ38" s="608"/>
      <c r="BR38" s="608"/>
      <c r="BS38" s="608"/>
      <c r="BT38" s="76"/>
    </row>
    <row r="39" spans="1:108" x14ac:dyDescent="0.15">
      <c r="A39" s="62"/>
      <c r="C39" s="938"/>
      <c r="D39" s="656"/>
      <c r="E39" s="657"/>
      <c r="F39" s="657"/>
      <c r="G39" s="657"/>
      <c r="H39" s="657"/>
      <c r="I39" s="657"/>
      <c r="J39" s="658"/>
      <c r="K39" s="656"/>
      <c r="L39" s="657"/>
      <c r="M39" s="657"/>
      <c r="N39" s="657"/>
      <c r="O39" s="657"/>
      <c r="P39" s="657"/>
      <c r="Q39" s="658"/>
      <c r="R39" s="640"/>
      <c r="S39" s="641"/>
      <c r="T39" s="641"/>
      <c r="U39" s="641"/>
      <c r="V39" s="641"/>
      <c r="W39" s="641"/>
      <c r="X39" s="642"/>
      <c r="Y39" s="193"/>
      <c r="AE39" s="194"/>
      <c r="AF39" s="608"/>
      <c r="AG39" s="608"/>
      <c r="AH39" s="608"/>
      <c r="AI39" s="608"/>
      <c r="AJ39" s="76"/>
      <c r="AK39" s="76"/>
      <c r="AM39" s="938"/>
      <c r="AN39" s="656"/>
      <c r="AO39" s="657"/>
      <c r="AP39" s="657"/>
      <c r="AQ39" s="657"/>
      <c r="AR39" s="657"/>
      <c r="AS39" s="657"/>
      <c r="AT39" s="658"/>
      <c r="AU39" s="656"/>
      <c r="AV39" s="657"/>
      <c r="AW39" s="657"/>
      <c r="AX39" s="657"/>
      <c r="AY39" s="657"/>
      <c r="AZ39" s="657"/>
      <c r="BA39" s="658"/>
      <c r="BB39" s="664"/>
      <c r="BC39" s="665"/>
      <c r="BD39" s="665"/>
      <c r="BE39" s="665"/>
      <c r="BF39" s="665"/>
      <c r="BG39" s="665"/>
      <c r="BH39" s="666"/>
      <c r="BI39" s="673"/>
      <c r="BJ39" s="674"/>
      <c r="BK39" s="674"/>
      <c r="BL39" s="674"/>
      <c r="BM39" s="674"/>
      <c r="BN39" s="674"/>
      <c r="BO39" s="675"/>
      <c r="BP39" s="608"/>
      <c r="BQ39" s="608"/>
      <c r="BR39" s="608"/>
      <c r="BS39" s="608"/>
      <c r="BT39" s="76"/>
    </row>
    <row r="40" spans="1:108" ht="3.75" customHeight="1" x14ac:dyDescent="0.15">
      <c r="A40" s="62"/>
      <c r="C40" s="938"/>
      <c r="D40" s="659"/>
      <c r="E40" s="660"/>
      <c r="F40" s="660"/>
      <c r="G40" s="660"/>
      <c r="H40" s="660"/>
      <c r="I40" s="660"/>
      <c r="J40" s="661"/>
      <c r="K40" s="659"/>
      <c r="L40" s="660"/>
      <c r="M40" s="660"/>
      <c r="N40" s="660"/>
      <c r="O40" s="660"/>
      <c r="P40" s="660"/>
      <c r="Q40" s="661"/>
      <c r="R40" s="643"/>
      <c r="S40" s="644"/>
      <c r="T40" s="644"/>
      <c r="U40" s="644"/>
      <c r="V40" s="644"/>
      <c r="W40" s="644"/>
      <c r="X40" s="645"/>
      <c r="Y40" s="195"/>
      <c r="Z40" s="196"/>
      <c r="AA40" s="196"/>
      <c r="AB40" s="197"/>
      <c r="AC40" s="196"/>
      <c r="AD40" s="196"/>
      <c r="AE40" s="198"/>
      <c r="AF40" s="608"/>
      <c r="AG40" s="608"/>
      <c r="AH40" s="608"/>
      <c r="AI40" s="608"/>
      <c r="AJ40" s="76"/>
      <c r="AK40" s="76"/>
      <c r="AM40" s="938"/>
      <c r="AN40" s="659"/>
      <c r="AO40" s="660"/>
      <c r="AP40" s="660"/>
      <c r="AQ40" s="660"/>
      <c r="AR40" s="660"/>
      <c r="AS40" s="660"/>
      <c r="AT40" s="661"/>
      <c r="AU40" s="659"/>
      <c r="AV40" s="660"/>
      <c r="AW40" s="660"/>
      <c r="AX40" s="660"/>
      <c r="AY40" s="660"/>
      <c r="AZ40" s="660"/>
      <c r="BA40" s="661"/>
      <c r="BB40" s="667"/>
      <c r="BC40" s="668"/>
      <c r="BD40" s="668"/>
      <c r="BE40" s="668"/>
      <c r="BF40" s="668"/>
      <c r="BG40" s="668"/>
      <c r="BH40" s="669"/>
      <c r="BI40" s="676"/>
      <c r="BJ40" s="677"/>
      <c r="BK40" s="677"/>
      <c r="BL40" s="677"/>
      <c r="BM40" s="677"/>
      <c r="BN40" s="677"/>
      <c r="BO40" s="678"/>
      <c r="BP40" s="608"/>
      <c r="BQ40" s="608"/>
      <c r="BR40" s="608"/>
      <c r="BS40" s="608"/>
      <c r="BT40" s="76"/>
    </row>
    <row r="41" spans="1:108" x14ac:dyDescent="0.15">
      <c r="A41" s="62"/>
      <c r="C41" s="937"/>
      <c r="D41" s="611"/>
      <c r="E41" s="611"/>
      <c r="F41" s="611"/>
      <c r="G41" s="75"/>
      <c r="H41" s="611"/>
      <c r="I41" s="611"/>
      <c r="J41" s="611"/>
      <c r="K41" s="611"/>
      <c r="L41" s="611"/>
      <c r="M41" s="611"/>
      <c r="N41" s="75"/>
      <c r="O41" s="611"/>
      <c r="P41" s="611"/>
      <c r="Q41" s="611"/>
      <c r="R41" s="611"/>
      <c r="S41" s="611"/>
      <c r="T41" s="611"/>
      <c r="U41" s="75"/>
      <c r="V41" s="611"/>
      <c r="W41" s="611"/>
      <c r="X41" s="611"/>
      <c r="Y41" s="937"/>
      <c r="Z41" s="937"/>
      <c r="AA41" s="937"/>
      <c r="AB41" s="192"/>
      <c r="AC41" s="937"/>
      <c r="AD41" s="937"/>
      <c r="AE41" s="937"/>
      <c r="AF41" s="937"/>
      <c r="AG41" s="937"/>
      <c r="AH41" s="937"/>
      <c r="AI41" s="937"/>
      <c r="AJ41" s="76"/>
      <c r="AK41" s="76"/>
      <c r="AL41" s="62">
        <v>14</v>
      </c>
      <c r="AM41" s="938" t="str">
        <f>IF(ISERROR(MATCH('南(14時刻)'!AL41,予選学校名!$H$3:$H$16,0)),"",INDEX(予選学校名!$H$3:$K$16,MATCH('南(14時刻)'!AL41,予選学校名!$H$3:$H$16,0),2))</f>
        <v/>
      </c>
      <c r="AN41" s="653" t="s">
        <v>170</v>
      </c>
      <c r="AO41" s="654"/>
      <c r="AP41" s="654"/>
      <c r="AQ41" s="654"/>
      <c r="AR41" s="654"/>
      <c r="AS41" s="654"/>
      <c r="AT41" s="655"/>
      <c r="AU41" s="653" t="s">
        <v>172</v>
      </c>
      <c r="AV41" s="654"/>
      <c r="AW41" s="654"/>
      <c r="AX41" s="654"/>
      <c r="AY41" s="654"/>
      <c r="AZ41" s="654"/>
      <c r="BA41" s="655"/>
      <c r="BB41" s="653" t="s">
        <v>166</v>
      </c>
      <c r="BC41" s="654"/>
      <c r="BD41" s="654"/>
      <c r="BE41" s="654"/>
      <c r="BF41" s="654"/>
      <c r="BG41" s="654"/>
      <c r="BH41" s="655"/>
      <c r="BI41" s="662"/>
      <c r="BJ41" s="637"/>
      <c r="BK41" s="637"/>
      <c r="BL41" s="637"/>
      <c r="BM41" s="637"/>
      <c r="BN41" s="637"/>
      <c r="BO41" s="663"/>
      <c r="BP41" s="608" t="str">
        <f>IF(COUNT(AN42:BO42)=0,"",COUNTIF(AN41:BO41,"○")*3+COUNTIF(AN41:BO41,"△"))</f>
        <v/>
      </c>
      <c r="BQ41" s="608" t="str">
        <f>IF(BP41="","",SUM(BM29:BM44)/2-SUM(BI29:BI44))</f>
        <v/>
      </c>
      <c r="BR41" s="608" t="str">
        <f>IF(BP41="","",SUM(BM29:BM44)/2)</f>
        <v/>
      </c>
      <c r="BS41" s="608" t="str">
        <f>IF(OR(BP41="",MOD(COUNT(AN41:BO41),2)=1),"",RANK(BT41,$BT$29:$BT$44))</f>
        <v/>
      </c>
      <c r="BT41" s="76" t="str">
        <f>IF(OR(BP41="",MOD(COUNT(AN41:BO41),2)=1),"",BP41*10000+BQ41*100+BR41)</f>
        <v/>
      </c>
      <c r="BW41" s="635" t="s">
        <v>93</v>
      </c>
      <c r="BX41" s="635"/>
      <c r="BY41" s="635"/>
      <c r="BZ41" s="635"/>
      <c r="CA41" s="635"/>
      <c r="CB41" s="635"/>
      <c r="CC41" s="635"/>
      <c r="CD41" s="635"/>
      <c r="CE41" s="635"/>
      <c r="CF41" s="635"/>
      <c r="CG41" s="635"/>
      <c r="CH41" s="635"/>
      <c r="CI41" s="635"/>
      <c r="CJ41" s="635"/>
      <c r="CK41" s="635"/>
      <c r="CL41" s="635"/>
      <c r="CM41" s="635"/>
      <c r="CN41" s="635"/>
      <c r="CO41" s="635"/>
      <c r="CP41" s="635"/>
      <c r="CQ41" s="635"/>
      <c r="CR41" s="635"/>
      <c r="CS41" s="635"/>
      <c r="CT41" s="635"/>
      <c r="CU41" s="635"/>
      <c r="CV41" s="635"/>
      <c r="CW41" s="635"/>
    </row>
    <row r="42" spans="1:108" x14ac:dyDescent="0.15">
      <c r="A42" s="62"/>
      <c r="C42" s="615"/>
      <c r="AF42" s="615"/>
      <c r="AG42" s="615"/>
      <c r="AH42" s="615"/>
      <c r="AI42" s="615"/>
      <c r="AJ42" s="76"/>
      <c r="AK42" s="76"/>
      <c r="AM42" s="938"/>
      <c r="AN42" s="656"/>
      <c r="AO42" s="657"/>
      <c r="AP42" s="657"/>
      <c r="AQ42" s="657"/>
      <c r="AR42" s="657"/>
      <c r="AS42" s="657"/>
      <c r="AT42" s="658"/>
      <c r="AU42" s="656"/>
      <c r="AV42" s="657"/>
      <c r="AW42" s="657"/>
      <c r="AX42" s="657"/>
      <c r="AY42" s="657"/>
      <c r="AZ42" s="657"/>
      <c r="BA42" s="658"/>
      <c r="BB42" s="656"/>
      <c r="BC42" s="657"/>
      <c r="BD42" s="657"/>
      <c r="BE42" s="657"/>
      <c r="BF42" s="657"/>
      <c r="BG42" s="657"/>
      <c r="BH42" s="658"/>
      <c r="BI42" s="664"/>
      <c r="BJ42" s="665"/>
      <c r="BK42" s="665"/>
      <c r="BL42" s="665"/>
      <c r="BM42" s="665"/>
      <c r="BN42" s="665"/>
      <c r="BO42" s="666"/>
      <c r="BP42" s="608"/>
      <c r="BQ42" s="608"/>
      <c r="BR42" s="608"/>
      <c r="BS42" s="608"/>
      <c r="BT42" s="76"/>
      <c r="BW42" s="635"/>
      <c r="BX42" s="635"/>
      <c r="BY42" s="635"/>
      <c r="BZ42" s="635"/>
      <c r="CA42" s="635"/>
      <c r="CB42" s="635"/>
      <c r="CC42" s="635"/>
      <c r="CD42" s="635"/>
      <c r="CE42" s="635"/>
      <c r="CF42" s="635"/>
      <c r="CG42" s="635"/>
      <c r="CH42" s="635"/>
      <c r="CI42" s="635"/>
      <c r="CJ42" s="635"/>
      <c r="CK42" s="635"/>
      <c r="CL42" s="635"/>
      <c r="CM42" s="635"/>
      <c r="CN42" s="635"/>
      <c r="CO42" s="635"/>
      <c r="CP42" s="635"/>
      <c r="CQ42" s="635"/>
      <c r="CR42" s="635"/>
      <c r="CS42" s="635"/>
      <c r="CT42" s="635"/>
      <c r="CU42" s="635"/>
      <c r="CV42" s="635"/>
      <c r="CW42" s="635"/>
    </row>
    <row r="43" spans="1:108" x14ac:dyDescent="0.15">
      <c r="A43" s="62"/>
      <c r="C43" s="615"/>
      <c r="AF43" s="615"/>
      <c r="AG43" s="615"/>
      <c r="AH43" s="615"/>
      <c r="AI43" s="615"/>
      <c r="AJ43" s="76"/>
      <c r="AK43" s="76"/>
      <c r="AM43" s="938"/>
      <c r="AN43" s="656"/>
      <c r="AO43" s="657"/>
      <c r="AP43" s="657"/>
      <c r="AQ43" s="657"/>
      <c r="AR43" s="657"/>
      <c r="AS43" s="657"/>
      <c r="AT43" s="658"/>
      <c r="AU43" s="656"/>
      <c r="AV43" s="657"/>
      <c r="AW43" s="657"/>
      <c r="AX43" s="657"/>
      <c r="AY43" s="657"/>
      <c r="AZ43" s="657"/>
      <c r="BA43" s="658"/>
      <c r="BB43" s="656"/>
      <c r="BC43" s="657"/>
      <c r="BD43" s="657"/>
      <c r="BE43" s="657"/>
      <c r="BF43" s="657"/>
      <c r="BG43" s="657"/>
      <c r="BH43" s="658"/>
      <c r="BI43" s="664"/>
      <c r="BJ43" s="665"/>
      <c r="BK43" s="665"/>
      <c r="BL43" s="665"/>
      <c r="BM43" s="665"/>
      <c r="BN43" s="665"/>
      <c r="BO43" s="666"/>
      <c r="BP43" s="608"/>
      <c r="BQ43" s="608"/>
      <c r="BR43" s="608"/>
      <c r="BS43" s="608"/>
      <c r="BT43" s="76"/>
      <c r="BW43" s="635"/>
      <c r="BX43" s="635"/>
      <c r="BY43" s="635"/>
      <c r="BZ43" s="635"/>
      <c r="CA43" s="635"/>
      <c r="CB43" s="635"/>
      <c r="CC43" s="635"/>
      <c r="CD43" s="635"/>
      <c r="CE43" s="635"/>
      <c r="CF43" s="635"/>
      <c r="CG43" s="635"/>
      <c r="CH43" s="635"/>
      <c r="CI43" s="635"/>
      <c r="CJ43" s="635"/>
      <c r="CK43" s="635"/>
      <c r="CL43" s="635"/>
      <c r="CM43" s="635"/>
      <c r="CN43" s="635"/>
      <c r="CO43" s="635"/>
      <c r="CP43" s="635"/>
      <c r="CQ43" s="635"/>
      <c r="CR43" s="635"/>
      <c r="CS43" s="635"/>
      <c r="CT43" s="635"/>
      <c r="CU43" s="635"/>
      <c r="CV43" s="635"/>
      <c r="CW43" s="635"/>
    </row>
    <row r="44" spans="1:108" ht="3.75" customHeight="1" x14ac:dyDescent="0.15">
      <c r="A44" s="62"/>
      <c r="C44" s="615"/>
      <c r="AF44" s="615"/>
      <c r="AG44" s="615"/>
      <c r="AH44" s="615"/>
      <c r="AI44" s="615"/>
      <c r="AJ44" s="76"/>
      <c r="AK44" s="76"/>
      <c r="AM44" s="938"/>
      <c r="AN44" s="659"/>
      <c r="AO44" s="660"/>
      <c r="AP44" s="660"/>
      <c r="AQ44" s="660"/>
      <c r="AR44" s="660"/>
      <c r="AS44" s="660"/>
      <c r="AT44" s="661"/>
      <c r="AU44" s="659"/>
      <c r="AV44" s="660"/>
      <c r="AW44" s="660"/>
      <c r="AX44" s="660"/>
      <c r="AY44" s="660"/>
      <c r="AZ44" s="660"/>
      <c r="BA44" s="661"/>
      <c r="BB44" s="659"/>
      <c r="BC44" s="660"/>
      <c r="BD44" s="660"/>
      <c r="BE44" s="660"/>
      <c r="BF44" s="660"/>
      <c r="BG44" s="660"/>
      <c r="BH44" s="661"/>
      <c r="BI44" s="667"/>
      <c r="BJ44" s="668"/>
      <c r="BK44" s="668"/>
      <c r="BL44" s="668"/>
      <c r="BM44" s="668"/>
      <c r="BN44" s="668"/>
      <c r="BO44" s="669"/>
      <c r="BP44" s="608"/>
      <c r="BQ44" s="608"/>
      <c r="BR44" s="608"/>
      <c r="BS44" s="608"/>
      <c r="BT44" s="76"/>
    </row>
    <row r="46" spans="1:108" ht="43.5" customHeight="1" x14ac:dyDescent="0.15">
      <c r="A46" s="62"/>
      <c r="F46" s="31"/>
      <c r="G46" s="31"/>
      <c r="H46" s="31"/>
      <c r="M46" s="31"/>
      <c r="BW46" s="86" t="e">
        <f>"【決勝トーナメント："&amp;BZ1+2&amp;"日】(県体出場決定)"</f>
        <v>#REF!</v>
      </c>
      <c r="CU46" s="86" t="e">
        <f>"【第5代表決定トーナメント："&amp;BZ1+2&amp;"日】"</f>
        <v>#REF!</v>
      </c>
    </row>
    <row r="47" spans="1:108" ht="22.5" customHeight="1" x14ac:dyDescent="0.15">
      <c r="A47" s="62"/>
      <c r="BZ47" s="624" t="s">
        <v>95</v>
      </c>
      <c r="CA47" s="624"/>
      <c r="CB47" s="624"/>
      <c r="CC47" s="200" t="str">
        <f>IF(I3="","",I3)</f>
        <v/>
      </c>
      <c r="CX47" s="624" t="s">
        <v>148</v>
      </c>
      <c r="CY47" s="624"/>
      <c r="CZ47" s="624"/>
      <c r="DA47" s="62" t="str">
        <f>IF(AP3="","",AP3)</f>
        <v/>
      </c>
    </row>
    <row r="48" spans="1:108" x14ac:dyDescent="0.15">
      <c r="A48" s="62"/>
      <c r="CF48" s="620"/>
      <c r="DD48" s="620"/>
    </row>
    <row r="49" spans="1:118" x14ac:dyDescent="0.15">
      <c r="CD49" s="624" t="str">
        <f>IF(CD52="","",SUM(CD52:CE55))</f>
        <v/>
      </c>
      <c r="CE49" s="624"/>
      <c r="CF49" s="620"/>
      <c r="CH49" s="621" t="str">
        <f>IF(CH52="","",SUM(CH52:CI55))</f>
        <v/>
      </c>
      <c r="CI49" s="621"/>
      <c r="DB49" s="624" t="str">
        <f>IF(DB52="","",SUM(DB52:DC55))</f>
        <v/>
      </c>
      <c r="DC49" s="624"/>
      <c r="DD49" s="620"/>
      <c r="DF49" s="621" t="str">
        <f>IF(DF52="","",SUM(DF52:DG55))</f>
        <v/>
      </c>
      <c r="DG49" s="621"/>
    </row>
    <row r="50" spans="1:118" s="85" customFormat="1" hidden="1" x14ac:dyDescent="0.15">
      <c r="A50" s="88"/>
      <c r="D50" s="88"/>
      <c r="E50" s="88"/>
      <c r="F50" s="89"/>
      <c r="G50" s="90"/>
      <c r="H50" s="91"/>
      <c r="I50" s="88"/>
      <c r="J50" s="88"/>
      <c r="K50" s="88"/>
      <c r="L50" s="88"/>
      <c r="M50" s="89"/>
      <c r="N50" s="90"/>
      <c r="O50" s="91"/>
      <c r="P50" s="88"/>
      <c r="Q50" s="88"/>
      <c r="R50" s="88"/>
      <c r="S50" s="88"/>
      <c r="T50" s="89"/>
      <c r="U50" s="90"/>
      <c r="V50" s="91"/>
      <c r="W50" s="88"/>
      <c r="X50" s="88"/>
      <c r="AB50" s="92"/>
      <c r="AN50" s="88"/>
      <c r="AO50" s="88"/>
      <c r="AP50" s="89"/>
      <c r="AQ50" s="90"/>
      <c r="AR50" s="91"/>
      <c r="AS50" s="88"/>
      <c r="AT50" s="88"/>
      <c r="AU50" s="88"/>
      <c r="AV50" s="88"/>
      <c r="AW50" s="89"/>
      <c r="AX50" s="90"/>
      <c r="AY50" s="91"/>
      <c r="AZ50" s="88"/>
      <c r="BA50" s="88"/>
      <c r="BB50" s="88"/>
      <c r="BC50" s="88"/>
      <c r="BD50" s="89"/>
      <c r="BE50" s="90"/>
      <c r="BF50" s="91"/>
      <c r="BG50" s="88"/>
      <c r="BH50" s="88"/>
      <c r="BI50" s="88"/>
      <c r="BJ50" s="88"/>
      <c r="BK50" s="89"/>
      <c r="BL50" s="90"/>
      <c r="BM50" s="91"/>
      <c r="BN50" s="88"/>
      <c r="BO50" s="88"/>
      <c r="CD50" s="629" t="str">
        <f>IF(CD52="","",SUM(CD52:CE56))</f>
        <v/>
      </c>
      <c r="CE50" s="629"/>
      <c r="CF50" s="620"/>
      <c r="CH50" s="630" t="str">
        <f>IF(CH52="","",SUM(CH52:CI56))</f>
        <v/>
      </c>
      <c r="CI50" s="630"/>
      <c r="DB50" s="629" t="str">
        <f>IF(DB52="","",SUM(DB52:DC56))</f>
        <v/>
      </c>
      <c r="DC50" s="629"/>
      <c r="DD50" s="620"/>
      <c r="DF50" s="630" t="str">
        <f>IF(DF52="","",SUM(DF52:DG56))</f>
        <v/>
      </c>
      <c r="DG50" s="630"/>
    </row>
    <row r="51" spans="1:118" ht="7.5" customHeight="1" thickBot="1" x14ac:dyDescent="0.2">
      <c r="CA51" s="625"/>
      <c r="CB51" s="625"/>
      <c r="CC51" s="625"/>
      <c r="CD51" s="625"/>
      <c r="CE51" s="625"/>
      <c r="CF51" s="632"/>
      <c r="CG51" s="625"/>
      <c r="CH51" s="625"/>
      <c r="CI51" s="625"/>
      <c r="CJ51" s="625"/>
      <c r="CK51" s="625"/>
      <c r="CL51" s="625"/>
      <c r="CY51" s="625"/>
      <c r="CZ51" s="625"/>
      <c r="DA51" s="625"/>
      <c r="DB51" s="625"/>
      <c r="DC51" s="625"/>
      <c r="DD51" s="632"/>
      <c r="DE51" s="625"/>
      <c r="DF51" s="625"/>
      <c r="DG51" s="625"/>
      <c r="DH51" s="625"/>
      <c r="DI51" s="625"/>
      <c r="DJ51" s="625"/>
    </row>
    <row r="52" spans="1:118" ht="14.25" customHeight="1" thickTop="1" x14ac:dyDescent="0.15">
      <c r="BX52" s="631" t="str">
        <f>IF(BX58=CB58,"",IF(CB58&lt;BX58,BW66,CC66))</f>
        <v/>
      </c>
      <c r="BY52" s="631"/>
      <c r="BZ52" s="620"/>
      <c r="CD52" s="624"/>
      <c r="CE52" s="624"/>
      <c r="CF52" s="615" t="s">
        <v>92</v>
      </c>
      <c r="CG52" s="615"/>
      <c r="CH52" s="621"/>
      <c r="CI52" s="621"/>
      <c r="CM52" s="619"/>
      <c r="CN52" s="628" t="str">
        <f>IF(CJ58=CN58,"",IF(CN58&lt;CJ58,CI66,CO66))</f>
        <v/>
      </c>
      <c r="CO52" s="628"/>
      <c r="CV52" s="631" t="str">
        <f>IF(CV58=CZ58,"",IF(CZ58&lt;CV58,CU66,DA66))</f>
        <v/>
      </c>
      <c r="CW52" s="631"/>
      <c r="CX52" s="620"/>
      <c r="DB52" s="624"/>
      <c r="DC52" s="624"/>
      <c r="DD52" s="615" t="s">
        <v>92</v>
      </c>
      <c r="DE52" s="615"/>
      <c r="DF52" s="621"/>
      <c r="DG52" s="621"/>
      <c r="DK52" s="619"/>
      <c r="DL52" s="628" t="str">
        <f>IF(DH58=DL58,"",IF(DL58&lt;DH58,DG66,DM66))</f>
        <v/>
      </c>
      <c r="DM52" s="628"/>
    </row>
    <row r="53" spans="1:118" x14ac:dyDescent="0.15">
      <c r="BX53" s="631"/>
      <c r="BY53" s="631"/>
      <c r="BZ53" s="620"/>
      <c r="CD53" s="624"/>
      <c r="CE53" s="624"/>
      <c r="CF53" s="615" t="s">
        <v>92</v>
      </c>
      <c r="CG53" s="615"/>
      <c r="CH53" s="621"/>
      <c r="CI53" s="621"/>
      <c r="CM53" s="619"/>
      <c r="CN53" s="628"/>
      <c r="CO53" s="628"/>
      <c r="CV53" s="631"/>
      <c r="CW53" s="631"/>
      <c r="CX53" s="620"/>
      <c r="DB53" s="624"/>
      <c r="DC53" s="624"/>
      <c r="DD53" s="615" t="s">
        <v>92</v>
      </c>
      <c r="DE53" s="615"/>
      <c r="DF53" s="621"/>
      <c r="DG53" s="621"/>
      <c r="DK53" s="619"/>
      <c r="DL53" s="628"/>
      <c r="DM53" s="628"/>
    </row>
    <row r="54" spans="1:118" x14ac:dyDescent="0.15">
      <c r="A54" s="31" t="str">
        <f>IF(CD50=CH50,"",IF(BX52=BW66,CC66,BW66))</f>
        <v/>
      </c>
      <c r="BX54" s="631"/>
      <c r="BY54" s="631"/>
      <c r="BZ54" s="620"/>
      <c r="CD54" s="624"/>
      <c r="CE54" s="624"/>
      <c r="CF54" s="615" t="str">
        <f>IF(CD54="","","－")</f>
        <v/>
      </c>
      <c r="CG54" s="615"/>
      <c r="CH54" s="621"/>
      <c r="CI54" s="621"/>
      <c r="CM54" s="619"/>
      <c r="CN54" s="628"/>
      <c r="CO54" s="628"/>
      <c r="CV54" s="631"/>
      <c r="CW54" s="631"/>
      <c r="CX54" s="620"/>
      <c r="DB54" s="624"/>
      <c r="DC54" s="624"/>
      <c r="DD54" s="615" t="str">
        <f>IF(DB54="","","－")</f>
        <v/>
      </c>
      <c r="DE54" s="615"/>
      <c r="DF54" s="621"/>
      <c r="DG54" s="621"/>
      <c r="DK54" s="619"/>
      <c r="DL54" s="628"/>
      <c r="DM54" s="628"/>
    </row>
    <row r="55" spans="1:118" x14ac:dyDescent="0.15">
      <c r="A55" s="31" t="str">
        <f>IF(CD50=CH50,"",IF(CN52=CO66,CI66,BW66))</f>
        <v/>
      </c>
      <c r="BX55" s="631"/>
      <c r="BY55" s="631"/>
      <c r="BZ55" s="620"/>
      <c r="CD55" s="634" t="s">
        <v>176</v>
      </c>
      <c r="CE55" s="634"/>
      <c r="CF55" s="634"/>
      <c r="CG55" s="634"/>
      <c r="CH55" s="634"/>
      <c r="CI55" s="634"/>
      <c r="CM55" s="619"/>
      <c r="CN55" s="628"/>
      <c r="CO55" s="628"/>
      <c r="CV55" s="631"/>
      <c r="CW55" s="631"/>
      <c r="CX55" s="620"/>
      <c r="DB55" s="634" t="s">
        <v>187</v>
      </c>
      <c r="DC55" s="634"/>
      <c r="DD55" s="634"/>
      <c r="DE55" s="634"/>
      <c r="DF55" s="634"/>
      <c r="DG55" s="634"/>
      <c r="DK55" s="619"/>
      <c r="DL55" s="628"/>
      <c r="DM55" s="628"/>
    </row>
    <row r="56" spans="1:118" x14ac:dyDescent="0.15">
      <c r="BZ56" s="620"/>
      <c r="CD56" s="746">
        <v>0.60416666666666663</v>
      </c>
      <c r="CE56" s="746"/>
      <c r="CF56" s="746"/>
      <c r="CG56" s="746"/>
      <c r="CH56" s="746"/>
      <c r="CI56" s="746"/>
      <c r="CM56" s="619"/>
      <c r="CX56" s="620"/>
      <c r="DB56" s="746">
        <v>0.60416666666666663</v>
      </c>
      <c r="DC56" s="746"/>
      <c r="DD56" s="746"/>
      <c r="DE56" s="746"/>
      <c r="DF56" s="746"/>
      <c r="DG56" s="746"/>
      <c r="DK56" s="619"/>
    </row>
    <row r="57" spans="1:118" x14ac:dyDescent="0.15">
      <c r="BX57" s="624" t="str">
        <f>IF(BX60="","",SUM(BX60:BY63))</f>
        <v/>
      </c>
      <c r="BY57" s="624"/>
      <c r="BZ57" s="620"/>
      <c r="CB57" s="621" t="str">
        <f>IF(CB60="","",SUM(CB60:CC63))</f>
        <v/>
      </c>
      <c r="CC57" s="621"/>
      <c r="CF57" s="615"/>
      <c r="CG57" s="615"/>
      <c r="CJ57" s="624" t="str">
        <f>IF(CJ60="","",SUM(CJ60:CK63))</f>
        <v/>
      </c>
      <c r="CK57" s="624"/>
      <c r="CM57" s="619"/>
      <c r="CN57" s="621" t="str">
        <f>IF(CN60="","",SUM(CN60:CO63))</f>
        <v/>
      </c>
      <c r="CO57" s="621"/>
      <c r="CV57" s="624" t="str">
        <f>IF(CV60="","",SUM(CV60:CW63))</f>
        <v/>
      </c>
      <c r="CW57" s="624"/>
      <c r="CX57" s="620"/>
      <c r="CZ57" s="621" t="str">
        <f>IF(CZ60="","",SUM(CZ60:DA63))</f>
        <v/>
      </c>
      <c r="DA57" s="621"/>
      <c r="DD57" s="615"/>
      <c r="DE57" s="615"/>
      <c r="DH57" s="624" t="str">
        <f>IF(DH60="","",SUM(DH60:DI63))</f>
        <v/>
      </c>
      <c r="DI57" s="624"/>
      <c r="DK57" s="619"/>
      <c r="DL57" s="621" t="str">
        <f>IF(DL60="","",SUM(DL60:DM63))</f>
        <v/>
      </c>
      <c r="DM57" s="621"/>
    </row>
    <row r="58" spans="1:118" s="85" customFormat="1" hidden="1" x14ac:dyDescent="0.15">
      <c r="A58" s="88"/>
      <c r="D58" s="88"/>
      <c r="E58" s="88"/>
      <c r="F58" s="89"/>
      <c r="G58" s="90"/>
      <c r="H58" s="91"/>
      <c r="I58" s="88"/>
      <c r="J58" s="88"/>
      <c r="K58" s="88"/>
      <c r="L58" s="88"/>
      <c r="M58" s="89"/>
      <c r="N58" s="90"/>
      <c r="O58" s="91"/>
      <c r="P58" s="88"/>
      <c r="Q58" s="88"/>
      <c r="R58" s="88"/>
      <c r="S58" s="88"/>
      <c r="T58" s="89"/>
      <c r="U58" s="90"/>
      <c r="V58" s="91"/>
      <c r="W58" s="88"/>
      <c r="X58" s="88"/>
      <c r="AB58" s="92"/>
      <c r="AN58" s="88"/>
      <c r="AO58" s="88"/>
      <c r="AP58" s="89"/>
      <c r="AQ58" s="90"/>
      <c r="AR58" s="91"/>
      <c r="AS58" s="88"/>
      <c r="AT58" s="88"/>
      <c r="AU58" s="88"/>
      <c r="AV58" s="88"/>
      <c r="AW58" s="89"/>
      <c r="AX58" s="90"/>
      <c r="AY58" s="91"/>
      <c r="AZ58" s="88"/>
      <c r="BA58" s="88"/>
      <c r="BB58" s="88"/>
      <c r="BC58" s="88"/>
      <c r="BD58" s="89"/>
      <c r="BE58" s="90"/>
      <c r="BF58" s="91"/>
      <c r="BG58" s="88"/>
      <c r="BH58" s="88"/>
      <c r="BI58" s="88"/>
      <c r="BJ58" s="88"/>
      <c r="BK58" s="89"/>
      <c r="BL58" s="90"/>
      <c r="BM58" s="91"/>
      <c r="BN58" s="88"/>
      <c r="BO58" s="88"/>
      <c r="BX58" s="629" t="str">
        <f>IF(BX60="","",SUM(BX60:BY64))</f>
        <v/>
      </c>
      <c r="BY58" s="629"/>
      <c r="BZ58" s="620"/>
      <c r="CB58" s="630" t="str">
        <f>IF(CB60="","",SUM(CB60:CC64))</f>
        <v/>
      </c>
      <c r="CC58" s="630"/>
      <c r="CJ58" s="629" t="str">
        <f>IF(CJ60="","",SUM(CJ60:CK64))</f>
        <v/>
      </c>
      <c r="CK58" s="629"/>
      <c r="CM58" s="619"/>
      <c r="CN58" s="630" t="str">
        <f>IF(CN60="","",SUM(CN60:CO64))</f>
        <v/>
      </c>
      <c r="CO58" s="630"/>
      <c r="CV58" s="629" t="str">
        <f>IF(CV60="","",SUM(CV60:CW64))</f>
        <v/>
      </c>
      <c r="CW58" s="629"/>
      <c r="CX58" s="620"/>
      <c r="CZ58" s="630" t="str">
        <f>IF(CZ60="","",SUM(CZ60:DA64))</f>
        <v/>
      </c>
      <c r="DA58" s="630"/>
      <c r="DH58" s="629" t="str">
        <f>IF(DH60="","",SUM(DH60:DI64))</f>
        <v/>
      </c>
      <c r="DI58" s="629"/>
      <c r="DK58" s="619"/>
      <c r="DL58" s="630" t="str">
        <f>IF(DL60="","",SUM(DL60:DM64))</f>
        <v/>
      </c>
      <c r="DM58" s="630"/>
    </row>
    <row r="59" spans="1:118" ht="7.5" customHeight="1" x14ac:dyDescent="0.15">
      <c r="BX59" s="615"/>
      <c r="BY59" s="615"/>
      <c r="BZ59" s="620"/>
      <c r="CA59" s="615"/>
      <c r="CB59" s="615"/>
      <c r="CC59" s="615"/>
      <c r="CJ59" s="615"/>
      <c r="CK59" s="615"/>
      <c r="CL59" s="615"/>
      <c r="CM59" s="619"/>
      <c r="CN59" s="615"/>
      <c r="CO59" s="615"/>
      <c r="CV59" s="615"/>
      <c r="CW59" s="615"/>
      <c r="CX59" s="620"/>
      <c r="CY59" s="615"/>
      <c r="CZ59" s="615"/>
      <c r="DA59" s="615"/>
      <c r="DH59" s="615"/>
      <c r="DI59" s="615"/>
      <c r="DJ59" s="615"/>
      <c r="DK59" s="619"/>
      <c r="DL59" s="615"/>
      <c r="DM59" s="615"/>
    </row>
    <row r="60" spans="1:118" x14ac:dyDescent="0.15">
      <c r="BW60" s="615"/>
      <c r="BX60" s="1002"/>
      <c r="BY60" s="1003"/>
      <c r="BZ60" s="937" t="s">
        <v>92</v>
      </c>
      <c r="CA60" s="937"/>
      <c r="CB60" s="1004"/>
      <c r="CC60" s="1005"/>
      <c r="CD60" s="615"/>
      <c r="CI60" s="615"/>
      <c r="CJ60" s="1002"/>
      <c r="CK60" s="1003"/>
      <c r="CL60" s="937" t="s">
        <v>92</v>
      </c>
      <c r="CM60" s="937"/>
      <c r="CN60" s="1004"/>
      <c r="CO60" s="1005"/>
      <c r="CP60" s="615"/>
      <c r="CU60" s="615"/>
      <c r="CV60" s="1002"/>
      <c r="CW60" s="1003"/>
      <c r="CX60" s="937" t="s">
        <v>92</v>
      </c>
      <c r="CY60" s="937"/>
      <c r="CZ60" s="1004"/>
      <c r="DA60" s="1005"/>
      <c r="DB60" s="615"/>
      <c r="DG60" s="615"/>
      <c r="DH60" s="1002"/>
      <c r="DI60" s="1003"/>
      <c r="DJ60" s="937" t="s">
        <v>92</v>
      </c>
      <c r="DK60" s="937"/>
      <c r="DL60" s="1004"/>
      <c r="DM60" s="1005"/>
      <c r="DN60" s="615"/>
    </row>
    <row r="61" spans="1:118" x14ac:dyDescent="0.15">
      <c r="BW61" s="615"/>
      <c r="BX61" s="1000"/>
      <c r="BY61" s="624"/>
      <c r="BZ61" s="615" t="s">
        <v>92</v>
      </c>
      <c r="CA61" s="615"/>
      <c r="CB61" s="621"/>
      <c r="CC61" s="1001"/>
      <c r="CD61" s="615"/>
      <c r="CI61" s="615"/>
      <c r="CJ61" s="1000"/>
      <c r="CK61" s="624"/>
      <c r="CL61" s="615" t="s">
        <v>92</v>
      </c>
      <c r="CM61" s="615"/>
      <c r="CN61" s="621"/>
      <c r="CO61" s="1001"/>
      <c r="CP61" s="615"/>
      <c r="CU61" s="615"/>
      <c r="CV61" s="1000"/>
      <c r="CW61" s="624"/>
      <c r="CX61" s="615" t="s">
        <v>92</v>
      </c>
      <c r="CY61" s="615"/>
      <c r="CZ61" s="621"/>
      <c r="DA61" s="1001"/>
      <c r="DB61" s="615"/>
      <c r="DG61" s="615"/>
      <c r="DH61" s="1000"/>
      <c r="DI61" s="624"/>
      <c r="DJ61" s="615" t="s">
        <v>92</v>
      </c>
      <c r="DK61" s="615"/>
      <c r="DL61" s="621"/>
      <c r="DM61" s="1001"/>
      <c r="DN61" s="615"/>
    </row>
    <row r="62" spans="1:118" x14ac:dyDescent="0.15">
      <c r="BW62" s="615"/>
      <c r="BX62" s="1000"/>
      <c r="BY62" s="624"/>
      <c r="BZ62" s="615" t="str">
        <f>IF(BX62="","","－")</f>
        <v/>
      </c>
      <c r="CA62" s="615"/>
      <c r="CB62" s="621"/>
      <c r="CC62" s="1001"/>
      <c r="CD62" s="615"/>
      <c r="CI62" s="615"/>
      <c r="CJ62" s="1000"/>
      <c r="CK62" s="624"/>
      <c r="CL62" s="615" t="str">
        <f>IF(CJ62="","","－")</f>
        <v/>
      </c>
      <c r="CM62" s="615"/>
      <c r="CN62" s="621"/>
      <c r="CO62" s="1001"/>
      <c r="CP62" s="615"/>
      <c r="CU62" s="615"/>
      <c r="CV62" s="1000"/>
      <c r="CW62" s="624"/>
      <c r="CX62" s="615" t="str">
        <f>IF(CV62="","","－")</f>
        <v/>
      </c>
      <c r="CY62" s="615"/>
      <c r="CZ62" s="621"/>
      <c r="DA62" s="1001"/>
      <c r="DB62" s="615"/>
      <c r="DG62" s="615"/>
      <c r="DH62" s="1000"/>
      <c r="DI62" s="624"/>
      <c r="DJ62" s="615" t="str">
        <f>IF(DH62="","","－")</f>
        <v/>
      </c>
      <c r="DK62" s="615"/>
      <c r="DL62" s="621"/>
      <c r="DM62" s="1001"/>
      <c r="DN62" s="615"/>
    </row>
    <row r="63" spans="1:118" x14ac:dyDescent="0.15">
      <c r="BW63" s="615"/>
      <c r="BX63" s="752" t="s">
        <v>176</v>
      </c>
      <c r="BY63" s="634"/>
      <c r="BZ63" s="634"/>
      <c r="CA63" s="634"/>
      <c r="CB63" s="634"/>
      <c r="CC63" s="750"/>
      <c r="CD63" s="615"/>
      <c r="CI63" s="615"/>
      <c r="CJ63" s="752" t="s">
        <v>176</v>
      </c>
      <c r="CK63" s="634"/>
      <c r="CL63" s="634"/>
      <c r="CM63" s="634"/>
      <c r="CN63" s="634"/>
      <c r="CO63" s="750"/>
      <c r="CP63" s="615"/>
      <c r="CU63" s="615"/>
      <c r="CV63" s="752" t="s">
        <v>187</v>
      </c>
      <c r="CW63" s="634"/>
      <c r="CX63" s="634"/>
      <c r="CY63" s="634"/>
      <c r="CZ63" s="634"/>
      <c r="DA63" s="750"/>
      <c r="DB63" s="615"/>
      <c r="DG63" s="615"/>
      <c r="DH63" s="752" t="s">
        <v>187</v>
      </c>
      <c r="DI63" s="634"/>
      <c r="DJ63" s="634"/>
      <c r="DK63" s="634"/>
      <c r="DL63" s="634"/>
      <c r="DM63" s="750"/>
      <c r="DN63" s="615"/>
    </row>
    <row r="64" spans="1:118" x14ac:dyDescent="0.15">
      <c r="BW64" s="615"/>
      <c r="BX64" s="766">
        <v>0.375</v>
      </c>
      <c r="BY64" s="739"/>
      <c r="BZ64" s="739"/>
      <c r="CA64" s="739"/>
      <c r="CB64" s="739"/>
      <c r="CC64" s="767"/>
      <c r="CD64" s="615"/>
      <c r="CI64" s="615"/>
      <c r="CJ64" s="753">
        <v>0.44444444444444442</v>
      </c>
      <c r="CK64" s="746"/>
      <c r="CL64" s="746"/>
      <c r="CM64" s="746"/>
      <c r="CN64" s="746"/>
      <c r="CO64" s="958"/>
      <c r="CP64" s="615"/>
      <c r="CU64" s="615"/>
      <c r="CV64" s="753">
        <v>0.375</v>
      </c>
      <c r="CW64" s="746"/>
      <c r="CX64" s="746"/>
      <c r="CY64" s="746"/>
      <c r="CZ64" s="746"/>
      <c r="DA64" s="958"/>
      <c r="DB64" s="615"/>
      <c r="DG64" s="615"/>
      <c r="DH64" s="753">
        <v>0.44444444444444442</v>
      </c>
      <c r="DI64" s="746"/>
      <c r="DJ64" s="746"/>
      <c r="DK64" s="746"/>
      <c r="DL64" s="746"/>
      <c r="DM64" s="958"/>
      <c r="DN64" s="615"/>
    </row>
    <row r="65" spans="75:121" x14ac:dyDescent="0.15">
      <c r="BW65" s="615"/>
      <c r="BX65" s="193"/>
      <c r="BZ65" s="615"/>
      <c r="CA65" s="615"/>
      <c r="CC65" s="194"/>
      <c r="CD65" s="615"/>
      <c r="CI65" s="615"/>
      <c r="CJ65" s="193"/>
      <c r="CL65" s="615"/>
      <c r="CM65" s="615"/>
      <c r="CO65" s="194"/>
      <c r="CP65" s="615"/>
      <c r="CU65" s="615"/>
      <c r="CV65" s="193"/>
      <c r="CX65" s="615"/>
      <c r="CY65" s="615"/>
      <c r="DA65" s="194"/>
      <c r="DB65" s="615"/>
      <c r="DG65" s="615"/>
      <c r="DH65" s="193"/>
      <c r="DJ65" s="615"/>
      <c r="DK65" s="615"/>
      <c r="DM65" s="194"/>
      <c r="DN65" s="615"/>
    </row>
    <row r="66" spans="75:121" ht="139.5" customHeight="1" x14ac:dyDescent="0.15">
      <c r="BW66" s="999" t="str">
        <f>IF(ISERROR(MATCH(1,$AI$10:$AI$25,0)),"A1位(　　　　　)",INDEX($C$10:$C$25,MATCH(1,$AI$10:$AI$25,0),1))</f>
        <v>A1位(　　　　　)</v>
      </c>
      <c r="BX66" s="999"/>
      <c r="BY66" s="215"/>
      <c r="BZ66" s="215"/>
      <c r="CA66" s="215"/>
      <c r="CB66" s="215"/>
      <c r="CC66" s="999" t="str">
        <f>IF(ISERROR(MATCH(1,$BS$29:$BS$44,0)),"D1位(　　　　　)",INDEX($AM$29:$AM$44,MATCH(1,$BS$29:$BS$44,0),1))</f>
        <v>D1位(　　　　　)</v>
      </c>
      <c r="CD66" s="999"/>
      <c r="CE66" s="215"/>
      <c r="CF66" s="215"/>
      <c r="CG66" s="215"/>
      <c r="CH66" s="215"/>
      <c r="CI66" s="999" t="str">
        <f>IF(ISERROR(MATCH(1,$BS$10:$BS$25,0)),"C1位(　　　　　)",INDEX($AM$10:$AM$25,MATCH(1,$BS$10:$BS$25,0),1))</f>
        <v>C1位(　　　　　)</v>
      </c>
      <c r="CJ66" s="999"/>
      <c r="CK66" s="215"/>
      <c r="CL66" s="215"/>
      <c r="CM66" s="215"/>
      <c r="CN66" s="215"/>
      <c r="CO66" s="999" t="str">
        <f>IF(ISERROR(MATCH(1,$AI$29:$AI$44,0)),"B1位(　　　　　)",INDEX($C$29:$C$44,MATCH(1,$AI$29:$AI$44,0),1))</f>
        <v>B1位(　　　　　)</v>
      </c>
      <c r="CP66" s="999"/>
      <c r="CQ66" s="215"/>
      <c r="CR66" s="215"/>
      <c r="CS66" s="215"/>
      <c r="CT66" s="215"/>
      <c r="CU66" s="999" t="str">
        <f>IF(ISERROR(MATCH(2,$AI$10:$AI$25,0)),"A2位(　　　　　)",INDEX($C$10:$C$25,MATCH(2,$AI$10:$AI$25,0),1))</f>
        <v>A2位(　　　　　)</v>
      </c>
      <c r="CV66" s="999"/>
      <c r="CW66" s="215"/>
      <c r="CX66" s="215"/>
      <c r="CY66" s="215"/>
      <c r="CZ66" s="215"/>
      <c r="DA66" s="999" t="str">
        <f>IF(ISERROR(MATCH(2,$BS$29:$BS$44,0)),"D2位(　　　　　)",INDEX($AM$29:$AM$44,MATCH(2,$BS$29:$BS$44,0),1))</f>
        <v>D2位(　　　　　)</v>
      </c>
      <c r="DB66" s="999"/>
      <c r="DC66" s="215"/>
      <c r="DD66" s="215"/>
      <c r="DE66" s="215"/>
      <c r="DF66" s="215"/>
      <c r="DG66" s="999" t="str">
        <f>IF(ISERROR(MATCH(2,$BS$10:$BS$25,0)),"C2位(　　　　　)",INDEX($AM$10:$AM$25,MATCH(2,$BS$10:$BS$25,0),1))</f>
        <v>C2位(　　　　　)</v>
      </c>
      <c r="DH66" s="999"/>
      <c r="DI66" s="215"/>
      <c r="DJ66" s="215"/>
      <c r="DK66" s="215"/>
      <c r="DL66" s="215"/>
      <c r="DM66" s="999" t="str">
        <f>IF(ISERROR(MATCH(2,$AI$29:$AI$44,0)),"B2位(　　　　　)",INDEX($C$29:$C$44,MATCH(2,$AI$29:$AI$44,0),1))</f>
        <v>B2位(　　　　　)</v>
      </c>
      <c r="DN66" s="999"/>
      <c r="DO66" s="76"/>
      <c r="DP66" s="76"/>
      <c r="DQ66" s="76"/>
    </row>
  </sheetData>
  <mergeCells count="314">
    <mergeCell ref="F3:H3"/>
    <mergeCell ref="F4:H4"/>
    <mergeCell ref="F5:H5"/>
    <mergeCell ref="D9:J9"/>
    <mergeCell ref="K9:Q9"/>
    <mergeCell ref="R9:X9"/>
    <mergeCell ref="Y9:AE9"/>
    <mergeCell ref="AN9:AT9"/>
    <mergeCell ref="AU9:BA9"/>
    <mergeCell ref="C10:C13"/>
    <mergeCell ref="D10:J13"/>
    <mergeCell ref="K10:Q13"/>
    <mergeCell ref="R10:X13"/>
    <mergeCell ref="Y10:AA10"/>
    <mergeCell ref="BR10:BR13"/>
    <mergeCell ref="BS10:BS13"/>
    <mergeCell ref="AU10:BA13"/>
    <mergeCell ref="BB10:BH13"/>
    <mergeCell ref="BI10:BO13"/>
    <mergeCell ref="BP10:BP13"/>
    <mergeCell ref="BQ10:BQ13"/>
    <mergeCell ref="AN10:AT13"/>
    <mergeCell ref="AC10:AE10"/>
    <mergeCell ref="AF10:AF13"/>
    <mergeCell ref="AG10:AG13"/>
    <mergeCell ref="AH10:AH13"/>
    <mergeCell ref="AI10:AI13"/>
    <mergeCell ref="AM10:AM13"/>
    <mergeCell ref="BB9:BH9"/>
    <mergeCell ref="BI9:BO9"/>
    <mergeCell ref="BI14:BO17"/>
    <mergeCell ref="BP14:BP17"/>
    <mergeCell ref="BQ14:BQ17"/>
    <mergeCell ref="BR14:BR17"/>
    <mergeCell ref="BS14:BS17"/>
    <mergeCell ref="C18:C21"/>
    <mergeCell ref="D18:J21"/>
    <mergeCell ref="K18:Q21"/>
    <mergeCell ref="R18:X21"/>
    <mergeCell ref="Y18:AA18"/>
    <mergeCell ref="AH14:AH17"/>
    <mergeCell ref="AI14:AI17"/>
    <mergeCell ref="AM14:AM17"/>
    <mergeCell ref="AN14:AT17"/>
    <mergeCell ref="AU14:BA17"/>
    <mergeCell ref="BB14:BH17"/>
    <mergeCell ref="C14:C17"/>
    <mergeCell ref="D14:J17"/>
    <mergeCell ref="K14:Q17"/>
    <mergeCell ref="R14:X17"/>
    <mergeCell ref="Y14:AA14"/>
    <mergeCell ref="AC14:AE14"/>
    <mergeCell ref="AF14:AF17"/>
    <mergeCell ref="AG14:AG17"/>
    <mergeCell ref="AI22:AI25"/>
    <mergeCell ref="AM22:AM25"/>
    <mergeCell ref="BR18:BR21"/>
    <mergeCell ref="BS18:BS21"/>
    <mergeCell ref="C22:C25"/>
    <mergeCell ref="D22:F22"/>
    <mergeCell ref="H22:J22"/>
    <mergeCell ref="K22:M22"/>
    <mergeCell ref="O22:Q22"/>
    <mergeCell ref="R22:T22"/>
    <mergeCell ref="V22:X22"/>
    <mergeCell ref="Y22:AA22"/>
    <mergeCell ref="AN18:AT21"/>
    <mergeCell ref="AU18:BA21"/>
    <mergeCell ref="BB18:BH21"/>
    <mergeCell ref="BI18:BO21"/>
    <mergeCell ref="BP18:BP21"/>
    <mergeCell ref="BQ18:BQ21"/>
    <mergeCell ref="AC18:AE18"/>
    <mergeCell ref="AF18:AF21"/>
    <mergeCell ref="AG18:AG21"/>
    <mergeCell ref="AH18:AH21"/>
    <mergeCell ref="AI18:AI21"/>
    <mergeCell ref="AM18:AM21"/>
    <mergeCell ref="K29:Q32"/>
    <mergeCell ref="R29:X32"/>
    <mergeCell ref="Y29:AA29"/>
    <mergeCell ref="AC29:AE29"/>
    <mergeCell ref="BR22:BR25"/>
    <mergeCell ref="BS22:BS25"/>
    <mergeCell ref="D28:J28"/>
    <mergeCell ref="K28:Q28"/>
    <mergeCell ref="R28:X28"/>
    <mergeCell ref="Y28:AE28"/>
    <mergeCell ref="AN28:AT28"/>
    <mergeCell ref="AU28:BA28"/>
    <mergeCell ref="BB28:BH28"/>
    <mergeCell ref="BI28:BO28"/>
    <mergeCell ref="AN22:AT25"/>
    <mergeCell ref="AU22:BA25"/>
    <mergeCell ref="BB22:BH25"/>
    <mergeCell ref="BI22:BO25"/>
    <mergeCell ref="BP22:BP25"/>
    <mergeCell ref="BQ22:BQ25"/>
    <mergeCell ref="AC22:AE22"/>
    <mergeCell ref="AF22:AF25"/>
    <mergeCell ref="AG22:AG25"/>
    <mergeCell ref="AH22:AH25"/>
    <mergeCell ref="BS29:BS32"/>
    <mergeCell ref="C33:C36"/>
    <mergeCell ref="D33:J36"/>
    <mergeCell ref="K33:Q36"/>
    <mergeCell ref="R33:X36"/>
    <mergeCell ref="Y33:AA33"/>
    <mergeCell ref="AC33:AE33"/>
    <mergeCell ref="AF33:AF36"/>
    <mergeCell ref="AG33:AG36"/>
    <mergeCell ref="AH33:AH36"/>
    <mergeCell ref="AU29:BA32"/>
    <mergeCell ref="BB29:BH32"/>
    <mergeCell ref="BI29:BO32"/>
    <mergeCell ref="BP29:BP32"/>
    <mergeCell ref="BQ29:BQ32"/>
    <mergeCell ref="BR29:BR32"/>
    <mergeCell ref="AF29:AF32"/>
    <mergeCell ref="AG29:AG32"/>
    <mergeCell ref="AH29:AH32"/>
    <mergeCell ref="AI29:AI32"/>
    <mergeCell ref="AM29:AM32"/>
    <mergeCell ref="AN29:AT32"/>
    <mergeCell ref="C29:C32"/>
    <mergeCell ref="D29:J32"/>
    <mergeCell ref="BP33:BP36"/>
    <mergeCell ref="BQ33:BQ36"/>
    <mergeCell ref="BR33:BR36"/>
    <mergeCell ref="BS33:BS36"/>
    <mergeCell ref="C37:C40"/>
    <mergeCell ref="D37:J40"/>
    <mergeCell ref="K37:Q40"/>
    <mergeCell ref="R37:X40"/>
    <mergeCell ref="Y37:AA37"/>
    <mergeCell ref="AC37:AE37"/>
    <mergeCell ref="AI33:AI36"/>
    <mergeCell ref="AM33:AM36"/>
    <mergeCell ref="AN33:AT36"/>
    <mergeCell ref="AU33:BA36"/>
    <mergeCell ref="BB33:BH36"/>
    <mergeCell ref="BI33:BO36"/>
    <mergeCell ref="BS37:BS40"/>
    <mergeCell ref="AU37:BA40"/>
    <mergeCell ref="BB37:BH40"/>
    <mergeCell ref="BI37:BO40"/>
    <mergeCell ref="BP37:BP40"/>
    <mergeCell ref="BQ37:BQ40"/>
    <mergeCell ref="BR37:BR40"/>
    <mergeCell ref="AF37:AF40"/>
    <mergeCell ref="C41:C44"/>
    <mergeCell ref="D41:F41"/>
    <mergeCell ref="H41:J41"/>
    <mergeCell ref="K41:M41"/>
    <mergeCell ref="O41:Q41"/>
    <mergeCell ref="R41:T41"/>
    <mergeCell ref="V41:X41"/>
    <mergeCell ref="Y41:AA41"/>
    <mergeCell ref="AC41:AE41"/>
    <mergeCell ref="AG37:AG40"/>
    <mergeCell ref="AH37:AH40"/>
    <mergeCell ref="AI37:AI40"/>
    <mergeCell ref="AM37:AM40"/>
    <mergeCell ref="AN37:AT40"/>
    <mergeCell ref="AU41:BA44"/>
    <mergeCell ref="BB41:BH44"/>
    <mergeCell ref="BI41:BO44"/>
    <mergeCell ref="BP41:BP44"/>
    <mergeCell ref="BQ41:BQ44"/>
    <mergeCell ref="BR41:BR44"/>
    <mergeCell ref="AF41:AF44"/>
    <mergeCell ref="AG41:AG44"/>
    <mergeCell ref="AH41:AH44"/>
    <mergeCell ref="AI41:AI44"/>
    <mergeCell ref="AM41:AM44"/>
    <mergeCell ref="AN41:AT44"/>
    <mergeCell ref="BS41:BS44"/>
    <mergeCell ref="BW41:CW43"/>
    <mergeCell ref="BZ47:CB47"/>
    <mergeCell ref="CX47:CZ47"/>
    <mergeCell ref="CF48:CF51"/>
    <mergeCell ref="DD48:DD51"/>
    <mergeCell ref="CD49:CE49"/>
    <mergeCell ref="CH49:CI49"/>
    <mergeCell ref="DB49:DC49"/>
    <mergeCell ref="DF49:DG49"/>
    <mergeCell ref="CD50:CE50"/>
    <mergeCell ref="CH50:CI50"/>
    <mergeCell ref="DB50:DC50"/>
    <mergeCell ref="DF50:DG50"/>
    <mergeCell ref="CA51:CE51"/>
    <mergeCell ref="CG51:CL51"/>
    <mergeCell ref="CY51:DC51"/>
    <mergeCell ref="DE51:DJ51"/>
    <mergeCell ref="DB56:DG56"/>
    <mergeCell ref="BX57:BY57"/>
    <mergeCell ref="CB57:CC57"/>
    <mergeCell ref="CF57:CG57"/>
    <mergeCell ref="CJ57:CK57"/>
    <mergeCell ref="CN57:CO57"/>
    <mergeCell ref="CV57:CW57"/>
    <mergeCell ref="CZ57:DA57"/>
    <mergeCell ref="DD57:DE57"/>
    <mergeCell ref="CX52:CX59"/>
    <mergeCell ref="DB52:DC52"/>
    <mergeCell ref="DD52:DE52"/>
    <mergeCell ref="DF52:DG52"/>
    <mergeCell ref="DB54:DC54"/>
    <mergeCell ref="DD54:DE54"/>
    <mergeCell ref="DF54:DG54"/>
    <mergeCell ref="DB55:DG55"/>
    <mergeCell ref="BX52:BY55"/>
    <mergeCell ref="BZ52:BZ59"/>
    <mergeCell ref="CD52:CE52"/>
    <mergeCell ref="CF52:CG52"/>
    <mergeCell ref="CH52:CI52"/>
    <mergeCell ref="CM52:CM59"/>
    <mergeCell ref="CH54:CI54"/>
    <mergeCell ref="DH57:DI57"/>
    <mergeCell ref="DL57:DM57"/>
    <mergeCell ref="BX58:BY58"/>
    <mergeCell ref="CB58:CC58"/>
    <mergeCell ref="CJ58:CK58"/>
    <mergeCell ref="CN58:CO58"/>
    <mergeCell ref="CV58:CW58"/>
    <mergeCell ref="CZ58:DA58"/>
    <mergeCell ref="DH58:DI58"/>
    <mergeCell ref="DL58:DM58"/>
    <mergeCell ref="DK52:DK59"/>
    <mergeCell ref="DL52:DM55"/>
    <mergeCell ref="CD53:CE53"/>
    <mergeCell ref="CF53:CG53"/>
    <mergeCell ref="CH53:CI53"/>
    <mergeCell ref="DB53:DC53"/>
    <mergeCell ref="DD53:DE53"/>
    <mergeCell ref="DF53:DG53"/>
    <mergeCell ref="CD54:CE54"/>
    <mergeCell ref="CF54:CG54"/>
    <mergeCell ref="CN52:CO55"/>
    <mergeCell ref="CV52:CW55"/>
    <mergeCell ref="CD55:CI55"/>
    <mergeCell ref="CD56:CI56"/>
    <mergeCell ref="BZ62:CA62"/>
    <mergeCell ref="CB62:CC62"/>
    <mergeCell ref="CJ62:CK62"/>
    <mergeCell ref="DL59:DM59"/>
    <mergeCell ref="BW60:BW65"/>
    <mergeCell ref="BX60:BY60"/>
    <mergeCell ref="BZ60:CA60"/>
    <mergeCell ref="CB60:CC60"/>
    <mergeCell ref="CD60:CD65"/>
    <mergeCell ref="CI60:CI65"/>
    <mergeCell ref="CJ60:CK60"/>
    <mergeCell ref="CL60:CM60"/>
    <mergeCell ref="CN60:CO60"/>
    <mergeCell ref="CA59:CC59"/>
    <mergeCell ref="CJ59:CL59"/>
    <mergeCell ref="CN59:CO59"/>
    <mergeCell ref="CV59:CW59"/>
    <mergeCell ref="CY59:DA59"/>
    <mergeCell ref="DH59:DJ59"/>
    <mergeCell ref="BX59:BY59"/>
    <mergeCell ref="DH60:DI60"/>
    <mergeCell ref="DJ60:DK60"/>
    <mergeCell ref="DL60:DM60"/>
    <mergeCell ref="CL62:CM62"/>
    <mergeCell ref="CZ62:DA62"/>
    <mergeCell ref="CN61:CO61"/>
    <mergeCell ref="CV61:CW61"/>
    <mergeCell ref="CX61:CY61"/>
    <mergeCell ref="CZ61:DA61"/>
    <mergeCell ref="DH61:DI61"/>
    <mergeCell ref="DJ61:DK61"/>
    <mergeCell ref="DG60:DG65"/>
    <mergeCell ref="DG66:DH66"/>
    <mergeCell ref="CP60:CP65"/>
    <mergeCell ref="CU60:CU65"/>
    <mergeCell ref="CV60:CW60"/>
    <mergeCell ref="CX60:CY60"/>
    <mergeCell ref="CZ60:DA60"/>
    <mergeCell ref="DB60:DB65"/>
    <mergeCell ref="DH62:DI62"/>
    <mergeCell ref="DJ62:DK62"/>
    <mergeCell ref="CJ63:CO63"/>
    <mergeCell ref="CV63:DA63"/>
    <mergeCell ref="DH63:DM63"/>
    <mergeCell ref="DL61:DM61"/>
    <mergeCell ref="CN62:CO62"/>
    <mergeCell ref="CV62:CW62"/>
    <mergeCell ref="CX62:CY62"/>
    <mergeCell ref="DM66:DN66"/>
    <mergeCell ref="BW66:BX66"/>
    <mergeCell ref="CC66:CD66"/>
    <mergeCell ref="CI66:CJ66"/>
    <mergeCell ref="CO66:CP66"/>
    <mergeCell ref="CU66:CV66"/>
    <mergeCell ref="DA66:DB66"/>
    <mergeCell ref="BX64:CC64"/>
    <mergeCell ref="CJ64:CO64"/>
    <mergeCell ref="CV64:DA64"/>
    <mergeCell ref="DH64:DM64"/>
    <mergeCell ref="BZ65:CA65"/>
    <mergeCell ref="CL65:CM65"/>
    <mergeCell ref="CX65:CY65"/>
    <mergeCell ref="DJ65:DK65"/>
    <mergeCell ref="DN60:DN65"/>
    <mergeCell ref="BX61:BY61"/>
    <mergeCell ref="BZ61:CA61"/>
    <mergeCell ref="CB61:CC61"/>
    <mergeCell ref="CJ61:CK61"/>
    <mergeCell ref="CL61:CM61"/>
    <mergeCell ref="DL62:DM62"/>
    <mergeCell ref="BX63:CC63"/>
    <mergeCell ref="BX62:BY62"/>
  </mergeCells>
  <phoneticPr fontId="2"/>
  <conditionalFormatting sqref="BW60:BW65">
    <cfRule type="expression" dxfId="205" priority="32" stopIfTrue="1">
      <formula>$BX$58&lt;=$CB$58</formula>
    </cfRule>
  </conditionalFormatting>
  <conditionalFormatting sqref="BX59:BY59">
    <cfRule type="expression" dxfId="204" priority="29" stopIfTrue="1">
      <formula>$BX$58&lt;=$CB$58</formula>
    </cfRule>
  </conditionalFormatting>
  <conditionalFormatting sqref="BZ52:BZ59">
    <cfRule type="expression" dxfId="203" priority="25" stopIfTrue="1">
      <formula>$BX$58=$CB$58</formula>
    </cfRule>
    <cfRule type="expression" dxfId="202" priority="26" stopIfTrue="1">
      <formula>$BX$58&lt;$CB$58</formula>
    </cfRule>
  </conditionalFormatting>
  <conditionalFormatting sqref="CA59:CC59">
    <cfRule type="expression" dxfId="201" priority="28" stopIfTrue="1">
      <formula>$CB$58&lt;=$BX$58</formula>
    </cfRule>
  </conditionalFormatting>
  <conditionalFormatting sqref="CA51:CE51">
    <cfRule type="expression" dxfId="200" priority="19" stopIfTrue="1">
      <formula>$CD$50&lt;=$CH$50</formula>
    </cfRule>
  </conditionalFormatting>
  <conditionalFormatting sqref="CD60:CD65">
    <cfRule type="expression" dxfId="199" priority="27" stopIfTrue="1">
      <formula>$CB$58&lt;=$BX$58</formula>
    </cfRule>
  </conditionalFormatting>
  <conditionalFormatting sqref="CF48:CF51">
    <cfRule type="expression" dxfId="198" priority="16" stopIfTrue="1">
      <formula>$CD$50=$CH$50</formula>
    </cfRule>
    <cfRule type="expression" dxfId="197" priority="17" stopIfTrue="1">
      <formula>$CD$50&lt;$CH$50</formula>
    </cfRule>
  </conditionalFormatting>
  <conditionalFormatting sqref="CG51:CL51">
    <cfRule type="expression" dxfId="196" priority="18" stopIfTrue="1">
      <formula>$CH$50&lt;=$CD$50</formula>
    </cfRule>
  </conditionalFormatting>
  <conditionalFormatting sqref="CI60:CI65">
    <cfRule type="expression" dxfId="195" priority="31" stopIfTrue="1">
      <formula>$CJ$58&lt;=$CN$58</formula>
    </cfRule>
  </conditionalFormatting>
  <conditionalFormatting sqref="CJ59:CL59">
    <cfRule type="expression" dxfId="194" priority="24" stopIfTrue="1">
      <formula>$CJ$58&lt;=$CN$58</formula>
    </cfRule>
  </conditionalFormatting>
  <conditionalFormatting sqref="CM52:CM59">
    <cfRule type="expression" dxfId="193" priority="20" stopIfTrue="1">
      <formula>$CN$58=$CJ$58</formula>
    </cfRule>
    <cfRule type="expression" dxfId="192" priority="21" stopIfTrue="1">
      <formula>$CN$58&lt;$CJ$58</formula>
    </cfRule>
  </conditionalFormatting>
  <conditionalFormatting sqref="CN59:CO59">
    <cfRule type="expression" dxfId="191" priority="23" stopIfTrue="1">
      <formula>$CN$58&lt;=$CJ$58</formula>
    </cfRule>
  </conditionalFormatting>
  <conditionalFormatting sqref="CP60:CP65">
    <cfRule type="expression" dxfId="190" priority="22" stopIfTrue="1">
      <formula>$CN$58&lt;=$CJ$58</formula>
    </cfRule>
  </conditionalFormatting>
  <conditionalFormatting sqref="CU60:CU65">
    <cfRule type="expression" dxfId="189" priority="30" stopIfTrue="1">
      <formula>$CV$58&lt;=$CZ$58</formula>
    </cfRule>
  </conditionalFormatting>
  <conditionalFormatting sqref="CV59:CW59">
    <cfRule type="expression" dxfId="188" priority="14" stopIfTrue="1">
      <formula>$CV$58&lt;=$CZ$58</formula>
    </cfRule>
  </conditionalFormatting>
  <conditionalFormatting sqref="CX52:CX59">
    <cfRule type="expression" dxfId="187" priority="10" stopIfTrue="1">
      <formula>$CV$58=$CZ$58</formula>
    </cfRule>
    <cfRule type="expression" dxfId="186" priority="11" stopIfTrue="1">
      <formula>$CV$58&lt;$CZ$58</formula>
    </cfRule>
  </conditionalFormatting>
  <conditionalFormatting sqref="CY59:DA59">
    <cfRule type="expression" dxfId="185" priority="13" stopIfTrue="1">
      <formula>$CZ$58&lt;=$CV$58</formula>
    </cfRule>
  </conditionalFormatting>
  <conditionalFormatting sqref="CY51:DC51">
    <cfRule type="expression" dxfId="184" priority="4" stopIfTrue="1">
      <formula>$DB$50&lt;=$DF$50</formula>
    </cfRule>
  </conditionalFormatting>
  <conditionalFormatting sqref="DB60:DB65">
    <cfRule type="expression" dxfId="183" priority="12" stopIfTrue="1">
      <formula>$CZ$58&lt;=$CV$58</formula>
    </cfRule>
  </conditionalFormatting>
  <conditionalFormatting sqref="DD48:DD51">
    <cfRule type="expression" dxfId="182" priority="1" stopIfTrue="1">
      <formula>$DB$50=$DF$50</formula>
    </cfRule>
    <cfRule type="expression" dxfId="181" priority="2" stopIfTrue="1">
      <formula>$DB$50&lt;$DF$50</formula>
    </cfRule>
  </conditionalFormatting>
  <conditionalFormatting sqref="DE51:DJ51">
    <cfRule type="expression" dxfId="180" priority="3" stopIfTrue="1">
      <formula>$DF$50&lt;=$DB$50</formula>
    </cfRule>
  </conditionalFormatting>
  <conditionalFormatting sqref="DG60:DG65">
    <cfRule type="expression" dxfId="179" priority="15" stopIfTrue="1">
      <formula>$DH$58&lt;=$DL$58</formula>
    </cfRule>
  </conditionalFormatting>
  <conditionalFormatting sqref="DH59:DJ59">
    <cfRule type="expression" dxfId="178" priority="9" stopIfTrue="1">
      <formula>$DH$58&lt;=$DL$58</formula>
    </cfRule>
  </conditionalFormatting>
  <conditionalFormatting sqref="DK52:DK59">
    <cfRule type="expression" dxfId="177" priority="5" stopIfTrue="1">
      <formula>$DL$58=$DH$58</formula>
    </cfRule>
    <cfRule type="expression" dxfId="176" priority="6" stopIfTrue="1">
      <formula>$DL$58&lt;$DH$58</formula>
    </cfRule>
  </conditionalFormatting>
  <conditionalFormatting sqref="DL59:DM59">
    <cfRule type="expression" dxfId="175" priority="8" stopIfTrue="1">
      <formula>$DL$58&lt;=$DH$58</formula>
    </cfRule>
  </conditionalFormatting>
  <conditionalFormatting sqref="DN60:DN65">
    <cfRule type="expression" dxfId="174" priority="7" stopIfTrue="1">
      <formula>$DL$58&lt;=$DH$58</formula>
    </cfRule>
  </conditionalFormatting>
  <printOptions horizontalCentered="1" verticalCentered="1"/>
  <pageMargins left="0.39370078740157483" right="0.39370078740157483" top="0.39370078740157483" bottom="0.74803149606299213" header="0.31496062992125984" footer="0.31496062992125984"/>
  <pageSetup paperSize="9" scale="76"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C00F6-E513-4035-A841-FC686290EC2E}">
  <sheetPr>
    <tabColor rgb="FF00B0F0"/>
    <pageSetUpPr fitToPage="1"/>
  </sheetPr>
  <dimension ref="A1:DV63"/>
  <sheetViews>
    <sheetView showGridLines="0" view="pageBreakPreview" topLeftCell="C30" zoomScaleNormal="80" zoomScaleSheetLayoutView="100" workbookViewId="0">
      <selection activeCell="BV33" sqref="BV33"/>
    </sheetView>
  </sheetViews>
  <sheetFormatPr defaultColWidth="9" defaultRowHeight="14.25" x14ac:dyDescent="0.15"/>
  <cols>
    <col min="1" max="1" width="7.375" style="290" hidden="1" customWidth="1"/>
    <col min="2" max="2" width="7" style="258" hidden="1" customWidth="1"/>
    <col min="3" max="3" width="4" style="258" bestFit="1" customWidth="1"/>
    <col min="4" max="5" width="0.625" style="290" customWidth="1"/>
    <col min="6" max="6" width="2.5" style="446" customWidth="1"/>
    <col min="7" max="7" width="2.5" style="447" customWidth="1"/>
    <col min="8" max="8" width="2.5" style="448" customWidth="1"/>
    <col min="9" max="12" width="0.625" style="290" customWidth="1"/>
    <col min="13" max="13" width="2.5" style="446" customWidth="1"/>
    <col min="14" max="14" width="2.5" style="447" customWidth="1"/>
    <col min="15" max="15" width="2.5" style="448" customWidth="1"/>
    <col min="16" max="19" width="0.625" style="290" customWidth="1"/>
    <col min="20" max="20" width="2.5" style="446" customWidth="1"/>
    <col min="21" max="21" width="2.5" style="447" customWidth="1"/>
    <col min="22" max="22" width="2.5" style="448" customWidth="1"/>
    <col min="23" max="24" width="0.625" style="290" customWidth="1"/>
    <col min="25" max="28" width="5" style="258" customWidth="1"/>
    <col min="29" max="29" width="8.5" style="258" hidden="1" customWidth="1"/>
    <col min="30" max="31" width="6.375" style="258" hidden="1" customWidth="1"/>
    <col min="32" max="35" width="6.25" style="258" hidden="1" customWidth="1"/>
    <col min="36" max="36" width="4.5" style="258" customWidth="1"/>
    <col min="37" max="37" width="4" style="258" customWidth="1"/>
    <col min="38" max="39" width="0.625" style="290" customWidth="1"/>
    <col min="40" max="40" width="2.5" style="446" customWidth="1"/>
    <col min="41" max="41" width="2.5" style="447" customWidth="1"/>
    <col min="42" max="42" width="2.5" style="448" customWidth="1"/>
    <col min="43" max="46" width="0.625" style="290" customWidth="1"/>
    <col min="47" max="47" width="2.5" style="446" customWidth="1"/>
    <col min="48" max="48" width="2.5" style="447" customWidth="1"/>
    <col min="49" max="49" width="2.5" style="448" customWidth="1"/>
    <col min="50" max="53" width="0.625" style="290" customWidth="1"/>
    <col min="54" max="54" width="2.5" style="446" customWidth="1"/>
    <col min="55" max="55" width="2.5" style="447" customWidth="1"/>
    <col min="56" max="56" width="2.5" style="448" customWidth="1"/>
    <col min="57" max="58" width="0.625" style="290" customWidth="1"/>
    <col min="59" max="60" width="5" style="290" customWidth="1"/>
    <col min="61" max="61" width="5" style="446" customWidth="1"/>
    <col min="62" max="62" width="5" style="447" customWidth="1"/>
    <col min="63" max="63" width="8.5" style="447" hidden="1" customWidth="1"/>
    <col min="64" max="64" width="5" style="448" hidden="1" customWidth="1"/>
    <col min="65" max="66" width="5" style="290" hidden="1" customWidth="1"/>
    <col min="67" max="69" width="5" style="258" hidden="1" customWidth="1"/>
    <col min="70" max="76" width="5" style="258" customWidth="1"/>
    <col min="77" max="77" width="4.375" style="258" customWidth="1"/>
    <col min="78" max="78" width="9" style="258"/>
    <col min="79" max="126" width="2.375" style="258" customWidth="1"/>
    <col min="127" max="16384" width="9" style="258"/>
  </cols>
  <sheetData>
    <row r="1" spans="1:77" ht="24.75" x14ac:dyDescent="0.15">
      <c r="C1" s="1020" t="str">
        <f ca="1">"令和"&amp;IF(YEAR(NOW())=2019,"元",YEAR(NOW())-2018)&amp;"年度 第"&amp;YEAR(NOW())-1999&amp;"回 加賀地区中学校サッカー大会 《 南加賀ブロック 》"</f>
        <v>令和6年度 第25回 加賀地区中学校サッカー大会 《 南加賀ブロック 》</v>
      </c>
      <c r="D1" s="1020"/>
      <c r="E1" s="1020"/>
      <c r="F1" s="1020"/>
      <c r="G1" s="1020"/>
      <c r="H1" s="1020"/>
      <c r="I1" s="1020"/>
      <c r="J1" s="1020"/>
      <c r="K1" s="1020"/>
      <c r="L1" s="1020"/>
      <c r="M1" s="1020"/>
      <c r="N1" s="1020"/>
      <c r="O1" s="1020"/>
      <c r="P1" s="1020"/>
      <c r="Q1" s="1020"/>
      <c r="R1" s="1020"/>
      <c r="S1" s="1020"/>
      <c r="T1" s="1020"/>
      <c r="U1" s="1020"/>
      <c r="V1" s="1020"/>
      <c r="W1" s="1020"/>
      <c r="X1" s="1020"/>
      <c r="Y1" s="1020"/>
      <c r="Z1" s="1020"/>
      <c r="AA1" s="1020"/>
      <c r="AB1" s="1020"/>
      <c r="AC1" s="1020"/>
      <c r="AD1" s="1020"/>
      <c r="AE1" s="1020"/>
      <c r="AF1" s="1020"/>
      <c r="AG1" s="1020"/>
      <c r="AH1" s="1020"/>
      <c r="AI1" s="1020"/>
      <c r="AJ1" s="1020"/>
      <c r="AK1" s="1020"/>
      <c r="AL1" s="1020"/>
      <c r="AM1" s="1020"/>
      <c r="AN1" s="1020"/>
      <c r="AO1" s="1020"/>
      <c r="AP1" s="1020"/>
      <c r="AQ1" s="1020"/>
      <c r="AR1" s="1020"/>
      <c r="AS1" s="1020"/>
      <c r="AT1" s="1020"/>
      <c r="AU1" s="1020"/>
      <c r="AV1" s="1020"/>
      <c r="AW1" s="1020"/>
      <c r="AX1" s="1020"/>
      <c r="AY1" s="1020"/>
      <c r="AZ1" s="1020"/>
      <c r="BA1" s="1020"/>
      <c r="BB1" s="1020"/>
      <c r="BC1" s="1020"/>
      <c r="BD1" s="1020"/>
      <c r="BE1" s="1020"/>
      <c r="BF1" s="1020"/>
      <c r="BG1" s="1020"/>
      <c r="BH1" s="1020"/>
      <c r="BI1" s="1020"/>
      <c r="BJ1" s="1020"/>
      <c r="BK1" s="1020"/>
      <c r="BL1" s="1020"/>
      <c r="BM1" s="1020"/>
      <c r="BN1" s="1020"/>
      <c r="BO1" s="1020"/>
      <c r="BP1" s="1020"/>
      <c r="BQ1" s="1020"/>
      <c r="BR1" s="1020"/>
      <c r="BS1" s="1020"/>
      <c r="BT1" s="1020"/>
      <c r="BU1" s="1020"/>
      <c r="BV1" s="1020"/>
      <c r="BW1" s="1020"/>
      <c r="BX1" s="1020"/>
    </row>
    <row r="2" spans="1:77" x14ac:dyDescent="0.15">
      <c r="A2" s="290" t="str">
        <f>IF(CI47=CM47,"",IF(CI47&gt;CM47,CC49,CS49))</f>
        <v>松任</v>
      </c>
    </row>
    <row r="3" spans="1:77" ht="25.5" customHeight="1" x14ac:dyDescent="0.15">
      <c r="A3" s="290" t="str">
        <f>IF(CI47=CM47,"",IF(CI47&lt;CM47,CC49,CS49))</f>
        <v>野々市</v>
      </c>
      <c r="F3" s="805" t="s">
        <v>77</v>
      </c>
      <c r="G3" s="805"/>
      <c r="H3" s="805"/>
      <c r="I3" s="1006" t="str">
        <f>IF(A2="","",IF(VLOOKUP(A2,予選学校名!$I$3:$L$32,3,FALSE)="",IF(VLOOKUP(A2,予選学校名!$I$3:$L$32,4,FALSE)="","",VLOOKUP(A2,予選学校名!$I$3:$L$32,4,FALSE)),VLOOKUP(A2,予選学校名!$I$3:$L$32,3,FALSE)&amp;"立")&amp;A2&amp;"中学校")</f>
        <v>白山市立松任中学校</v>
      </c>
      <c r="J3" s="1021"/>
      <c r="K3" s="1021"/>
      <c r="L3" s="1021"/>
      <c r="M3" s="1021"/>
      <c r="N3" s="1021"/>
      <c r="O3" s="1021"/>
      <c r="P3" s="1021"/>
      <c r="Q3" s="1021"/>
      <c r="R3" s="1021"/>
      <c r="S3" s="1021"/>
      <c r="T3" s="1021"/>
      <c r="U3" s="1021"/>
      <c r="V3" s="1021"/>
      <c r="W3" s="1021"/>
      <c r="X3" s="1021"/>
      <c r="Y3" s="1021"/>
      <c r="Z3" s="1021"/>
      <c r="AA3" s="1022" t="str">
        <f>IF(A2="","","("&amp;VLOOKUP(A2,予選学校名!$I$3:$L$32,2,FALSE)&amp;")")</f>
        <v>(白山市)</v>
      </c>
      <c r="AB3" s="1022"/>
      <c r="AL3" s="915" t="s">
        <v>109</v>
      </c>
      <c r="AM3" s="915"/>
      <c r="AN3" s="915"/>
      <c r="AO3" s="915"/>
      <c r="AP3" s="915"/>
      <c r="AQ3" s="1006" t="str">
        <f>IF(A6="","",IF(VLOOKUP(A6,予選学校名!$I$3:$L$32,3,FALSE)="",IF(VLOOKUP(A6,予選学校名!$I$3:$L$32,4,FALSE)="","",VLOOKUP(A6,予選学校名!$I$3:$L$32,4,FALSE)),VLOOKUP(A6,予選学校名!$I$3:$L$32,3,FALSE)&amp;"立")&amp;A6&amp;"中学校")</f>
        <v>白山市立北辰中学校</v>
      </c>
      <c r="AR3" s="1006"/>
      <c r="AS3" s="1006"/>
      <c r="AT3" s="1006"/>
      <c r="AU3" s="1006"/>
      <c r="AV3" s="1006"/>
      <c r="AW3" s="1006"/>
      <c r="AX3" s="1006"/>
      <c r="AY3" s="1006"/>
      <c r="AZ3" s="1006"/>
      <c r="BA3" s="1006"/>
      <c r="BB3" s="1006"/>
      <c r="BC3" s="1006"/>
      <c r="BD3" s="1006"/>
      <c r="BE3" s="1006"/>
      <c r="BF3" s="1006"/>
      <c r="BG3" s="1006"/>
      <c r="BH3" s="1006"/>
      <c r="BI3" s="1023" t="str">
        <f>IF(A6="","",IF(VLOOKUP(A6,予選学校名!$I$3:$L$32,3,FALSE)="",IF(VLOOKUP(A6,予選学校名!$I$3:$L$32,4,FALSE)="","",VLOOKUP(A6,予選学校名!$I$3:$L$32,4,FALSE)),"("&amp;VLOOKUP(A6,予選学校名!$I$3:$L$32,2,FALSE)&amp;")"))</f>
        <v>(白山市)</v>
      </c>
      <c r="BJ3" s="1023"/>
      <c r="BK3" s="1023"/>
      <c r="BL3" s="1023"/>
      <c r="BM3" s="1023"/>
      <c r="BN3" s="1023"/>
    </row>
    <row r="4" spans="1:77" ht="25.5" customHeight="1" x14ac:dyDescent="0.15">
      <c r="A4" s="290" t="str">
        <f>IF(CI47=CM47,"",IF(CC49=A2,A51,A52))</f>
        <v>布水</v>
      </c>
      <c r="F4" s="805" t="s">
        <v>79</v>
      </c>
      <c r="G4" s="805"/>
      <c r="H4" s="805"/>
      <c r="I4" s="1017" t="str">
        <f>IF(A3="","",IF(VLOOKUP(A3,予選学校名!$I$3:$L$32,3,FALSE)="",IF(VLOOKUP(A3,予選学校名!$I$3:$L$32,4,FALSE)="","",VLOOKUP(A3,予選学校名!$I$3:$L$32,4,FALSE)),VLOOKUP(A3,予選学校名!$I$3:$L$32,3,FALSE)&amp;"立")&amp;A3&amp;"中学校")</f>
        <v>野々市市立野々市中学校</v>
      </c>
      <c r="J4" s="1018"/>
      <c r="K4" s="1018"/>
      <c r="L4" s="1018"/>
      <c r="M4" s="1018"/>
      <c r="N4" s="1018"/>
      <c r="O4" s="1018"/>
      <c r="P4" s="1018"/>
      <c r="Q4" s="1018"/>
      <c r="R4" s="1018"/>
      <c r="S4" s="1018"/>
      <c r="T4" s="1018"/>
      <c r="U4" s="1018"/>
      <c r="V4" s="1018"/>
      <c r="W4" s="1018"/>
      <c r="X4" s="1018"/>
      <c r="Y4" s="1018"/>
      <c r="Z4" s="1018"/>
      <c r="AA4" s="1019" t="str">
        <f>IF(A3="","",IF(VLOOKUP(A3,予選学校名!$I$3:$L$32,3,FALSE)="",IF(VLOOKUP(A3,予選学校名!$I$3:$L$32,4,FALSE)="","",VLOOKUP(A3,予選学校名!$I$3:$L$32,4,FALSE)),"("&amp;VLOOKUP(A3,予選学校名!$I$3:$L$32,2,FALSE)&amp;")"))</f>
        <v>(野々市市)</v>
      </c>
      <c r="AB4" s="1019"/>
    </row>
    <row r="5" spans="1:77" ht="25.5" customHeight="1" x14ac:dyDescent="0.15">
      <c r="A5" s="290" t="str">
        <f>IF(CI47=CM47,"",IF(CC49=A2,A52,A51))</f>
        <v>北星</v>
      </c>
      <c r="F5" s="805" t="s">
        <v>80</v>
      </c>
      <c r="G5" s="805"/>
      <c r="H5" s="805"/>
      <c r="I5" s="1017" t="str">
        <f>IF(A4="","",IF(VLOOKUP(A4,予選学校名!$I$3:$L$32,3,FALSE)="",IF(VLOOKUP(A4,予選学校名!$I$3:$L$32,4,FALSE)="","",VLOOKUP(A4,予選学校名!$I$3:$L$32,4,FALSE)),VLOOKUP(A4,予選学校名!$I$3:$L$32,3,FALSE)&amp;"立")&amp;A4&amp;"中学校")</f>
        <v>野々市市立布水中学校</v>
      </c>
      <c r="J5" s="1018"/>
      <c r="K5" s="1018"/>
      <c r="L5" s="1018"/>
      <c r="M5" s="1018"/>
      <c r="N5" s="1018"/>
      <c r="O5" s="1018"/>
      <c r="P5" s="1018"/>
      <c r="Q5" s="1018"/>
      <c r="R5" s="1018"/>
      <c r="S5" s="1018"/>
      <c r="T5" s="1018"/>
      <c r="U5" s="1018"/>
      <c r="V5" s="1018"/>
      <c r="W5" s="1018"/>
      <c r="X5" s="1018"/>
      <c r="Y5" s="1018"/>
      <c r="Z5" s="1018"/>
      <c r="AA5" s="1019" t="str">
        <f>IF(A4="","",IF(VLOOKUP(A4,予選学校名!$I$3:$L$32,3,FALSE)="",IF(VLOOKUP(A4,予選学校名!$I$3:$L$32,4,FALSE)="","",VLOOKUP(A4,予選学校名!$I$3:$L$32,4,FALSE)),"("&amp;VLOOKUP(A4,予選学校名!$I$3:$L$32,2,FALSE)&amp;")"))</f>
        <v>(野々市市)</v>
      </c>
      <c r="AB5" s="1019"/>
    </row>
    <row r="6" spans="1:77" ht="25.5" customHeight="1" x14ac:dyDescent="0.15">
      <c r="A6" s="290" t="str">
        <f>IF(DG47=DK47,"",IF(DG47&gt;DK47,DA49,DQ49))</f>
        <v>北辰</v>
      </c>
      <c r="I6" s="1017" t="str">
        <f>IF(A5="","",IF(VLOOKUP(A5,予選学校名!$I$3:$L$32,3,FALSE)="",IF(VLOOKUP(A5,予選学校名!$I$3:$L$32,4,FALSE)="","",VLOOKUP(A5,予選学校名!$I$3:$L$32,4,FALSE)),VLOOKUP(A5,予選学校名!$I$3:$L$32,3,FALSE)&amp;"立")&amp;A5&amp;"中学校")</f>
        <v>白山市立北星中学校</v>
      </c>
      <c r="J6" s="1018"/>
      <c r="K6" s="1018"/>
      <c r="L6" s="1018"/>
      <c r="M6" s="1018"/>
      <c r="N6" s="1018"/>
      <c r="O6" s="1018"/>
      <c r="P6" s="1018"/>
      <c r="Q6" s="1018"/>
      <c r="R6" s="1018"/>
      <c r="S6" s="1018"/>
      <c r="T6" s="1018"/>
      <c r="U6" s="1018"/>
      <c r="V6" s="1018"/>
      <c r="W6" s="1018"/>
      <c r="X6" s="1018"/>
      <c r="Y6" s="1018"/>
      <c r="Z6" s="1018"/>
      <c r="AA6" s="1019" t="str">
        <f>IF(A5="","",IF(VLOOKUP(A5,予選学校名!$I$3:$L$32,3,FALSE)="",IF(VLOOKUP(A5,予選学校名!$I$3:$L$32,4,FALSE)="","",VLOOKUP(A5,予選学校名!$I$3:$L$32,4,FALSE)),"("&amp;VLOOKUP(A5,予選学校名!$I$3:$L$32,2,FALSE)&amp;")"))</f>
        <v>(白山市)</v>
      </c>
      <c r="AB6" s="1019"/>
    </row>
    <row r="8" spans="1:77" s="455" customFormat="1" ht="18" x14ac:dyDescent="0.15">
      <c r="A8" s="457"/>
      <c r="C8" s="1024" t="s">
        <v>81</v>
      </c>
      <c r="D8" s="1024"/>
      <c r="E8" s="1024"/>
      <c r="F8" s="1024"/>
      <c r="G8" s="1024"/>
      <c r="H8" s="1024"/>
      <c r="I8" s="1024"/>
      <c r="J8" s="1024"/>
      <c r="K8" s="457"/>
      <c r="L8" s="457"/>
      <c r="M8" s="458"/>
      <c r="N8" s="459"/>
      <c r="O8" s="460"/>
      <c r="P8" s="457"/>
      <c r="Q8" s="457"/>
      <c r="R8" s="457"/>
      <c r="S8" s="457"/>
      <c r="T8" s="458"/>
      <c r="U8" s="459"/>
      <c r="V8" s="460"/>
      <c r="W8" s="457"/>
      <c r="X8" s="457"/>
      <c r="AK8" s="1024" t="s">
        <v>142</v>
      </c>
      <c r="AL8" s="1024"/>
      <c r="AM8" s="1024"/>
      <c r="AN8" s="1024"/>
      <c r="AO8" s="1024"/>
      <c r="AP8" s="1024"/>
      <c r="AQ8" s="1024"/>
      <c r="AR8" s="1024"/>
      <c r="AS8" s="457"/>
      <c r="AT8" s="457"/>
      <c r="AU8" s="458"/>
      <c r="AV8" s="459"/>
      <c r="AW8" s="460"/>
      <c r="AX8" s="457"/>
      <c r="AY8" s="457"/>
      <c r="AZ8" s="457"/>
      <c r="BA8" s="457"/>
      <c r="BB8" s="458"/>
      <c r="BC8" s="459"/>
      <c r="BD8" s="460"/>
      <c r="BE8" s="457"/>
      <c r="BF8" s="457"/>
      <c r="BG8" s="457"/>
      <c r="BH8" s="457"/>
      <c r="BI8" s="458"/>
      <c r="BJ8" s="459"/>
      <c r="BK8" s="459"/>
      <c r="BL8" s="460"/>
      <c r="BM8" s="457"/>
      <c r="BN8" s="457"/>
    </row>
    <row r="9" spans="1:77" ht="28.5" customHeight="1" x14ac:dyDescent="0.15">
      <c r="C9" s="297"/>
      <c r="D9" s="1007" t="str">
        <f>C10</f>
        <v>松任</v>
      </c>
      <c r="E9" s="1007"/>
      <c r="F9" s="1007"/>
      <c r="G9" s="1007"/>
      <c r="H9" s="1007"/>
      <c r="I9" s="1007"/>
      <c r="J9" s="1007"/>
      <c r="K9" s="1007" t="str">
        <f>C14</f>
        <v>美川</v>
      </c>
      <c r="L9" s="1007"/>
      <c r="M9" s="1007"/>
      <c r="N9" s="1007"/>
      <c r="O9" s="1007"/>
      <c r="P9" s="1007"/>
      <c r="Q9" s="1007"/>
      <c r="R9" s="1007" t="str">
        <f>C18</f>
        <v>根上</v>
      </c>
      <c r="S9" s="1007"/>
      <c r="T9" s="1007"/>
      <c r="U9" s="1007"/>
      <c r="V9" s="1007"/>
      <c r="W9" s="1007"/>
      <c r="X9" s="1007"/>
      <c r="Y9" s="461" t="s">
        <v>88</v>
      </c>
      <c r="Z9" s="462" t="s">
        <v>143</v>
      </c>
      <c r="AA9" s="461" t="s">
        <v>90</v>
      </c>
      <c r="AB9" s="461" t="s">
        <v>91</v>
      </c>
      <c r="AF9" s="290"/>
      <c r="AG9" s="258" t="str">
        <f>D9</f>
        <v>松任</v>
      </c>
      <c r="AH9" s="290" t="str">
        <f>K9</f>
        <v>美川</v>
      </c>
      <c r="AI9" s="290" t="str">
        <f>R9</f>
        <v>根上</v>
      </c>
      <c r="AK9" s="297"/>
      <c r="AL9" s="1007" t="str">
        <f>AK10</f>
        <v>北辰</v>
      </c>
      <c r="AM9" s="1007"/>
      <c r="AN9" s="1007"/>
      <c r="AO9" s="1007"/>
      <c r="AP9" s="1007"/>
      <c r="AQ9" s="1007"/>
      <c r="AR9" s="1007"/>
      <c r="AS9" s="1007" t="str">
        <f>AK14</f>
        <v>北星</v>
      </c>
      <c r="AT9" s="1007"/>
      <c r="AU9" s="1007"/>
      <c r="AV9" s="1007"/>
      <c r="AW9" s="1007"/>
      <c r="AX9" s="1007"/>
      <c r="AY9" s="1007"/>
      <c r="AZ9" s="1007" t="str">
        <f>AK18</f>
        <v>松陽</v>
      </c>
      <c r="BA9" s="1007"/>
      <c r="BB9" s="1007"/>
      <c r="BC9" s="1007"/>
      <c r="BD9" s="1007"/>
      <c r="BE9" s="1007"/>
      <c r="BF9" s="1007"/>
      <c r="BG9" s="461" t="s">
        <v>88</v>
      </c>
      <c r="BH9" s="462" t="s">
        <v>143</v>
      </c>
      <c r="BI9" s="461" t="s">
        <v>90</v>
      </c>
      <c r="BJ9" s="461" t="s">
        <v>91</v>
      </c>
      <c r="BK9" s="258"/>
      <c r="BL9" s="258"/>
      <c r="BM9" s="258"/>
      <c r="BO9" s="258" t="str">
        <f>AL9</f>
        <v>北辰</v>
      </c>
      <c r="BP9" s="290" t="str">
        <f>AS9</f>
        <v>北星</v>
      </c>
      <c r="BQ9" s="290" t="str">
        <f>AZ9</f>
        <v>松陽</v>
      </c>
      <c r="BR9" s="475"/>
      <c r="BS9" s="475"/>
      <c r="BT9" s="475"/>
      <c r="BU9" s="475"/>
      <c r="BV9" s="475"/>
      <c r="BW9" s="475"/>
    </row>
    <row r="10" spans="1:77" ht="30" customHeight="1" x14ac:dyDescent="0.15">
      <c r="C10" s="808" t="str">
        <f>IF('南(12時刻)'!C10="","",'南(12時刻)'!C10)</f>
        <v>松任</v>
      </c>
      <c r="D10" s="1008"/>
      <c r="E10" s="810"/>
      <c r="F10" s="810"/>
      <c r="G10" s="1009"/>
      <c r="H10" s="1009"/>
      <c r="I10" s="1009"/>
      <c r="J10" s="1010"/>
      <c r="K10" s="818">
        <f>IF(M11="","",SUM(M11,M12))</f>
        <v>5</v>
      </c>
      <c r="L10" s="819"/>
      <c r="M10" s="819"/>
      <c r="N10" s="463" t="str">
        <f>IF(K10="","",IF(K10&gt;O10,"○",IF(K10&lt;O10,"●","△")))</f>
        <v>○</v>
      </c>
      <c r="O10" s="819">
        <f>IF(O11="","",SUM(O11,O12))</f>
        <v>0</v>
      </c>
      <c r="P10" s="819"/>
      <c r="Q10" s="820"/>
      <c r="R10" s="818">
        <f>IF(T11="","",SUM(T11,T12))</f>
        <v>4</v>
      </c>
      <c r="S10" s="819"/>
      <c r="T10" s="819"/>
      <c r="U10" s="463" t="str">
        <f>IF(R10="","",IF(R10&gt;V10,"○",IF(R10&lt;V10,"●","△")))</f>
        <v>○</v>
      </c>
      <c r="V10" s="819">
        <f>IF(V11="","",SUM(V11,V12))</f>
        <v>1</v>
      </c>
      <c r="W10" s="819"/>
      <c r="X10" s="820"/>
      <c r="Y10" s="836">
        <f>IF(COUNT(D11:X11)=0,"",COUNTIF(D10:X10,"○")*3+COUNTIF(D10:X10,"△"))</f>
        <v>6</v>
      </c>
      <c r="Z10" s="836">
        <f>IF(Y10="","",SUM(H10:H21)/2-SUM(F10:F21))</f>
        <v>8</v>
      </c>
      <c r="AA10" s="836">
        <f>IF(Y10="","",SUM(H10:H21)/2)</f>
        <v>9</v>
      </c>
      <c r="AB10" s="836">
        <f>IF(OR(Y10="",MOD(COUNT(D10:X10),2)=1),"",RANK(AC10,$AC$10:$AC$21))</f>
        <v>1</v>
      </c>
      <c r="AC10" s="258">
        <f>IF(OR(Y10="",MOD(COUNT(D10:X10),2)=1),"",Y10*1000000+Z10*100+AA10)</f>
        <v>6000809</v>
      </c>
      <c r="AF10" s="290" t="str">
        <f>C10</f>
        <v>松任</v>
      </c>
      <c r="AH10" s="258">
        <f>IF(Y10=$Y14,IF(N10="○",3,IF(N10="△",1,0)),0)</f>
        <v>0</v>
      </c>
      <c r="AI10" s="258">
        <f>IF(Y10=$Y18,IF(U10="○",3,IF(U10="△",1,0)),0)</f>
        <v>0</v>
      </c>
      <c r="AK10" s="1025" t="str">
        <f>IF('南(12時刻)'!AM10="","",'南(12時刻)'!AM10)</f>
        <v>北辰</v>
      </c>
      <c r="AL10" s="1008"/>
      <c r="AM10" s="1026"/>
      <c r="AN10" s="810"/>
      <c r="AO10" s="1009"/>
      <c r="AP10" s="1009"/>
      <c r="AQ10" s="1009"/>
      <c r="AR10" s="1010"/>
      <c r="AS10" s="818">
        <f>IF(AU11="","",SUM(AU11,AU12))</f>
        <v>1</v>
      </c>
      <c r="AT10" s="819"/>
      <c r="AU10" s="819"/>
      <c r="AV10" s="463" t="str">
        <f>IF(AS10="","",IF(AS10&gt;AW10,"○",IF(AS10&lt;AW10,"●","△")))</f>
        <v>●</v>
      </c>
      <c r="AW10" s="819">
        <f>IF(AW11="","",SUM(AW11,AW12))</f>
        <v>2</v>
      </c>
      <c r="AX10" s="819"/>
      <c r="AY10" s="820"/>
      <c r="AZ10" s="818">
        <f>IF(BB11="","",SUM(BB11,BB12))</f>
        <v>6</v>
      </c>
      <c r="BA10" s="819"/>
      <c r="BB10" s="819"/>
      <c r="BC10" s="463" t="str">
        <f>IF(AZ10="","",IF(AZ10&gt;BD10,"○",IF(AZ10&lt;BD10,"●","△")))</f>
        <v>○</v>
      </c>
      <c r="BD10" s="819">
        <f>IF(BD11="","",SUM(BD11,BD12))</f>
        <v>0</v>
      </c>
      <c r="BE10" s="819"/>
      <c r="BF10" s="820"/>
      <c r="BG10" s="836">
        <f>IF(COUNT(AL11:BF11)=0,"",COUNTIF(AL10:BF10,"○")*3+COUNTIF(AL10:BF10,"△"))</f>
        <v>3</v>
      </c>
      <c r="BH10" s="836">
        <f>IF(BG10="","",SUM(AP10:AP21)/2-SUM(AN10:AN21))</f>
        <v>5</v>
      </c>
      <c r="BI10" s="836">
        <f>IF(BG10="","",SUM(AP10:AP21)/2)</f>
        <v>7</v>
      </c>
      <c r="BJ10" s="836">
        <f>IF(OR(BG10="",MOD(COUNT(AL10:BF10),2)=1),"",RANK(BK10,$BK$10:$BK$21))</f>
        <v>2</v>
      </c>
      <c r="BK10" s="258">
        <f>IF(OR(BG10="",MOD(COUNT(AL10:BF10),2)=1),"",BG10*1000000+BH10*100+BI10)</f>
        <v>3000507</v>
      </c>
      <c r="BL10" s="258"/>
      <c r="BM10" s="258"/>
      <c r="BN10" s="290" t="str">
        <f>AK10</f>
        <v>北辰</v>
      </c>
      <c r="BP10" s="258">
        <f>IF(BG10=$Y14,IF(AV10="○",3,IF(AV10="△",1,0)),0)</f>
        <v>0</v>
      </c>
      <c r="BQ10" s="258">
        <f>IF(BG10=$Y18,IF(BC10="○",3,IF(BC10="△",1,0)),0)</f>
        <v>0</v>
      </c>
      <c r="BR10" s="475"/>
      <c r="BS10" s="475"/>
      <c r="BT10" s="475"/>
      <c r="BU10" s="475"/>
      <c r="BV10" s="475"/>
      <c r="BW10" s="475"/>
      <c r="BX10" s="504">
        <f>IF(OR(BG10="",MOD(COUNT(AL10:BF10),2)=1),"",BG10*10000+BO10*100+BP10)</f>
        <v>30000</v>
      </c>
      <c r="BY10" s="475"/>
    </row>
    <row r="11" spans="1:77" x14ac:dyDescent="0.15">
      <c r="C11" s="808"/>
      <c r="D11" s="1011"/>
      <c r="E11" s="1012"/>
      <c r="F11" s="1012"/>
      <c r="G11" s="1012"/>
      <c r="H11" s="1012"/>
      <c r="I11" s="1012"/>
      <c r="J11" s="1013"/>
      <c r="K11" s="464"/>
      <c r="M11" s="465">
        <v>1</v>
      </c>
      <c r="N11" s="447" t="s">
        <v>92</v>
      </c>
      <c r="O11" s="466">
        <v>0</v>
      </c>
      <c r="Q11" s="467"/>
      <c r="R11" s="464"/>
      <c r="T11" s="465">
        <v>4</v>
      </c>
      <c r="U11" s="447" t="s">
        <v>92</v>
      </c>
      <c r="V11" s="466">
        <v>1</v>
      </c>
      <c r="X11" s="467"/>
      <c r="Y11" s="836"/>
      <c r="Z11" s="836"/>
      <c r="AA11" s="836"/>
      <c r="AB11" s="836"/>
      <c r="AF11" s="290"/>
      <c r="AK11" s="1025"/>
      <c r="AL11" s="1011"/>
      <c r="AM11" s="1027"/>
      <c r="AN11" s="1012"/>
      <c r="AO11" s="1012"/>
      <c r="AP11" s="1012"/>
      <c r="AQ11" s="1012"/>
      <c r="AR11" s="1013"/>
      <c r="AS11" s="464"/>
      <c r="AU11" s="465">
        <v>1</v>
      </c>
      <c r="AV11" s="447" t="s">
        <v>92</v>
      </c>
      <c r="AW11" s="466">
        <v>1</v>
      </c>
      <c r="AY11" s="467"/>
      <c r="AZ11" s="464"/>
      <c r="BB11" s="465">
        <v>2</v>
      </c>
      <c r="BC11" s="447" t="s">
        <v>92</v>
      </c>
      <c r="BD11" s="466">
        <v>0</v>
      </c>
      <c r="BF11" s="467"/>
      <c r="BG11" s="836"/>
      <c r="BH11" s="836"/>
      <c r="BI11" s="836"/>
      <c r="BJ11" s="836"/>
      <c r="BK11" s="258"/>
      <c r="BL11" s="258"/>
      <c r="BM11" s="258"/>
      <c r="BR11" s="475"/>
      <c r="BS11" s="475"/>
      <c r="BT11" s="475"/>
      <c r="BU11" s="475"/>
      <c r="BV11" s="475"/>
      <c r="BW11" s="475"/>
      <c r="BX11" s="504"/>
      <c r="BY11" s="475"/>
    </row>
    <row r="12" spans="1:77" x14ac:dyDescent="0.15">
      <c r="C12" s="808"/>
      <c r="D12" s="1011"/>
      <c r="E12" s="1012"/>
      <c r="F12" s="1012"/>
      <c r="G12" s="1012"/>
      <c r="H12" s="1012"/>
      <c r="I12" s="1012"/>
      <c r="J12" s="1013"/>
      <c r="K12" s="464"/>
      <c r="M12" s="465">
        <v>4</v>
      </c>
      <c r="N12" s="447" t="s">
        <v>92</v>
      </c>
      <c r="O12" s="466">
        <v>0</v>
      </c>
      <c r="Q12" s="467"/>
      <c r="R12" s="464"/>
      <c r="T12" s="465">
        <v>0</v>
      </c>
      <c r="U12" s="447" t="s">
        <v>92</v>
      </c>
      <c r="V12" s="466">
        <v>0</v>
      </c>
      <c r="X12" s="467"/>
      <c r="Y12" s="836"/>
      <c r="Z12" s="836"/>
      <c r="AA12" s="836"/>
      <c r="AB12" s="836"/>
      <c r="AF12" s="290"/>
      <c r="AK12" s="1025"/>
      <c r="AL12" s="1011"/>
      <c r="AM12" s="1027"/>
      <c r="AN12" s="1012"/>
      <c r="AO12" s="1012"/>
      <c r="AP12" s="1012"/>
      <c r="AQ12" s="1012"/>
      <c r="AR12" s="1013"/>
      <c r="AS12" s="464"/>
      <c r="AU12" s="465">
        <v>0</v>
      </c>
      <c r="AV12" s="447" t="s">
        <v>92</v>
      </c>
      <c r="AW12" s="466">
        <v>1</v>
      </c>
      <c r="AY12" s="467"/>
      <c r="AZ12" s="464"/>
      <c r="BB12" s="465">
        <v>4</v>
      </c>
      <c r="BC12" s="447" t="s">
        <v>92</v>
      </c>
      <c r="BD12" s="466">
        <v>0</v>
      </c>
      <c r="BF12" s="467"/>
      <c r="BG12" s="836"/>
      <c r="BH12" s="836"/>
      <c r="BI12" s="836"/>
      <c r="BJ12" s="836"/>
      <c r="BK12" s="258"/>
      <c r="BL12" s="258"/>
      <c r="BM12" s="258"/>
      <c r="BR12" s="475"/>
      <c r="BS12" s="475"/>
      <c r="BT12" s="475"/>
      <c r="BU12" s="475"/>
      <c r="BV12" s="475"/>
      <c r="BW12" s="475"/>
      <c r="BX12" s="504"/>
      <c r="BY12" s="475"/>
    </row>
    <row r="13" spans="1:77" ht="3.75" customHeight="1" x14ac:dyDescent="0.15">
      <c r="C13" s="808"/>
      <c r="D13" s="1014"/>
      <c r="E13" s="1015"/>
      <c r="F13" s="1015"/>
      <c r="G13" s="1015"/>
      <c r="H13" s="1015"/>
      <c r="I13" s="1015"/>
      <c r="J13" s="1016"/>
      <c r="K13" s="468"/>
      <c r="L13" s="469"/>
      <c r="M13" s="470"/>
      <c r="N13" s="471"/>
      <c r="O13" s="472"/>
      <c r="P13" s="469"/>
      <c r="Q13" s="473"/>
      <c r="R13" s="468"/>
      <c r="S13" s="469"/>
      <c r="T13" s="470"/>
      <c r="U13" s="471"/>
      <c r="V13" s="472"/>
      <c r="W13" s="469"/>
      <c r="X13" s="473"/>
      <c r="Y13" s="836"/>
      <c r="Z13" s="836"/>
      <c r="AA13" s="836"/>
      <c r="AB13" s="836"/>
      <c r="AF13" s="290"/>
      <c r="AK13" s="1025"/>
      <c r="AL13" s="1014"/>
      <c r="AM13" s="1028"/>
      <c r="AN13" s="1015"/>
      <c r="AO13" s="1015"/>
      <c r="AP13" s="1015"/>
      <c r="AQ13" s="1015"/>
      <c r="AR13" s="1016"/>
      <c r="AS13" s="468"/>
      <c r="AT13" s="469"/>
      <c r="AU13" s="470"/>
      <c r="AV13" s="471"/>
      <c r="AW13" s="472"/>
      <c r="AX13" s="469"/>
      <c r="AY13" s="473"/>
      <c r="AZ13" s="468"/>
      <c r="BA13" s="469"/>
      <c r="BB13" s="470"/>
      <c r="BC13" s="471"/>
      <c r="BD13" s="472"/>
      <c r="BE13" s="469"/>
      <c r="BF13" s="473"/>
      <c r="BG13" s="836"/>
      <c r="BH13" s="836"/>
      <c r="BI13" s="836"/>
      <c r="BJ13" s="836"/>
      <c r="BK13" s="258"/>
      <c r="BL13" s="258"/>
      <c r="BM13" s="258"/>
      <c r="BR13" s="475"/>
      <c r="BS13" s="475"/>
      <c r="BT13" s="475"/>
      <c r="BU13" s="475"/>
      <c r="BV13" s="475"/>
      <c r="BW13" s="475"/>
      <c r="BX13" s="504"/>
      <c r="BY13" s="475"/>
    </row>
    <row r="14" spans="1:77" ht="30" customHeight="1" x14ac:dyDescent="0.15">
      <c r="C14" s="808" t="str">
        <f>IF('南(12時刻)'!C14="","",'南(12時刻)'!C14)</f>
        <v>美川</v>
      </c>
      <c r="D14" s="818">
        <f>IF(F15="","",SUM(F15,F16))</f>
        <v>0</v>
      </c>
      <c r="E14" s="819"/>
      <c r="F14" s="819"/>
      <c r="G14" s="463" t="str">
        <f>IF(D14="","",IF(D14&gt;H14,"○",IF(D14&lt;H14,"●","△")))</f>
        <v>●</v>
      </c>
      <c r="H14" s="819">
        <f>IF(H15="","",SUM(H15,H16))</f>
        <v>5</v>
      </c>
      <c r="I14" s="819"/>
      <c r="J14" s="820"/>
      <c r="K14" s="1008"/>
      <c r="L14" s="810"/>
      <c r="M14" s="810"/>
      <c r="N14" s="1009"/>
      <c r="O14" s="1009"/>
      <c r="P14" s="1009"/>
      <c r="Q14" s="1010"/>
      <c r="R14" s="818">
        <f>IF(T15="","",SUM(T15,T16))</f>
        <v>2</v>
      </c>
      <c r="S14" s="819"/>
      <c r="T14" s="819"/>
      <c r="U14" s="463" t="str">
        <f>IF(R14="","",IF(R14&gt;V14,"○",IF(R14&lt;V14,"●","△")))</f>
        <v>○</v>
      </c>
      <c r="V14" s="819">
        <f>IF(V15="","",SUM(V15,V16))</f>
        <v>0</v>
      </c>
      <c r="W14" s="819"/>
      <c r="X14" s="820"/>
      <c r="Y14" s="836">
        <f>IF(COUNT(D15:X15)=0,"",COUNTIF(D14:X14,"○")*3+COUNTIF(D14:X14,"△"))</f>
        <v>3</v>
      </c>
      <c r="Z14" s="836">
        <f>IF(Y14="","",SUM(O10:O21)/2-SUM(M10:M21))</f>
        <v>-3</v>
      </c>
      <c r="AA14" s="836">
        <f>IF(Y14="","",SUM(O10:O21)/2)</f>
        <v>2</v>
      </c>
      <c r="AB14" s="836">
        <f>IF(OR(Y14="",MOD(COUNT(D14:X14),2)=1),"",RANK(AC14,$AC$10:$AC$21))</f>
        <v>2</v>
      </c>
      <c r="AC14" s="258">
        <f>IF(OR(Y14="",MOD(COUNT(D14:X14),2)=1),"",Y14*1000000+Z14*100+AA14)</f>
        <v>2999702</v>
      </c>
      <c r="AF14" s="290" t="str">
        <f>C14</f>
        <v>美川</v>
      </c>
      <c r="AG14" s="258">
        <f>IF(Y14=$Y10,IF(G14="○",3,IF(G14="△",1,0)),0)</f>
        <v>0</v>
      </c>
      <c r="AI14" s="258">
        <f>IF(Y14=$Y18,IF(U14="○",3,IF(U14="△",1,0)),0)</f>
        <v>0</v>
      </c>
      <c r="AK14" s="1025" t="str">
        <f>IF('南(12時刻)'!AM14="","",'南(12時刻)'!AM14)</f>
        <v>北星</v>
      </c>
      <c r="AL14" s="818">
        <f>IF(AN15="","",SUM(AN15,AN16))</f>
        <v>2</v>
      </c>
      <c r="AM14" s="1029"/>
      <c r="AN14" s="819"/>
      <c r="AO14" s="463" t="str">
        <f>IF(AL14="","",IF(AL14&gt;AP14,"○",IF(AL14&lt;AP14,"●","△")))</f>
        <v>○</v>
      </c>
      <c r="AP14" s="819">
        <f>IF(AP15="","",SUM(AP15,AP16))</f>
        <v>1</v>
      </c>
      <c r="AQ14" s="819"/>
      <c r="AR14" s="820"/>
      <c r="AS14" s="1008"/>
      <c r="AT14" s="810"/>
      <c r="AU14" s="810"/>
      <c r="AV14" s="1009"/>
      <c r="AW14" s="1009"/>
      <c r="AX14" s="1009"/>
      <c r="AY14" s="1010"/>
      <c r="AZ14" s="818">
        <f>IF(BB15="","",SUM(BB15,BB16))</f>
        <v>3</v>
      </c>
      <c r="BA14" s="819"/>
      <c r="BB14" s="819"/>
      <c r="BC14" s="463" t="str">
        <f>IF(AZ14="","",IF(AZ14&gt;BD14,"○",IF(AZ14&lt;BD14,"●","△")))</f>
        <v>○</v>
      </c>
      <c r="BD14" s="819">
        <f>IF(BD15="","",SUM(BD15,BD16))</f>
        <v>2</v>
      </c>
      <c r="BE14" s="819"/>
      <c r="BF14" s="820"/>
      <c r="BG14" s="836">
        <f>IF(COUNT(AL15:BF15)=0,"",COUNTIF(AL14:BF14,"○")*3+COUNTIF(AL14:BF14,"△"))</f>
        <v>6</v>
      </c>
      <c r="BH14" s="836">
        <f>IF(BG14="","",SUM(AW10:AW21)/2-SUM(AU10:AU21))</f>
        <v>2</v>
      </c>
      <c r="BI14" s="836">
        <f>IF(BG14="","",SUM(AW10:AW21)/2)</f>
        <v>5</v>
      </c>
      <c r="BJ14" s="836">
        <f>IF(OR(BG14="",MOD(COUNT(AL14:BF14),2)=1),"",RANK(BK14,$BK$10:$BK$21))</f>
        <v>1</v>
      </c>
      <c r="BK14" s="258">
        <f>IF(OR(BG14="",MOD(COUNT(AL14:BF14),2)=1),"",BG14*1000000+BH14*100+BI14)</f>
        <v>6000205</v>
      </c>
      <c r="BL14" s="258"/>
      <c r="BM14" s="258"/>
      <c r="BN14" s="290" t="str">
        <f>AK14</f>
        <v>北星</v>
      </c>
      <c r="BO14" s="258">
        <f>IF(BG14=$Y10,IF(AO14="○",3,IF(AO14="△",1,0)),0)</f>
        <v>3</v>
      </c>
      <c r="BQ14" s="258">
        <f>IF(BG14=$Y18,IF(BC14="○",3,IF(BC14="△",1,0)),0)</f>
        <v>0</v>
      </c>
      <c r="BR14" s="475"/>
      <c r="BS14" s="475"/>
      <c r="BT14" s="475"/>
      <c r="BU14" s="475"/>
      <c r="BV14" s="475"/>
      <c r="BW14" s="475"/>
      <c r="BX14" s="504">
        <f>IF(OR(BG14="",MOD(COUNT(AL14:BF14),2)=1),"",BG14*10000+BO14*100+BP14)</f>
        <v>60300</v>
      </c>
      <c r="BY14" s="475"/>
    </row>
    <row r="15" spans="1:77" x14ac:dyDescent="0.15">
      <c r="C15" s="808"/>
      <c r="D15" s="464"/>
      <c r="F15" s="446">
        <f>IF(O11="","",O11)</f>
        <v>0</v>
      </c>
      <c r="G15" s="447" t="s">
        <v>92</v>
      </c>
      <c r="H15" s="448">
        <f>IF(M11="","",M11)</f>
        <v>1</v>
      </c>
      <c r="J15" s="467"/>
      <c r="K15" s="1011"/>
      <c r="L15" s="1012"/>
      <c r="M15" s="1012"/>
      <c r="N15" s="1012"/>
      <c r="O15" s="1012"/>
      <c r="P15" s="1012"/>
      <c r="Q15" s="1013"/>
      <c r="R15" s="464"/>
      <c r="T15" s="465">
        <v>2</v>
      </c>
      <c r="U15" s="447" t="s">
        <v>92</v>
      </c>
      <c r="V15" s="466">
        <v>0</v>
      </c>
      <c r="X15" s="467"/>
      <c r="Y15" s="836"/>
      <c r="Z15" s="836"/>
      <c r="AA15" s="836"/>
      <c r="AB15" s="836"/>
      <c r="AF15" s="290"/>
      <c r="AK15" s="1025"/>
      <c r="AL15" s="464"/>
      <c r="AM15" s="555"/>
      <c r="AN15" s="446">
        <f>IF(AW11="","",AW11)</f>
        <v>1</v>
      </c>
      <c r="AO15" s="447" t="s">
        <v>92</v>
      </c>
      <c r="AP15" s="448">
        <f>IF(AU11="","",AU11)</f>
        <v>1</v>
      </c>
      <c r="AR15" s="467"/>
      <c r="AS15" s="1011"/>
      <c r="AT15" s="1012"/>
      <c r="AU15" s="1012"/>
      <c r="AV15" s="1012"/>
      <c r="AW15" s="1012"/>
      <c r="AX15" s="1012"/>
      <c r="AY15" s="1013"/>
      <c r="AZ15" s="464"/>
      <c r="BB15" s="465">
        <v>1</v>
      </c>
      <c r="BC15" s="447" t="s">
        <v>92</v>
      </c>
      <c r="BD15" s="466">
        <v>1</v>
      </c>
      <c r="BF15" s="467"/>
      <c r="BG15" s="836"/>
      <c r="BH15" s="836"/>
      <c r="BI15" s="836"/>
      <c r="BJ15" s="836"/>
      <c r="BK15" s="258"/>
      <c r="BL15" s="258"/>
      <c r="BM15" s="258"/>
      <c r="BR15" s="475"/>
      <c r="BS15" s="475"/>
      <c r="BT15" s="475"/>
      <c r="BU15" s="475"/>
      <c r="BV15" s="475"/>
      <c r="BW15" s="475"/>
      <c r="BX15" s="504"/>
      <c r="BY15" s="475"/>
    </row>
    <row r="16" spans="1:77" x14ac:dyDescent="0.15">
      <c r="C16" s="808"/>
      <c r="D16" s="464"/>
      <c r="F16" s="446">
        <f>IF(O12="","",O12)</f>
        <v>0</v>
      </c>
      <c r="G16" s="447" t="s">
        <v>92</v>
      </c>
      <c r="H16" s="448">
        <f>IF(M12="","",M12)</f>
        <v>4</v>
      </c>
      <c r="J16" s="467"/>
      <c r="K16" s="1011"/>
      <c r="L16" s="1012"/>
      <c r="M16" s="1012"/>
      <c r="N16" s="1012"/>
      <c r="O16" s="1012"/>
      <c r="P16" s="1012"/>
      <c r="Q16" s="1013"/>
      <c r="R16" s="464"/>
      <c r="T16" s="465">
        <v>0</v>
      </c>
      <c r="U16" s="447" t="s">
        <v>92</v>
      </c>
      <c r="V16" s="466">
        <v>0</v>
      </c>
      <c r="X16" s="467"/>
      <c r="Y16" s="836"/>
      <c r="Z16" s="836"/>
      <c r="AA16" s="836"/>
      <c r="AB16" s="836"/>
      <c r="AF16" s="290"/>
      <c r="AK16" s="1025"/>
      <c r="AL16" s="464"/>
      <c r="AM16" s="555"/>
      <c r="AN16" s="446">
        <f>IF(AW12="","",AW12)</f>
        <v>1</v>
      </c>
      <c r="AO16" s="447" t="s">
        <v>92</v>
      </c>
      <c r="AP16" s="448">
        <f>IF(AU12="","",AU12)</f>
        <v>0</v>
      </c>
      <c r="AR16" s="467"/>
      <c r="AS16" s="1011"/>
      <c r="AT16" s="1012"/>
      <c r="AU16" s="1012"/>
      <c r="AV16" s="1012"/>
      <c r="AW16" s="1012"/>
      <c r="AX16" s="1012"/>
      <c r="AY16" s="1013"/>
      <c r="AZ16" s="464"/>
      <c r="BB16" s="465">
        <v>2</v>
      </c>
      <c r="BC16" s="447" t="s">
        <v>92</v>
      </c>
      <c r="BD16" s="466">
        <v>1</v>
      </c>
      <c r="BF16" s="467"/>
      <c r="BG16" s="836"/>
      <c r="BH16" s="836"/>
      <c r="BI16" s="836"/>
      <c r="BJ16" s="836"/>
      <c r="BK16" s="258"/>
      <c r="BL16" s="258"/>
      <c r="BM16" s="258"/>
      <c r="BR16" s="475"/>
      <c r="BS16" s="475"/>
      <c r="BT16" s="475"/>
      <c r="BU16" s="475"/>
      <c r="BV16" s="475"/>
      <c r="BW16" s="475"/>
      <c r="BX16" s="504"/>
      <c r="BY16" s="475"/>
    </row>
    <row r="17" spans="1:77" ht="3.75" customHeight="1" x14ac:dyDescent="0.15">
      <c r="C17" s="808"/>
      <c r="D17" s="468"/>
      <c r="E17" s="469"/>
      <c r="F17" s="470"/>
      <c r="G17" s="471"/>
      <c r="H17" s="472"/>
      <c r="I17" s="469"/>
      <c r="J17" s="473"/>
      <c r="K17" s="1014"/>
      <c r="L17" s="1015"/>
      <c r="M17" s="1015"/>
      <c r="N17" s="1015"/>
      <c r="O17" s="1015"/>
      <c r="P17" s="1015"/>
      <c r="Q17" s="1016"/>
      <c r="R17" s="468"/>
      <c r="S17" s="469"/>
      <c r="T17" s="470"/>
      <c r="U17" s="471"/>
      <c r="V17" s="472"/>
      <c r="W17" s="469"/>
      <c r="X17" s="473"/>
      <c r="Y17" s="836"/>
      <c r="Z17" s="836"/>
      <c r="AA17" s="836"/>
      <c r="AB17" s="836"/>
      <c r="AF17" s="290"/>
      <c r="AK17" s="1025"/>
      <c r="AL17" s="468"/>
      <c r="AM17" s="556"/>
      <c r="AN17" s="470"/>
      <c r="AO17" s="471"/>
      <c r="AP17" s="472"/>
      <c r="AQ17" s="469"/>
      <c r="AR17" s="473"/>
      <c r="AS17" s="1014"/>
      <c r="AT17" s="1015"/>
      <c r="AU17" s="1015"/>
      <c r="AV17" s="1015"/>
      <c r="AW17" s="1015"/>
      <c r="AX17" s="1015"/>
      <c r="AY17" s="1016"/>
      <c r="AZ17" s="468"/>
      <c r="BA17" s="469"/>
      <c r="BB17" s="470"/>
      <c r="BC17" s="471"/>
      <c r="BD17" s="472"/>
      <c r="BE17" s="469"/>
      <c r="BF17" s="473"/>
      <c r="BG17" s="836"/>
      <c r="BH17" s="836"/>
      <c r="BI17" s="836"/>
      <c r="BJ17" s="836"/>
      <c r="BK17" s="258"/>
      <c r="BL17" s="258"/>
      <c r="BM17" s="258"/>
      <c r="BR17" s="475"/>
      <c r="BS17" s="475"/>
      <c r="BT17" s="475"/>
      <c r="BU17" s="475"/>
      <c r="BV17" s="475"/>
      <c r="BW17" s="475"/>
      <c r="BX17" s="504"/>
      <c r="BY17" s="475"/>
    </row>
    <row r="18" spans="1:77" ht="30" customHeight="1" x14ac:dyDescent="0.15">
      <c r="C18" s="808" t="str">
        <f>IF('南(12時刻)'!C18="","",'南(12時刻)'!C18)</f>
        <v>根上</v>
      </c>
      <c r="D18" s="818">
        <f>IF(F19="","",SUM(F19,F20))</f>
        <v>1</v>
      </c>
      <c r="E18" s="819"/>
      <c r="F18" s="819"/>
      <c r="G18" s="463" t="str">
        <f>IF(D18="","",IF(D18&gt;H18,"○",IF(D18&lt;H18,"●","△")))</f>
        <v>●</v>
      </c>
      <c r="H18" s="819">
        <f>IF(H19="","",SUM(H19,H20))</f>
        <v>4</v>
      </c>
      <c r="I18" s="819"/>
      <c r="J18" s="820"/>
      <c r="K18" s="818">
        <f>IF(M19="","",SUM(M19,M20))</f>
        <v>0</v>
      </c>
      <c r="L18" s="819"/>
      <c r="M18" s="819"/>
      <c r="N18" s="463" t="str">
        <f>IF(K18="","",IF(K18&gt;O18,"○",IF(K18&lt;O18,"●","△")))</f>
        <v>●</v>
      </c>
      <c r="O18" s="819">
        <f>IF(O19="","",SUM(O19,O20))</f>
        <v>2</v>
      </c>
      <c r="P18" s="819"/>
      <c r="Q18" s="820"/>
      <c r="R18" s="1008"/>
      <c r="S18" s="810"/>
      <c r="T18" s="810"/>
      <c r="U18" s="1009"/>
      <c r="V18" s="1009"/>
      <c r="W18" s="1009"/>
      <c r="X18" s="1010"/>
      <c r="Y18" s="836">
        <f>IF(COUNT(D19:X19)=0,"",COUNTIF(D18:X18,"○")*3+COUNTIF(D18:X18,"△"))</f>
        <v>0</v>
      </c>
      <c r="Z18" s="836">
        <f>IF(Y18="","",SUM(V10:V21)/2-SUM(T10:T21))</f>
        <v>-5</v>
      </c>
      <c r="AA18" s="836">
        <f>IF(Y18="","",SUM(V10:V21)/2)</f>
        <v>1</v>
      </c>
      <c r="AB18" s="836">
        <f>IF(OR(Y18="",MOD(COUNT(D18:X18),2)=1),"",RANK(AC18,$AC$10:$AC$21))</f>
        <v>3</v>
      </c>
      <c r="AC18" s="258">
        <f>IF(OR(Y18="",MOD(COUNT(D18:X18),2)=1),"",Y18*1000000+Z18*100+AA18)</f>
        <v>-499</v>
      </c>
      <c r="AF18" s="290" t="str">
        <f>C18</f>
        <v>根上</v>
      </c>
      <c r="AG18" s="258">
        <f>IF(Y18=$Y10,IF(G18="○",3,IF(G18="△",1,0)),0)</f>
        <v>0</v>
      </c>
      <c r="AH18" s="258">
        <f>IF(Y18=$Y14,IF(N18="○",3,IF(N18="△",1,0)),0)</f>
        <v>0</v>
      </c>
      <c r="AK18" s="1025" t="str">
        <f>IF('南(12時刻)'!AM18="","",'南(12時刻)'!AM18)</f>
        <v>松陽</v>
      </c>
      <c r="AL18" s="818">
        <f>IF(AN19="","",SUM(AN19,AN20))</f>
        <v>0</v>
      </c>
      <c r="AM18" s="1029"/>
      <c r="AN18" s="819"/>
      <c r="AO18" s="463" t="str">
        <f>IF(AL18="","",IF(AL18&gt;AP18,"○",IF(AL18&lt;AP18,"●","△")))</f>
        <v>●</v>
      </c>
      <c r="AP18" s="819">
        <f>IF(AP19="","",SUM(AP19,AP20))</f>
        <v>6</v>
      </c>
      <c r="AQ18" s="819"/>
      <c r="AR18" s="820"/>
      <c r="AS18" s="818">
        <f>IF(AU19="","",SUM(AU19,AU20))</f>
        <v>2</v>
      </c>
      <c r="AT18" s="819"/>
      <c r="AU18" s="819"/>
      <c r="AV18" s="463" t="str">
        <f>IF(AS18="","",IF(AS18&gt;AW18,"○",IF(AS18&lt;AW18,"●","△")))</f>
        <v>●</v>
      </c>
      <c r="AW18" s="819">
        <f>IF(AW19="","",SUM(AW19,AW20))</f>
        <v>3</v>
      </c>
      <c r="AX18" s="819"/>
      <c r="AY18" s="820"/>
      <c r="AZ18" s="1008"/>
      <c r="BA18" s="810"/>
      <c r="BB18" s="810"/>
      <c r="BC18" s="1009"/>
      <c r="BD18" s="1009"/>
      <c r="BE18" s="1009"/>
      <c r="BF18" s="1010"/>
      <c r="BG18" s="836">
        <f>IF(COUNT(AL19:BF19)=0,"",COUNTIF(AL18:BF18,"○")*3+COUNTIF(AL18:BF18,"△"))</f>
        <v>0</v>
      </c>
      <c r="BH18" s="836">
        <f>IF(BG18="","",SUM(BD10:BD21)/2-SUM(BB10:BB21))</f>
        <v>-7</v>
      </c>
      <c r="BI18" s="836">
        <f>IF(BG18="","",SUM(BD10:BD21)/2)</f>
        <v>2</v>
      </c>
      <c r="BJ18" s="836">
        <f>IF(OR(BG18="",MOD(COUNT(AL18:BF18),2)=1),"",RANK(BK18,$BK$10:$BK$21))</f>
        <v>3</v>
      </c>
      <c r="BK18" s="258">
        <f>IF(OR(BG18="",MOD(COUNT(AL18:BF18),2)=1),"",BG18*1000000+BH18*100+BI18)</f>
        <v>-698</v>
      </c>
      <c r="BL18" s="258"/>
      <c r="BM18" s="258"/>
      <c r="BN18" s="290" t="str">
        <f>AK18</f>
        <v>松陽</v>
      </c>
      <c r="BO18" s="258">
        <f>IF(BG18=$Y10,IF(AO18="○",3,IF(AO18="△",1,0)),0)</f>
        <v>0</v>
      </c>
      <c r="BP18" s="258">
        <f>IF(BG18=$Y14,IF(AV18="○",3,IF(AV18="△",1,0)),0)</f>
        <v>0</v>
      </c>
      <c r="BR18" s="475"/>
      <c r="BS18" s="475"/>
      <c r="BT18" s="475"/>
      <c r="BU18" s="475"/>
      <c r="BV18" s="475"/>
      <c r="BW18" s="475"/>
      <c r="BX18" s="504">
        <f>IF(OR(BG18="",MOD(COUNT(AL18:BF18),2)=1),"",BG18*10000+BO18*100+BP18)</f>
        <v>0</v>
      </c>
      <c r="BY18" s="475"/>
    </row>
    <row r="19" spans="1:77" x14ac:dyDescent="0.15">
      <c r="C19" s="808"/>
      <c r="D19" s="464"/>
      <c r="F19" s="446">
        <f>IF(V11="","",V11)</f>
        <v>1</v>
      </c>
      <c r="G19" s="447" t="s">
        <v>92</v>
      </c>
      <c r="H19" s="448">
        <f>IF(T11="","",T11)</f>
        <v>4</v>
      </c>
      <c r="J19" s="467"/>
      <c r="K19" s="464"/>
      <c r="M19" s="446">
        <f>IF(V15="","",V15)</f>
        <v>0</v>
      </c>
      <c r="N19" s="447" t="s">
        <v>92</v>
      </c>
      <c r="O19" s="448">
        <f>IF(T15="","",T15)</f>
        <v>2</v>
      </c>
      <c r="Q19" s="467"/>
      <c r="R19" s="1011"/>
      <c r="S19" s="1012"/>
      <c r="T19" s="1012"/>
      <c r="U19" s="1012"/>
      <c r="V19" s="1012"/>
      <c r="W19" s="1012"/>
      <c r="X19" s="1013"/>
      <c r="Y19" s="836"/>
      <c r="Z19" s="836"/>
      <c r="AA19" s="836"/>
      <c r="AB19" s="836"/>
      <c r="AD19" s="475"/>
      <c r="AE19" s="475"/>
      <c r="AF19" s="475"/>
      <c r="AG19" s="475"/>
      <c r="AH19" s="475"/>
      <c r="AI19" s="475"/>
      <c r="AK19" s="1025"/>
      <c r="AL19" s="464"/>
      <c r="AM19" s="555"/>
      <c r="AN19" s="446">
        <f>IF(BD11="","",BD11)</f>
        <v>0</v>
      </c>
      <c r="AO19" s="447" t="s">
        <v>92</v>
      </c>
      <c r="AP19" s="448">
        <f>IF(BB11="","",BB11)</f>
        <v>2</v>
      </c>
      <c r="AR19" s="467"/>
      <c r="AS19" s="464"/>
      <c r="AU19" s="446">
        <f>IF(BD15="","",BD15)</f>
        <v>1</v>
      </c>
      <c r="AV19" s="447" t="s">
        <v>92</v>
      </c>
      <c r="AW19" s="448">
        <f>IF(BB15="","",BB15)</f>
        <v>1</v>
      </c>
      <c r="AY19" s="467"/>
      <c r="AZ19" s="1011"/>
      <c r="BA19" s="1012"/>
      <c r="BB19" s="1012"/>
      <c r="BC19" s="1012"/>
      <c r="BD19" s="1012"/>
      <c r="BE19" s="1012"/>
      <c r="BF19" s="1013"/>
      <c r="BG19" s="836"/>
      <c r="BH19" s="836"/>
      <c r="BI19" s="836"/>
      <c r="BJ19" s="836"/>
      <c r="BK19" s="258"/>
      <c r="BL19" s="475"/>
      <c r="BM19" s="475"/>
      <c r="BN19" s="475"/>
      <c r="BO19" s="475"/>
      <c r="BP19" s="475"/>
      <c r="BQ19" s="475"/>
      <c r="BR19" s="475"/>
      <c r="BS19" s="475"/>
      <c r="BT19" s="475"/>
      <c r="BU19" s="475"/>
      <c r="BV19" s="475"/>
      <c r="BW19" s="475"/>
      <c r="BX19" s="504"/>
      <c r="BY19" s="475"/>
    </row>
    <row r="20" spans="1:77" x14ac:dyDescent="0.15">
      <c r="C20" s="808"/>
      <c r="D20" s="464"/>
      <c r="F20" s="446">
        <f>IF(V12="","",V12)</f>
        <v>0</v>
      </c>
      <c r="G20" s="447" t="s">
        <v>92</v>
      </c>
      <c r="H20" s="448">
        <f>IF(T12="","",T12)</f>
        <v>0</v>
      </c>
      <c r="J20" s="467"/>
      <c r="K20" s="464"/>
      <c r="M20" s="446">
        <f>IF(V16="","",V16)</f>
        <v>0</v>
      </c>
      <c r="N20" s="447" t="s">
        <v>92</v>
      </c>
      <c r="O20" s="448">
        <f>IF(T16="","",T16)</f>
        <v>0</v>
      </c>
      <c r="Q20" s="467"/>
      <c r="R20" s="1011"/>
      <c r="S20" s="1012"/>
      <c r="T20" s="1012"/>
      <c r="U20" s="1012"/>
      <c r="V20" s="1012"/>
      <c r="W20" s="1012"/>
      <c r="X20" s="1013"/>
      <c r="Y20" s="836"/>
      <c r="Z20" s="836"/>
      <c r="AA20" s="836"/>
      <c r="AB20" s="836"/>
      <c r="AD20" s="475"/>
      <c r="AE20" s="475"/>
      <c r="AF20" s="475"/>
      <c r="AG20" s="475"/>
      <c r="AH20" s="475"/>
      <c r="AI20" s="475"/>
      <c r="AK20" s="1025"/>
      <c r="AL20" s="464"/>
      <c r="AM20" s="555"/>
      <c r="AN20" s="446">
        <f>IF(BD12="","",BD12)</f>
        <v>0</v>
      </c>
      <c r="AO20" s="447" t="s">
        <v>92</v>
      </c>
      <c r="AP20" s="448">
        <f>IF(BB12="","",BB12)</f>
        <v>4</v>
      </c>
      <c r="AR20" s="467"/>
      <c r="AS20" s="464"/>
      <c r="AU20" s="446">
        <f>IF(BD16="","",BD16)</f>
        <v>1</v>
      </c>
      <c r="AV20" s="447" t="s">
        <v>92</v>
      </c>
      <c r="AW20" s="448">
        <f>IF(BB16="","",BB16)</f>
        <v>2</v>
      </c>
      <c r="AY20" s="467"/>
      <c r="AZ20" s="1011"/>
      <c r="BA20" s="1012"/>
      <c r="BB20" s="1012"/>
      <c r="BC20" s="1012"/>
      <c r="BD20" s="1012"/>
      <c r="BE20" s="1012"/>
      <c r="BF20" s="1013"/>
      <c r="BG20" s="836"/>
      <c r="BH20" s="836"/>
      <c r="BI20" s="836"/>
      <c r="BJ20" s="836"/>
      <c r="BK20" s="258"/>
      <c r="BL20" s="475"/>
      <c r="BM20" s="475"/>
      <c r="BN20" s="475"/>
      <c r="BO20" s="475"/>
      <c r="BP20" s="475"/>
      <c r="BQ20" s="475"/>
      <c r="BR20" s="475"/>
      <c r="BS20" s="475"/>
      <c r="BT20" s="475"/>
      <c r="BU20" s="475"/>
      <c r="BV20" s="475"/>
      <c r="BW20" s="475"/>
      <c r="BX20" s="504"/>
      <c r="BY20" s="475"/>
    </row>
    <row r="21" spans="1:77" ht="3.75" customHeight="1" x14ac:dyDescent="0.15">
      <c r="C21" s="808"/>
      <c r="D21" s="468"/>
      <c r="E21" s="469"/>
      <c r="F21" s="470"/>
      <c r="G21" s="471"/>
      <c r="H21" s="472"/>
      <c r="I21" s="469"/>
      <c r="J21" s="473"/>
      <c r="K21" s="468"/>
      <c r="L21" s="469"/>
      <c r="M21" s="470"/>
      <c r="N21" s="471"/>
      <c r="O21" s="472"/>
      <c r="P21" s="469"/>
      <c r="Q21" s="473"/>
      <c r="R21" s="1014"/>
      <c r="S21" s="1015"/>
      <c r="T21" s="1015"/>
      <c r="U21" s="1015"/>
      <c r="V21" s="1015"/>
      <c r="W21" s="1015"/>
      <c r="X21" s="1016"/>
      <c r="Y21" s="836"/>
      <c r="Z21" s="836"/>
      <c r="AA21" s="836"/>
      <c r="AB21" s="836"/>
      <c r="AD21" s="475"/>
      <c r="AE21" s="475"/>
      <c r="AF21" s="475"/>
      <c r="AG21" s="475"/>
      <c r="AH21" s="475"/>
      <c r="AI21" s="475"/>
      <c r="AK21" s="1025"/>
      <c r="AL21" s="468"/>
      <c r="AM21" s="556"/>
      <c r="AN21" s="470"/>
      <c r="AO21" s="471"/>
      <c r="AP21" s="472"/>
      <c r="AQ21" s="469"/>
      <c r="AR21" s="473"/>
      <c r="AS21" s="468"/>
      <c r="AT21" s="469"/>
      <c r="AU21" s="470"/>
      <c r="AV21" s="471"/>
      <c r="AW21" s="472"/>
      <c r="AX21" s="469"/>
      <c r="AY21" s="473"/>
      <c r="AZ21" s="1014"/>
      <c r="BA21" s="1015"/>
      <c r="BB21" s="1015"/>
      <c r="BC21" s="1015"/>
      <c r="BD21" s="1015"/>
      <c r="BE21" s="1015"/>
      <c r="BF21" s="1016"/>
      <c r="BG21" s="836"/>
      <c r="BH21" s="836"/>
      <c r="BI21" s="836"/>
      <c r="BJ21" s="836"/>
      <c r="BK21" s="258"/>
      <c r="BL21" s="475"/>
      <c r="BM21" s="475"/>
      <c r="BN21" s="475"/>
      <c r="BO21" s="475"/>
      <c r="BP21" s="475"/>
      <c r="BQ21" s="475"/>
      <c r="BR21" s="475"/>
      <c r="BS21" s="475"/>
      <c r="BT21" s="475"/>
      <c r="BU21" s="475"/>
      <c r="BV21" s="475"/>
      <c r="BW21" s="475"/>
      <c r="BX21" s="504"/>
      <c r="BY21" s="475" t="str">
        <f>IF(OR(BG21="",MOD(COUNT(AL21:BF21),2)=1),"",BG21*10000+BK21*100+BO21)</f>
        <v/>
      </c>
    </row>
    <row r="22" spans="1:77" ht="7.5" customHeight="1" x14ac:dyDescent="0.15">
      <c r="BG22" s="258"/>
      <c r="BH22" s="258"/>
      <c r="BI22" s="258"/>
      <c r="BJ22" s="258"/>
      <c r="BK22" s="258"/>
      <c r="BL22" s="258"/>
      <c r="BM22" s="258"/>
      <c r="BN22" s="258"/>
    </row>
    <row r="23" spans="1:77" s="455" customFormat="1" ht="18" x14ac:dyDescent="0.15">
      <c r="A23" s="457"/>
      <c r="C23" s="1024" t="s">
        <v>82</v>
      </c>
      <c r="D23" s="1024"/>
      <c r="E23" s="1024"/>
      <c r="F23" s="1024"/>
      <c r="G23" s="1024"/>
      <c r="H23" s="1024"/>
      <c r="I23" s="1024"/>
      <c r="J23" s="1024"/>
      <c r="K23" s="457"/>
      <c r="L23" s="457"/>
      <c r="M23" s="458"/>
      <c r="N23" s="459"/>
      <c r="O23" s="460"/>
      <c r="P23" s="457"/>
      <c r="Q23" s="457"/>
      <c r="R23" s="457"/>
      <c r="S23" s="457"/>
      <c r="T23" s="458"/>
      <c r="U23" s="459"/>
      <c r="V23" s="460"/>
      <c r="W23" s="457"/>
      <c r="X23" s="457"/>
      <c r="AK23" s="930" t="s">
        <v>145</v>
      </c>
      <c r="AL23" s="930"/>
      <c r="AM23" s="930"/>
      <c r="AN23" s="930"/>
      <c r="AO23" s="930"/>
      <c r="AP23" s="930"/>
      <c r="AQ23" s="930"/>
      <c r="AR23" s="930"/>
      <c r="AS23" s="457"/>
      <c r="AT23" s="457"/>
      <c r="AU23" s="458"/>
      <c r="AV23" s="459"/>
      <c r="AW23" s="460"/>
      <c r="AX23" s="457"/>
      <c r="AY23" s="457"/>
      <c r="AZ23" s="457"/>
      <c r="BA23" s="457"/>
      <c r="BB23" s="458"/>
      <c r="BC23" s="459"/>
      <c r="BD23" s="460"/>
      <c r="BE23" s="457"/>
      <c r="BF23" s="457"/>
    </row>
    <row r="24" spans="1:77" ht="27" customHeight="1" x14ac:dyDescent="0.15">
      <c r="C24" s="297"/>
      <c r="D24" s="1007" t="str">
        <f>C25</f>
        <v>南部</v>
      </c>
      <c r="E24" s="1007"/>
      <c r="F24" s="1007"/>
      <c r="G24" s="1007"/>
      <c r="H24" s="1007"/>
      <c r="I24" s="1007"/>
      <c r="J24" s="1007"/>
      <c r="K24" s="1007" t="str">
        <f>C29</f>
        <v>寺井</v>
      </c>
      <c r="L24" s="1007"/>
      <c r="M24" s="1007"/>
      <c r="N24" s="1007"/>
      <c r="O24" s="1007"/>
      <c r="P24" s="1007"/>
      <c r="Q24" s="1007"/>
      <c r="R24" s="1007" t="str">
        <f>C33</f>
        <v>野々市</v>
      </c>
      <c r="S24" s="1007"/>
      <c r="T24" s="1007"/>
      <c r="U24" s="1007"/>
      <c r="V24" s="1007"/>
      <c r="W24" s="1007"/>
      <c r="X24" s="1007"/>
      <c r="Y24" s="461" t="s">
        <v>88</v>
      </c>
      <c r="Z24" s="462" t="s">
        <v>143</v>
      </c>
      <c r="AA24" s="461" t="s">
        <v>90</v>
      </c>
      <c r="AB24" s="461" t="s">
        <v>91</v>
      </c>
      <c r="AF24" s="290"/>
      <c r="AG24" s="258" t="str">
        <f>D24</f>
        <v>南部</v>
      </c>
      <c r="AH24" s="290" t="str">
        <f>K24</f>
        <v>寺井</v>
      </c>
      <c r="AI24" s="290" t="str">
        <f>R24</f>
        <v>野々市</v>
      </c>
      <c r="AK24" s="297"/>
      <c r="AL24" s="1007" t="str">
        <f>AK25</f>
        <v>布水</v>
      </c>
      <c r="AM24" s="1007"/>
      <c r="AN24" s="1007"/>
      <c r="AO24" s="1007"/>
      <c r="AP24" s="1007"/>
      <c r="AQ24" s="1007"/>
      <c r="AR24" s="1007"/>
      <c r="AS24" s="1007" t="str">
        <f>AK29</f>
        <v>丸内</v>
      </c>
      <c r="AT24" s="1007"/>
      <c r="AU24" s="1007"/>
      <c r="AV24" s="1007"/>
      <c r="AW24" s="1007"/>
      <c r="AX24" s="1007"/>
      <c r="AY24" s="1007"/>
      <c r="AZ24" s="1007" t="str">
        <f>AK33</f>
        <v>光野･笠間</v>
      </c>
      <c r="BA24" s="1007"/>
      <c r="BB24" s="1007"/>
      <c r="BC24" s="1007"/>
      <c r="BD24" s="1007"/>
      <c r="BE24" s="1007"/>
      <c r="BF24" s="1007"/>
      <c r="BG24" s="461" t="s">
        <v>88</v>
      </c>
      <c r="BH24" s="462" t="s">
        <v>143</v>
      </c>
      <c r="BI24" s="461" t="s">
        <v>90</v>
      </c>
      <c r="BJ24" s="461" t="s">
        <v>91</v>
      </c>
      <c r="BK24" s="258"/>
      <c r="BL24" s="258"/>
      <c r="BM24" s="258"/>
      <c r="BO24" s="258" t="str">
        <f>AL24</f>
        <v>布水</v>
      </c>
      <c r="BP24" s="290" t="str">
        <f>AS24</f>
        <v>丸内</v>
      </c>
      <c r="BQ24" s="290" t="str">
        <f>AZ24</f>
        <v>光野･笠間</v>
      </c>
      <c r="BR24" s="475"/>
      <c r="BS24" s="475"/>
      <c r="BT24" s="475"/>
      <c r="BU24" s="475"/>
      <c r="BV24" s="475"/>
      <c r="BW24" s="475"/>
      <c r="BX24" s="475"/>
    </row>
    <row r="25" spans="1:77" ht="30" customHeight="1" x14ac:dyDescent="0.15">
      <c r="C25" s="808" t="str">
        <f>IF('南(12時刻)'!C25="","",'南(12時刻)'!C25)</f>
        <v>南部</v>
      </c>
      <c r="D25" s="1008"/>
      <c r="E25" s="810"/>
      <c r="F25" s="810"/>
      <c r="G25" s="1009"/>
      <c r="H25" s="1009"/>
      <c r="I25" s="1009"/>
      <c r="J25" s="1010"/>
      <c r="K25" s="818">
        <f>IF(M26="","",SUM(M26,M27))</f>
        <v>5</v>
      </c>
      <c r="L25" s="819"/>
      <c r="M25" s="819"/>
      <c r="N25" s="463" t="str">
        <f>IF(K25="","",IF(K25&gt;O25,"○",IF(K25&lt;O25,"●","△")))</f>
        <v>○</v>
      </c>
      <c r="O25" s="819">
        <f>IF(O26="","",SUM(O26,O27))</f>
        <v>0</v>
      </c>
      <c r="P25" s="819"/>
      <c r="Q25" s="820"/>
      <c r="R25" s="818">
        <f>IF(T26="","",SUM(T26,T27))</f>
        <v>0</v>
      </c>
      <c r="S25" s="819"/>
      <c r="T25" s="819"/>
      <c r="U25" s="463" t="str">
        <f>IF(R25="","",IF(R25&gt;V25,"○",IF(R25&lt;V25,"●","△")))</f>
        <v>●</v>
      </c>
      <c r="V25" s="819">
        <f>IF(V26="","",SUM(V26,V27))</f>
        <v>1</v>
      </c>
      <c r="W25" s="819"/>
      <c r="X25" s="820"/>
      <c r="Y25" s="836">
        <f>IF(COUNT(D26:X26)=0,"",COUNTIF(D25:X25,"○")*3+COUNTIF(D25:X25,"△"))</f>
        <v>3</v>
      </c>
      <c r="Z25" s="836">
        <f>IF(Y25="","",SUM(H25:H36)/2-SUM(F25:F36))</f>
        <v>4</v>
      </c>
      <c r="AA25" s="836">
        <f>IF(Y25="","",SUM(H25:H36)/2)</f>
        <v>5</v>
      </c>
      <c r="AB25" s="836">
        <f>IF(OR(Y25="",MOD(COUNT(D25:X25),2)=1),"",RANK(AC25,$AC$25:$AC$36))</f>
        <v>2</v>
      </c>
      <c r="AC25" s="258">
        <f>IF(OR(Y25="",MOD(COUNT(D25:X25),2)=1),"",Y25*1000000+Z25*100+AA25)</f>
        <v>3000405</v>
      </c>
      <c r="AF25" s="290" t="str">
        <f>C25</f>
        <v>南部</v>
      </c>
      <c r="AH25" s="258">
        <f>IF(Y25=$Y29,IF(N25="○",3,IF(N25="△",1,0)),0)</f>
        <v>0</v>
      </c>
      <c r="AI25" s="258">
        <f>IF(Y25=$Y33,IF(U25="○",3,IF(U25="△",1,0)),0)</f>
        <v>0</v>
      </c>
      <c r="AK25" s="1025" t="str">
        <f>IF('南(12時刻)'!AM25="","",'南(12時刻)'!AM25)</f>
        <v>布水</v>
      </c>
      <c r="AL25" s="1008"/>
      <c r="AM25" s="1026"/>
      <c r="AN25" s="810"/>
      <c r="AO25" s="1009"/>
      <c r="AP25" s="1009"/>
      <c r="AQ25" s="1009"/>
      <c r="AR25" s="1010"/>
      <c r="AS25" s="818">
        <f>IF(AU26="","",SUM(AU26,AU27))</f>
        <v>5</v>
      </c>
      <c r="AT25" s="819"/>
      <c r="AU25" s="819"/>
      <c r="AV25" s="463" t="str">
        <f>IF(AS25="","",IF(AS25&gt;AW25,"○",IF(AS25&lt;AW25,"●","△")))</f>
        <v>○</v>
      </c>
      <c r="AW25" s="819">
        <f>IF(AW26="","",SUM(AW26,AW27))</f>
        <v>1</v>
      </c>
      <c r="AX25" s="819"/>
      <c r="AY25" s="820"/>
      <c r="AZ25" s="818">
        <f>IF(BB26="","",SUM(BB26,BB27))</f>
        <v>11</v>
      </c>
      <c r="BA25" s="819"/>
      <c r="BB25" s="819"/>
      <c r="BC25" s="463" t="str">
        <f>IF(AZ25="","",IF(AZ25&gt;BD25,"○",IF(AZ25&lt;BD25,"●","△")))</f>
        <v>○</v>
      </c>
      <c r="BD25" s="819">
        <f>IF(BD26="","",SUM(BD26,BD27))</f>
        <v>1</v>
      </c>
      <c r="BE25" s="819"/>
      <c r="BF25" s="820"/>
      <c r="BG25" s="836">
        <f>IF(COUNT(AL26:BF26)=0,"",COUNTIF(AL25:BF25,"○")*3+COUNTIF(AL25:BF25,"△"))</f>
        <v>6</v>
      </c>
      <c r="BH25" s="836">
        <f>IF(BG25="","",SUM(AP25:AP36)/2-SUM(AN25:AN36))</f>
        <v>14</v>
      </c>
      <c r="BI25" s="836">
        <f>IF(BG25="","",SUM(AP25:AP36)/2)</f>
        <v>16</v>
      </c>
      <c r="BJ25" s="836">
        <f>IF(OR(BG25="",MOD(COUNT(AL25:BF25),2)=1),"",RANK(BK25,$BK$25:$BK$36))</f>
        <v>1</v>
      </c>
      <c r="BK25" s="258">
        <f>IF(OR(BG25="",MOD(COUNT(AL25:BF25),2)=1),"",BG25*1000000+BH25*100+BI25)</f>
        <v>6001416</v>
      </c>
      <c r="BL25" s="258"/>
      <c r="BM25" s="258"/>
      <c r="BN25" s="290" t="str">
        <f>AK25</f>
        <v>布水</v>
      </c>
      <c r="BP25" s="258">
        <f>IF(BG25=$Y29,IF(AV25="○",3,IF(AV25="△",1,0)),0)</f>
        <v>0</v>
      </c>
      <c r="BQ25" s="258">
        <f>IF(BG25=$Y33,IF(BC25="○",3,IF(BC25="△",1,0)),0)</f>
        <v>3</v>
      </c>
      <c r="BR25" s="475"/>
      <c r="BS25" s="475"/>
      <c r="BT25" s="475"/>
      <c r="BU25" s="475"/>
      <c r="BV25" s="475"/>
      <c r="BW25" s="475"/>
      <c r="BX25" s="915"/>
      <c r="BY25" s="475"/>
    </row>
    <row r="26" spans="1:77" x14ac:dyDescent="0.15">
      <c r="C26" s="808"/>
      <c r="D26" s="1011"/>
      <c r="E26" s="1012"/>
      <c r="F26" s="1012"/>
      <c r="G26" s="1012"/>
      <c r="H26" s="1012"/>
      <c r="I26" s="1012"/>
      <c r="J26" s="1013"/>
      <c r="K26" s="464"/>
      <c r="M26" s="465">
        <v>2</v>
      </c>
      <c r="N26" s="447" t="s">
        <v>92</v>
      </c>
      <c r="O26" s="466">
        <v>0</v>
      </c>
      <c r="Q26" s="467"/>
      <c r="R26" s="464"/>
      <c r="T26" s="465">
        <v>0</v>
      </c>
      <c r="U26" s="447" t="s">
        <v>92</v>
      </c>
      <c r="V26" s="466">
        <v>1</v>
      </c>
      <c r="X26" s="467"/>
      <c r="Y26" s="836"/>
      <c r="Z26" s="836"/>
      <c r="AA26" s="836"/>
      <c r="AB26" s="836"/>
      <c r="AF26" s="290"/>
      <c r="AK26" s="1025"/>
      <c r="AL26" s="1011"/>
      <c r="AM26" s="1027"/>
      <c r="AN26" s="1012"/>
      <c r="AO26" s="1012"/>
      <c r="AP26" s="1012"/>
      <c r="AQ26" s="1012"/>
      <c r="AR26" s="1013"/>
      <c r="AS26" s="464"/>
      <c r="AU26" s="465">
        <v>2</v>
      </c>
      <c r="AV26" s="447" t="s">
        <v>92</v>
      </c>
      <c r="AW26" s="466">
        <v>1</v>
      </c>
      <c r="AY26" s="467"/>
      <c r="AZ26" s="464"/>
      <c r="BB26" s="465">
        <v>7</v>
      </c>
      <c r="BC26" s="447" t="s">
        <v>92</v>
      </c>
      <c r="BD26" s="466">
        <v>0</v>
      </c>
      <c r="BF26" s="467"/>
      <c r="BG26" s="836"/>
      <c r="BH26" s="836"/>
      <c r="BI26" s="836"/>
      <c r="BJ26" s="836"/>
      <c r="BK26" s="258"/>
      <c r="BL26" s="258"/>
      <c r="BM26" s="258"/>
      <c r="BR26" s="475"/>
      <c r="BS26" s="475"/>
      <c r="BT26" s="475"/>
      <c r="BU26" s="475"/>
      <c r="BV26" s="475"/>
      <c r="BW26" s="475"/>
      <c r="BX26" s="915"/>
      <c r="BY26" s="475"/>
    </row>
    <row r="27" spans="1:77" x14ac:dyDescent="0.15">
      <c r="C27" s="808"/>
      <c r="D27" s="1011"/>
      <c r="E27" s="1012"/>
      <c r="F27" s="1012"/>
      <c r="G27" s="1012"/>
      <c r="H27" s="1012"/>
      <c r="I27" s="1012"/>
      <c r="J27" s="1013"/>
      <c r="K27" s="464"/>
      <c r="M27" s="465">
        <v>3</v>
      </c>
      <c r="N27" s="447" t="s">
        <v>92</v>
      </c>
      <c r="O27" s="466">
        <v>0</v>
      </c>
      <c r="Q27" s="467"/>
      <c r="R27" s="464"/>
      <c r="T27" s="465">
        <v>0</v>
      </c>
      <c r="U27" s="447" t="s">
        <v>92</v>
      </c>
      <c r="V27" s="466">
        <v>0</v>
      </c>
      <c r="X27" s="467"/>
      <c r="Y27" s="836"/>
      <c r="Z27" s="836"/>
      <c r="AA27" s="836"/>
      <c r="AB27" s="836"/>
      <c r="AF27" s="290"/>
      <c r="AK27" s="1025"/>
      <c r="AL27" s="1011"/>
      <c r="AM27" s="1027"/>
      <c r="AN27" s="1012"/>
      <c r="AO27" s="1012"/>
      <c r="AP27" s="1012"/>
      <c r="AQ27" s="1012"/>
      <c r="AR27" s="1013"/>
      <c r="AS27" s="464"/>
      <c r="AU27" s="465">
        <v>3</v>
      </c>
      <c r="AV27" s="447" t="s">
        <v>92</v>
      </c>
      <c r="AW27" s="466">
        <v>0</v>
      </c>
      <c r="AY27" s="467"/>
      <c r="AZ27" s="464"/>
      <c r="BB27" s="465">
        <v>4</v>
      </c>
      <c r="BC27" s="447" t="s">
        <v>92</v>
      </c>
      <c r="BD27" s="466">
        <v>1</v>
      </c>
      <c r="BF27" s="467"/>
      <c r="BG27" s="836"/>
      <c r="BH27" s="836"/>
      <c r="BI27" s="836"/>
      <c r="BJ27" s="836"/>
      <c r="BK27" s="258"/>
      <c r="BL27" s="258"/>
      <c r="BM27" s="258"/>
      <c r="BR27" s="475"/>
      <c r="BS27" s="475"/>
      <c r="BT27" s="475"/>
      <c r="BU27" s="475"/>
      <c r="BV27" s="475"/>
      <c r="BW27" s="475"/>
      <c r="BX27" s="915"/>
      <c r="BY27" s="475"/>
    </row>
    <row r="28" spans="1:77" ht="3.75" customHeight="1" x14ac:dyDescent="0.15">
      <c r="C28" s="808"/>
      <c r="D28" s="1014"/>
      <c r="E28" s="1015"/>
      <c r="F28" s="1015"/>
      <c r="G28" s="1015"/>
      <c r="H28" s="1015"/>
      <c r="I28" s="1015"/>
      <c r="J28" s="1016"/>
      <c r="K28" s="468"/>
      <c r="L28" s="469"/>
      <c r="M28" s="470"/>
      <c r="N28" s="471"/>
      <c r="O28" s="472"/>
      <c r="P28" s="469"/>
      <c r="Q28" s="473"/>
      <c r="R28" s="468"/>
      <c r="S28" s="469"/>
      <c r="T28" s="470"/>
      <c r="U28" s="471"/>
      <c r="V28" s="472"/>
      <c r="W28" s="469"/>
      <c r="X28" s="473"/>
      <c r="Y28" s="836"/>
      <c r="Z28" s="836"/>
      <c r="AA28" s="836"/>
      <c r="AB28" s="836"/>
      <c r="AF28" s="290"/>
      <c r="AK28" s="1025"/>
      <c r="AL28" s="1014"/>
      <c r="AM28" s="1028"/>
      <c r="AN28" s="1015"/>
      <c r="AO28" s="1015"/>
      <c r="AP28" s="1015"/>
      <c r="AQ28" s="1015"/>
      <c r="AR28" s="1016"/>
      <c r="AS28" s="468"/>
      <c r="AT28" s="469"/>
      <c r="AU28" s="470"/>
      <c r="AV28" s="471"/>
      <c r="AW28" s="472"/>
      <c r="AX28" s="469"/>
      <c r="AY28" s="473"/>
      <c r="AZ28" s="468"/>
      <c r="BA28" s="469"/>
      <c r="BB28" s="470"/>
      <c r="BC28" s="471"/>
      <c r="BD28" s="472"/>
      <c r="BE28" s="469"/>
      <c r="BF28" s="473"/>
      <c r="BG28" s="836"/>
      <c r="BH28" s="836"/>
      <c r="BI28" s="836"/>
      <c r="BJ28" s="836"/>
      <c r="BK28" s="258"/>
      <c r="BL28" s="258"/>
      <c r="BM28" s="258"/>
      <c r="BR28" s="475"/>
      <c r="BS28" s="475"/>
      <c r="BT28" s="475"/>
      <c r="BU28" s="475"/>
      <c r="BV28" s="475"/>
      <c r="BW28" s="475"/>
      <c r="BX28" s="915"/>
      <c r="BY28" s="475"/>
    </row>
    <row r="29" spans="1:77" ht="30" customHeight="1" x14ac:dyDescent="0.15">
      <c r="A29" s="258"/>
      <c r="C29" s="808" t="str">
        <f>IF('南(12時刻)'!C29="","",'南(12時刻)'!C29)</f>
        <v>寺井</v>
      </c>
      <c r="D29" s="818">
        <f>IF(F30="","",SUM(F30,F31))</f>
        <v>0</v>
      </c>
      <c r="E29" s="819"/>
      <c r="F29" s="819"/>
      <c r="G29" s="463" t="str">
        <f>IF(D29="","",IF(D29&gt;H29,"○",IF(D29&lt;H29,"●","△")))</f>
        <v>●</v>
      </c>
      <c r="H29" s="819">
        <f>IF(H30="","",SUM(H30,H31))</f>
        <v>5</v>
      </c>
      <c r="I29" s="819"/>
      <c r="J29" s="820"/>
      <c r="K29" s="1008"/>
      <c r="L29" s="810"/>
      <c r="M29" s="810"/>
      <c r="N29" s="1009"/>
      <c r="O29" s="1009"/>
      <c r="P29" s="1009"/>
      <c r="Q29" s="1010"/>
      <c r="R29" s="818">
        <f>IF(T30="","",SUM(T30,T31))</f>
        <v>0</v>
      </c>
      <c r="S29" s="819"/>
      <c r="T29" s="819"/>
      <c r="U29" s="463" t="str">
        <f>IF(R29="","",IF(R29&gt;V29,"○",IF(R29&lt;V29,"●","△")))</f>
        <v>●</v>
      </c>
      <c r="V29" s="819">
        <f>IF(V30="","",SUM(V30,V31))</f>
        <v>2</v>
      </c>
      <c r="W29" s="819"/>
      <c r="X29" s="820"/>
      <c r="Y29" s="836">
        <f>IF(COUNT(D30:X30)=0,"",COUNTIF(D29:X29,"○")*3+COUNTIF(D29:X29,"△"))</f>
        <v>0</v>
      </c>
      <c r="Z29" s="836">
        <f>IF(Y29="","",SUM(O25:O36)/2-SUM(M25:M36))</f>
        <v>-7</v>
      </c>
      <c r="AA29" s="836">
        <f>IF(Y29="","",SUM(O25:O36)/2)</f>
        <v>0</v>
      </c>
      <c r="AB29" s="836">
        <f>IF(OR(Y29="",MOD(COUNT(D29:X29),2)=1),"",RANK(AC29,$AC$25:$AC$36))</f>
        <v>3</v>
      </c>
      <c r="AC29" s="258">
        <f>IF(OR(Y29="",MOD(COUNT(D29:X29),2)=1),"",Y29*1000000+Z29*100+AA29)</f>
        <v>-700</v>
      </c>
      <c r="AF29" s="290" t="str">
        <f>C29</f>
        <v>寺井</v>
      </c>
      <c r="AG29" s="258">
        <f>IF(Y29=$Y25,IF(G29="○",3,IF(G29="△",1,0)),0)</f>
        <v>0</v>
      </c>
      <c r="AI29" s="258">
        <f>IF(Y29=$Y33,IF(U29="○",3,IF(U29="△",1,0)),0)</f>
        <v>0</v>
      </c>
      <c r="AK29" s="1025" t="str">
        <f>IF('南(12時刻)'!AM29="","",'南(12時刻)'!AM29)</f>
        <v>丸内</v>
      </c>
      <c r="AL29" s="818">
        <f>IF(AN30="","",SUM(AN30,AN31))</f>
        <v>1</v>
      </c>
      <c r="AM29" s="1029"/>
      <c r="AN29" s="819"/>
      <c r="AO29" s="463" t="str">
        <f>IF(AL29="","",IF(AL29&gt;AP29,"○",IF(AL29&lt;AP29,"●","△")))</f>
        <v>●</v>
      </c>
      <c r="AP29" s="819">
        <f>IF(AP30="","",SUM(AP30,AP31))</f>
        <v>5</v>
      </c>
      <c r="AQ29" s="819"/>
      <c r="AR29" s="820"/>
      <c r="AS29" s="1008"/>
      <c r="AT29" s="810"/>
      <c r="AU29" s="810"/>
      <c r="AV29" s="1009"/>
      <c r="AW29" s="1009"/>
      <c r="AX29" s="1009"/>
      <c r="AY29" s="1010"/>
      <c r="AZ29" s="818">
        <f>IF(BB30="","",SUM(BB30,BB31))</f>
        <v>5</v>
      </c>
      <c r="BA29" s="819"/>
      <c r="BB29" s="819"/>
      <c r="BC29" s="463" t="str">
        <f>IF(AZ29="","",IF(AZ29&gt;BD29,"○",IF(AZ29&lt;BD29,"●","△")))</f>
        <v>○</v>
      </c>
      <c r="BD29" s="819">
        <f>IF(BD30="","",SUM(BD30,BD31))</f>
        <v>4</v>
      </c>
      <c r="BE29" s="819"/>
      <c r="BF29" s="820"/>
      <c r="BG29" s="836">
        <f>IF(COUNT(AL30:BF30)=0,"",COUNTIF(AL29:BF29,"○")*3+COUNTIF(AL29:BF29,"△"))</f>
        <v>3</v>
      </c>
      <c r="BH29" s="836">
        <f>IF(BG29="","",SUM(AW25:AW36)/2-SUM(AU25:AU36))</f>
        <v>-3</v>
      </c>
      <c r="BI29" s="836">
        <f>IF(BG29="","",SUM(AW25:AW36)/2)</f>
        <v>6</v>
      </c>
      <c r="BJ29" s="836">
        <f>IF(OR(BG29="",MOD(COUNT(AL29:BF29),2)=1),"",RANK(BK29,$BK$25:$BK$36))</f>
        <v>2</v>
      </c>
      <c r="BK29" s="258">
        <f>IF(OR(BG29="",MOD(COUNT(AL29:BF29),2)=1),"",BG29*1000000+BH29*100+BI29)</f>
        <v>2999706</v>
      </c>
      <c r="BL29" s="258"/>
      <c r="BM29" s="258"/>
      <c r="BN29" s="290" t="str">
        <f>AK29</f>
        <v>丸内</v>
      </c>
      <c r="BO29" s="258">
        <f>IF(BG29=$Y25,IF(AO29="○",3,IF(AO29="△",1,0)),0)</f>
        <v>0</v>
      </c>
      <c r="BQ29" s="258">
        <f>IF(BG29=$Y33,IF(BC29="○",3,IF(BC29="△",1,0)),0)</f>
        <v>0</v>
      </c>
      <c r="BR29" s="475"/>
      <c r="BS29" s="475"/>
      <c r="BT29" s="475"/>
      <c r="BU29" s="475"/>
      <c r="BV29" s="475"/>
      <c r="BW29" s="475"/>
      <c r="BX29" s="915"/>
      <c r="BY29" s="475"/>
    </row>
    <row r="30" spans="1:77" x14ac:dyDescent="0.15">
      <c r="A30" s="258"/>
      <c r="C30" s="808"/>
      <c r="D30" s="464"/>
      <c r="F30" s="446">
        <f>IF(O26="","",O26)</f>
        <v>0</v>
      </c>
      <c r="G30" s="447" t="s">
        <v>92</v>
      </c>
      <c r="H30" s="448">
        <f>IF(M26="","",M26)</f>
        <v>2</v>
      </c>
      <c r="J30" s="467"/>
      <c r="K30" s="1011"/>
      <c r="L30" s="1012"/>
      <c r="M30" s="1012"/>
      <c r="N30" s="1012"/>
      <c r="O30" s="1012"/>
      <c r="P30" s="1012"/>
      <c r="Q30" s="1013"/>
      <c r="R30" s="464"/>
      <c r="T30" s="465">
        <v>0</v>
      </c>
      <c r="U30" s="447" t="s">
        <v>92</v>
      </c>
      <c r="V30" s="466">
        <v>0</v>
      </c>
      <c r="X30" s="467"/>
      <c r="Y30" s="836"/>
      <c r="Z30" s="836"/>
      <c r="AA30" s="836"/>
      <c r="AB30" s="836"/>
      <c r="AF30" s="290"/>
      <c r="AK30" s="1025"/>
      <c r="AL30" s="464"/>
      <c r="AM30" s="555"/>
      <c r="AN30" s="446">
        <f>IF(AW26="","",AW26)</f>
        <v>1</v>
      </c>
      <c r="AO30" s="447" t="s">
        <v>92</v>
      </c>
      <c r="AP30" s="448">
        <f>IF(AU26="","",AU26)</f>
        <v>2</v>
      </c>
      <c r="AR30" s="467"/>
      <c r="AS30" s="1011"/>
      <c r="AT30" s="1012"/>
      <c r="AU30" s="1012"/>
      <c r="AV30" s="1012"/>
      <c r="AW30" s="1012"/>
      <c r="AX30" s="1012"/>
      <c r="AY30" s="1013"/>
      <c r="AZ30" s="464"/>
      <c r="BB30" s="465">
        <v>0</v>
      </c>
      <c r="BC30" s="447" t="s">
        <v>92</v>
      </c>
      <c r="BD30" s="466">
        <v>4</v>
      </c>
      <c r="BF30" s="467"/>
      <c r="BG30" s="836"/>
      <c r="BH30" s="836"/>
      <c r="BI30" s="836"/>
      <c r="BJ30" s="836"/>
      <c r="BK30" s="258"/>
      <c r="BL30" s="258"/>
      <c r="BM30" s="258"/>
      <c r="BR30" s="475"/>
      <c r="BS30" s="475"/>
      <c r="BT30" s="475"/>
      <c r="BU30" s="475"/>
      <c r="BV30" s="475"/>
      <c r="BW30" s="475"/>
      <c r="BX30" s="915"/>
      <c r="BY30" s="475"/>
    </row>
    <row r="31" spans="1:77" x14ac:dyDescent="0.15">
      <c r="A31" s="258"/>
      <c r="C31" s="808"/>
      <c r="D31" s="464"/>
      <c r="F31" s="446">
        <f>IF(O27="","",O27)</f>
        <v>0</v>
      </c>
      <c r="G31" s="447" t="s">
        <v>92</v>
      </c>
      <c r="H31" s="448">
        <f>IF(M27="","",M27)</f>
        <v>3</v>
      </c>
      <c r="J31" s="467"/>
      <c r="K31" s="1011"/>
      <c r="L31" s="1012"/>
      <c r="M31" s="1012"/>
      <c r="N31" s="1012"/>
      <c r="O31" s="1012"/>
      <c r="P31" s="1012"/>
      <c r="Q31" s="1013"/>
      <c r="R31" s="464"/>
      <c r="T31" s="465">
        <v>0</v>
      </c>
      <c r="U31" s="447" t="s">
        <v>92</v>
      </c>
      <c r="V31" s="466">
        <v>2</v>
      </c>
      <c r="X31" s="467"/>
      <c r="Y31" s="836"/>
      <c r="Z31" s="836"/>
      <c r="AA31" s="836"/>
      <c r="AB31" s="836"/>
      <c r="AF31" s="290"/>
      <c r="AK31" s="1025"/>
      <c r="AL31" s="464"/>
      <c r="AM31" s="555"/>
      <c r="AN31" s="446">
        <f>IF(AW27="","",AW27)</f>
        <v>0</v>
      </c>
      <c r="AO31" s="447" t="s">
        <v>92</v>
      </c>
      <c r="AP31" s="448">
        <f>IF(AU27="","",AU27)</f>
        <v>3</v>
      </c>
      <c r="AR31" s="467"/>
      <c r="AS31" s="1011"/>
      <c r="AT31" s="1012"/>
      <c r="AU31" s="1012"/>
      <c r="AV31" s="1012"/>
      <c r="AW31" s="1012"/>
      <c r="AX31" s="1012"/>
      <c r="AY31" s="1013"/>
      <c r="AZ31" s="464"/>
      <c r="BB31" s="465">
        <v>5</v>
      </c>
      <c r="BC31" s="447" t="s">
        <v>92</v>
      </c>
      <c r="BD31" s="466">
        <v>0</v>
      </c>
      <c r="BF31" s="467"/>
      <c r="BG31" s="836"/>
      <c r="BH31" s="836"/>
      <c r="BI31" s="836"/>
      <c r="BJ31" s="836"/>
      <c r="BK31" s="258"/>
      <c r="BL31" s="258"/>
      <c r="BM31" s="258"/>
      <c r="BR31" s="475"/>
      <c r="BS31" s="475"/>
      <c r="BT31" s="475"/>
      <c r="BU31" s="475"/>
      <c r="BV31" s="475"/>
      <c r="BW31" s="475"/>
      <c r="BX31" s="915"/>
      <c r="BY31" s="475"/>
    </row>
    <row r="32" spans="1:77" ht="3.75" customHeight="1" x14ac:dyDescent="0.15">
      <c r="A32" s="258"/>
      <c r="C32" s="808"/>
      <c r="D32" s="468"/>
      <c r="E32" s="469"/>
      <c r="F32" s="470"/>
      <c r="G32" s="471"/>
      <c r="H32" s="472"/>
      <c r="I32" s="469"/>
      <c r="J32" s="473"/>
      <c r="K32" s="1014"/>
      <c r="L32" s="1015"/>
      <c r="M32" s="1015"/>
      <c r="N32" s="1015"/>
      <c r="O32" s="1015"/>
      <c r="P32" s="1015"/>
      <c r="Q32" s="1016"/>
      <c r="R32" s="468"/>
      <c r="S32" s="469"/>
      <c r="T32" s="470"/>
      <c r="U32" s="471"/>
      <c r="V32" s="472"/>
      <c r="W32" s="469"/>
      <c r="X32" s="473"/>
      <c r="Y32" s="836"/>
      <c r="Z32" s="836"/>
      <c r="AA32" s="836"/>
      <c r="AB32" s="836"/>
      <c r="AF32" s="290"/>
      <c r="AK32" s="1025"/>
      <c r="AL32" s="468"/>
      <c r="AM32" s="556"/>
      <c r="AN32" s="470"/>
      <c r="AO32" s="471"/>
      <c r="AP32" s="472"/>
      <c r="AQ32" s="469"/>
      <c r="AR32" s="473"/>
      <c r="AS32" s="1014"/>
      <c r="AT32" s="1015"/>
      <c r="AU32" s="1015"/>
      <c r="AV32" s="1015"/>
      <c r="AW32" s="1015"/>
      <c r="AX32" s="1015"/>
      <c r="AY32" s="1016"/>
      <c r="AZ32" s="468"/>
      <c r="BA32" s="469"/>
      <c r="BB32" s="470"/>
      <c r="BC32" s="471"/>
      <c r="BD32" s="472"/>
      <c r="BE32" s="469"/>
      <c r="BF32" s="473"/>
      <c r="BG32" s="836"/>
      <c r="BH32" s="836"/>
      <c r="BI32" s="836"/>
      <c r="BJ32" s="836"/>
      <c r="BK32" s="258"/>
      <c r="BL32" s="258"/>
      <c r="BM32" s="258"/>
      <c r="BR32" s="475"/>
      <c r="BS32" s="475"/>
      <c r="BT32" s="475"/>
      <c r="BU32" s="475"/>
      <c r="BV32" s="475"/>
      <c r="BW32" s="475"/>
      <c r="BX32" s="915"/>
      <c r="BY32" s="475"/>
    </row>
    <row r="33" spans="1:119" ht="30" customHeight="1" x14ac:dyDescent="0.15">
      <c r="A33" s="258"/>
      <c r="C33" s="808" t="str">
        <f>IF('南(12時刻)'!C33="","",'南(12時刻)'!C33)</f>
        <v>野々市</v>
      </c>
      <c r="D33" s="818">
        <f>IF(F34="","",SUM(F34,F35))</f>
        <v>1</v>
      </c>
      <c r="E33" s="819"/>
      <c r="F33" s="819"/>
      <c r="G33" s="463" t="str">
        <f>IF(D33="","",IF(D33&gt;H33,"○",IF(D33&lt;H33,"●","△")))</f>
        <v>○</v>
      </c>
      <c r="H33" s="819">
        <f>IF(H34="","",SUM(H34,H35))</f>
        <v>0</v>
      </c>
      <c r="I33" s="819"/>
      <c r="J33" s="820"/>
      <c r="K33" s="818">
        <f>IF(M34="","",SUM(M34,M35))</f>
        <v>2</v>
      </c>
      <c r="L33" s="819"/>
      <c r="M33" s="819"/>
      <c r="N33" s="463" t="str">
        <f>IF(K33="","",IF(K33&gt;O33,"○",IF(K33&lt;O33,"●","△")))</f>
        <v>○</v>
      </c>
      <c r="O33" s="819">
        <f>IF(O34="","",SUM(O34,O35))</f>
        <v>0</v>
      </c>
      <c r="P33" s="819"/>
      <c r="Q33" s="820"/>
      <c r="R33" s="1008"/>
      <c r="S33" s="810"/>
      <c r="T33" s="810"/>
      <c r="U33" s="1009"/>
      <c r="V33" s="1009"/>
      <c r="W33" s="1009"/>
      <c r="X33" s="1010"/>
      <c r="Y33" s="836">
        <f>IF(COUNT(D34:X34)=0,"",COUNTIF(D33:X33,"○")*3+COUNTIF(D33:X33,"△"))</f>
        <v>6</v>
      </c>
      <c r="Z33" s="836">
        <f>IF(Y33="","",SUM(V25:V36)/2-SUM(T25:T36))</f>
        <v>3</v>
      </c>
      <c r="AA33" s="836">
        <f>IF(Y33="","",SUM(V25:V36)/2)</f>
        <v>3</v>
      </c>
      <c r="AB33" s="836">
        <f>IF(OR(Y33="",MOD(COUNT(D33:X33),2)=1),"",RANK(AC33,$AC$25:$AC$36))</f>
        <v>1</v>
      </c>
      <c r="AC33" s="258">
        <f>IF(OR(Y33="",MOD(COUNT(D33:X33),2)=1),"",Y33*1000000+Z33*100+AA33)</f>
        <v>6000303</v>
      </c>
      <c r="AF33" s="290" t="str">
        <f>C33</f>
        <v>野々市</v>
      </c>
      <c r="AG33" s="258">
        <f>IF(Y33=$Y25,IF(G33="○",3,IF(G33="△",1,0)),0)</f>
        <v>0</v>
      </c>
      <c r="AH33" s="258">
        <f>IF(Y33=$Y29,IF(N33="○",3,IF(N33="△",1,0)),0)</f>
        <v>0</v>
      </c>
      <c r="AK33" s="1025" t="str">
        <f>IF('南(12時刻)'!AM33="","",'南(12時刻)'!AM33)</f>
        <v>光野･笠間</v>
      </c>
      <c r="AL33" s="818">
        <f>IF(AN34="","",SUM(AN34,AN35))</f>
        <v>1</v>
      </c>
      <c r="AM33" s="1029"/>
      <c r="AN33" s="819"/>
      <c r="AO33" s="463" t="str">
        <f>IF(AL33="","",IF(AL33&gt;AP33,"○",IF(AL33&lt;AP33,"●","△")))</f>
        <v>●</v>
      </c>
      <c r="AP33" s="819">
        <f>IF(AP34="","",SUM(AP34,AP35))</f>
        <v>11</v>
      </c>
      <c r="AQ33" s="819"/>
      <c r="AR33" s="820"/>
      <c r="AS33" s="818">
        <f>IF(AU34="","",SUM(AU34,AU35))</f>
        <v>4</v>
      </c>
      <c r="AT33" s="819"/>
      <c r="AU33" s="819"/>
      <c r="AV33" s="463" t="str">
        <f>IF(AS33="","",IF(AS33&gt;AW33,"○",IF(AS33&lt;AW33,"●","△")))</f>
        <v>●</v>
      </c>
      <c r="AW33" s="819">
        <f>IF(AW34="","",SUM(AW34,AW35))</f>
        <v>5</v>
      </c>
      <c r="AX33" s="819"/>
      <c r="AY33" s="820"/>
      <c r="AZ33" s="1008"/>
      <c r="BA33" s="810"/>
      <c r="BB33" s="810"/>
      <c r="BC33" s="1009"/>
      <c r="BD33" s="1009"/>
      <c r="BE33" s="1009"/>
      <c r="BF33" s="1010"/>
      <c r="BG33" s="836">
        <f>IF(COUNT(AL34:BF34)=0,"",COUNTIF(AL33:BF33,"○")*3+COUNTIF(AL33:BF33,"△"))</f>
        <v>0</v>
      </c>
      <c r="BH33" s="836">
        <f>IF(BG33="","",SUM(BD25:BD36)/2-SUM(BB25:BB36))</f>
        <v>-11</v>
      </c>
      <c r="BI33" s="836">
        <f>IF(BG33="","",SUM(BD25:BD36)/2)</f>
        <v>5</v>
      </c>
      <c r="BJ33" s="836">
        <f>IF(OR(BG33="",MOD(COUNT(AL33:BF33),2)=1),"",RANK(BK33,$BK$25:$BK$36))</f>
        <v>3</v>
      </c>
      <c r="BK33" s="258">
        <f>IF(OR(BG33="",MOD(COUNT(AL33:BF33),2)=1),"",BG33*1000000+BH33*100+BI33)</f>
        <v>-1095</v>
      </c>
      <c r="BL33" s="258"/>
      <c r="BM33" s="258"/>
      <c r="BN33" s="290" t="str">
        <f>AK33</f>
        <v>光野･笠間</v>
      </c>
      <c r="BO33" s="258">
        <f>IF(BG33=$Y25,IF(AO33="○",3,IF(AO33="△",1,0)),0)</f>
        <v>0</v>
      </c>
      <c r="BP33" s="258">
        <f>IF(BG33=$Y29,IF(AV33="○",3,IF(AV33="△",1,0)),0)</f>
        <v>0</v>
      </c>
      <c r="BR33" s="475"/>
      <c r="BS33" s="475"/>
      <c r="BT33" s="475"/>
      <c r="BU33" s="475"/>
      <c r="BV33" s="475"/>
      <c r="BW33" s="475"/>
      <c r="BX33" s="915"/>
      <c r="BY33" s="475"/>
    </row>
    <row r="34" spans="1:119" x14ac:dyDescent="0.15">
      <c r="A34" s="258"/>
      <c r="C34" s="808"/>
      <c r="D34" s="464"/>
      <c r="F34" s="446">
        <f>IF(V26="","",V26)</f>
        <v>1</v>
      </c>
      <c r="G34" s="447" t="s">
        <v>92</v>
      </c>
      <c r="H34" s="448">
        <f>IF(T26="","",T26)</f>
        <v>0</v>
      </c>
      <c r="J34" s="467"/>
      <c r="K34" s="464"/>
      <c r="M34" s="446">
        <f>IF(V30="","",V30)</f>
        <v>0</v>
      </c>
      <c r="N34" s="447" t="s">
        <v>92</v>
      </c>
      <c r="O34" s="448">
        <f>IF(T30="","",T30)</f>
        <v>0</v>
      </c>
      <c r="Q34" s="467"/>
      <c r="R34" s="1011"/>
      <c r="S34" s="1012"/>
      <c r="T34" s="1012"/>
      <c r="U34" s="1012"/>
      <c r="V34" s="1012"/>
      <c r="W34" s="1012"/>
      <c r="X34" s="1013"/>
      <c r="Y34" s="836"/>
      <c r="Z34" s="836"/>
      <c r="AA34" s="836"/>
      <c r="AB34" s="836"/>
      <c r="AD34" s="475"/>
      <c r="AE34" s="475"/>
      <c r="AF34" s="475"/>
      <c r="AG34" s="475"/>
      <c r="AH34" s="475"/>
      <c r="AI34" s="475"/>
      <c r="AK34" s="1025"/>
      <c r="AL34" s="464"/>
      <c r="AM34" s="555"/>
      <c r="AN34" s="446">
        <f>IF(BD26="","",BD26)</f>
        <v>0</v>
      </c>
      <c r="AO34" s="447" t="s">
        <v>92</v>
      </c>
      <c r="AP34" s="448">
        <f>IF(BB26="","",BB26)</f>
        <v>7</v>
      </c>
      <c r="AR34" s="467"/>
      <c r="AS34" s="464"/>
      <c r="AU34" s="446">
        <f>IF(BD30="","",BD30)</f>
        <v>4</v>
      </c>
      <c r="AV34" s="447" t="s">
        <v>92</v>
      </c>
      <c r="AW34" s="448">
        <f>IF(BB30="","",BB30)</f>
        <v>0</v>
      </c>
      <c r="AY34" s="467"/>
      <c r="AZ34" s="1011"/>
      <c r="BA34" s="1012"/>
      <c r="BB34" s="1012"/>
      <c r="BC34" s="1012"/>
      <c r="BD34" s="1012"/>
      <c r="BE34" s="1012"/>
      <c r="BF34" s="1013"/>
      <c r="BG34" s="836"/>
      <c r="BH34" s="836"/>
      <c r="BI34" s="836"/>
      <c r="BJ34" s="836"/>
      <c r="BK34" s="258"/>
      <c r="BL34" s="475"/>
      <c r="BM34" s="475"/>
      <c r="BN34" s="475"/>
      <c r="BO34" s="475"/>
      <c r="BP34" s="475"/>
      <c r="BQ34" s="475"/>
      <c r="BR34" s="475"/>
      <c r="BS34" s="475"/>
      <c r="BT34" s="475"/>
      <c r="BU34" s="475"/>
      <c r="BV34" s="475"/>
      <c r="BW34" s="475"/>
      <c r="BX34" s="915"/>
      <c r="BY34" s="475"/>
    </row>
    <row r="35" spans="1:119" x14ac:dyDescent="0.15">
      <c r="A35" s="258"/>
      <c r="C35" s="808"/>
      <c r="D35" s="464"/>
      <c r="F35" s="446">
        <f>IF(V27="","",V27)</f>
        <v>0</v>
      </c>
      <c r="G35" s="447" t="s">
        <v>92</v>
      </c>
      <c r="H35" s="448">
        <f>IF(T27="","",T27)</f>
        <v>0</v>
      </c>
      <c r="J35" s="467"/>
      <c r="K35" s="464"/>
      <c r="M35" s="446">
        <f>IF(V31="","",V31)</f>
        <v>2</v>
      </c>
      <c r="N35" s="447" t="s">
        <v>92</v>
      </c>
      <c r="O35" s="448">
        <f>IF(T31="","",T31)</f>
        <v>0</v>
      </c>
      <c r="Q35" s="467"/>
      <c r="R35" s="1011"/>
      <c r="S35" s="1012"/>
      <c r="T35" s="1012"/>
      <c r="U35" s="1012"/>
      <c r="V35" s="1012"/>
      <c r="W35" s="1012"/>
      <c r="X35" s="1013"/>
      <c r="Y35" s="836"/>
      <c r="Z35" s="836"/>
      <c r="AA35" s="836"/>
      <c r="AB35" s="836"/>
      <c r="AD35" s="475"/>
      <c r="AE35" s="475"/>
      <c r="AF35" s="475"/>
      <c r="AG35" s="475"/>
      <c r="AH35" s="475"/>
      <c r="AI35" s="475"/>
      <c r="AK35" s="1025"/>
      <c r="AL35" s="464"/>
      <c r="AM35" s="555"/>
      <c r="AN35" s="446">
        <f>IF(BD27="","",BD27)</f>
        <v>1</v>
      </c>
      <c r="AO35" s="447" t="s">
        <v>92</v>
      </c>
      <c r="AP35" s="448">
        <f>IF(BB27="","",BB27)</f>
        <v>4</v>
      </c>
      <c r="AR35" s="467"/>
      <c r="AS35" s="464"/>
      <c r="AU35" s="446">
        <f>IF(BD31="","",BD31)</f>
        <v>0</v>
      </c>
      <c r="AV35" s="447" t="s">
        <v>92</v>
      </c>
      <c r="AW35" s="448">
        <f>IF(BB31="","",BB31)</f>
        <v>5</v>
      </c>
      <c r="AY35" s="467"/>
      <c r="AZ35" s="1011"/>
      <c r="BA35" s="1012"/>
      <c r="BB35" s="1012"/>
      <c r="BC35" s="1012"/>
      <c r="BD35" s="1012"/>
      <c r="BE35" s="1012"/>
      <c r="BF35" s="1013"/>
      <c r="BG35" s="836"/>
      <c r="BH35" s="836"/>
      <c r="BI35" s="836"/>
      <c r="BJ35" s="836"/>
      <c r="BK35" s="258"/>
      <c r="BL35" s="475"/>
      <c r="BM35" s="475"/>
      <c r="BN35" s="475"/>
      <c r="BO35" s="475"/>
      <c r="BP35" s="475"/>
      <c r="BQ35" s="475"/>
      <c r="BR35" s="475"/>
      <c r="BS35" s="475"/>
      <c r="BT35" s="475"/>
      <c r="BU35" s="475"/>
      <c r="BV35" s="475"/>
      <c r="BW35" s="475"/>
      <c r="BX35" s="915"/>
      <c r="BY35" s="475"/>
    </row>
    <row r="36" spans="1:119" ht="3.75" customHeight="1" x14ac:dyDescent="0.15">
      <c r="A36" s="258"/>
      <c r="C36" s="808"/>
      <c r="D36" s="468"/>
      <c r="E36" s="469"/>
      <c r="F36" s="470"/>
      <c r="G36" s="471"/>
      <c r="H36" s="472"/>
      <c r="I36" s="469"/>
      <c r="J36" s="473"/>
      <c r="K36" s="468"/>
      <c r="L36" s="469"/>
      <c r="M36" s="470"/>
      <c r="N36" s="471"/>
      <c r="O36" s="472"/>
      <c r="P36" s="469"/>
      <c r="Q36" s="473"/>
      <c r="R36" s="1014"/>
      <c r="S36" s="1015"/>
      <c r="T36" s="1015"/>
      <c r="U36" s="1015"/>
      <c r="V36" s="1015"/>
      <c r="W36" s="1015"/>
      <c r="X36" s="1016"/>
      <c r="Y36" s="836"/>
      <c r="Z36" s="836"/>
      <c r="AA36" s="836"/>
      <c r="AB36" s="836"/>
      <c r="AD36" s="475"/>
      <c r="AE36" s="475"/>
      <c r="AF36" s="475"/>
      <c r="AG36" s="475"/>
      <c r="AH36" s="475"/>
      <c r="AI36" s="475"/>
      <c r="AK36" s="1025"/>
      <c r="AL36" s="468"/>
      <c r="AM36" s="556"/>
      <c r="AN36" s="470"/>
      <c r="AO36" s="471"/>
      <c r="AP36" s="472"/>
      <c r="AQ36" s="469"/>
      <c r="AR36" s="473"/>
      <c r="AS36" s="468"/>
      <c r="AT36" s="469"/>
      <c r="AU36" s="470"/>
      <c r="AV36" s="471"/>
      <c r="AW36" s="472"/>
      <c r="AX36" s="469"/>
      <c r="AY36" s="473"/>
      <c r="AZ36" s="1014"/>
      <c r="BA36" s="1015"/>
      <c r="BB36" s="1015"/>
      <c r="BC36" s="1015"/>
      <c r="BD36" s="1015"/>
      <c r="BE36" s="1015"/>
      <c r="BF36" s="1016"/>
      <c r="BG36" s="836"/>
      <c r="BH36" s="836"/>
      <c r="BI36" s="836"/>
      <c r="BJ36" s="836"/>
      <c r="BK36" s="258"/>
      <c r="BL36" s="475"/>
      <c r="BM36" s="475"/>
      <c r="BN36" s="475"/>
      <c r="BO36" s="475"/>
      <c r="BP36" s="475"/>
      <c r="BQ36" s="475"/>
      <c r="BR36" s="475"/>
      <c r="BS36" s="475"/>
      <c r="BT36" s="475"/>
      <c r="BU36" s="475"/>
      <c r="BV36" s="475"/>
      <c r="BW36" s="475"/>
      <c r="BX36" s="915"/>
      <c r="BY36" s="475" t="str">
        <f>IF(OR(BG36="",MOD(COUNT(AL36:BF36),2)=1),"",BG36*10000+BK36*100+BO36)</f>
        <v/>
      </c>
    </row>
    <row r="37" spans="1:119" x14ac:dyDescent="0.15">
      <c r="A37" s="258"/>
      <c r="C37" s="1030"/>
      <c r="D37" s="819"/>
      <c r="E37" s="819"/>
      <c r="F37" s="819"/>
      <c r="G37" s="463"/>
      <c r="H37" s="819"/>
      <c r="I37" s="819"/>
      <c r="J37" s="819"/>
      <c r="K37" s="819"/>
      <c r="L37" s="819"/>
      <c r="M37" s="819"/>
      <c r="N37" s="463"/>
      <c r="O37" s="819"/>
      <c r="P37" s="819"/>
      <c r="Q37" s="819"/>
      <c r="R37" s="819"/>
      <c r="S37" s="819"/>
      <c r="T37" s="819"/>
      <c r="U37" s="463"/>
      <c r="V37" s="819"/>
      <c r="W37" s="819"/>
      <c r="X37" s="819"/>
      <c r="Y37" s="1030"/>
      <c r="Z37" s="1030"/>
      <c r="AA37" s="1030"/>
      <c r="AB37" s="1030"/>
      <c r="AC37" s="475"/>
      <c r="AD37" s="475"/>
      <c r="AE37" s="475"/>
      <c r="AF37" s="475"/>
      <c r="AG37" s="475"/>
      <c r="AH37" s="475"/>
      <c r="AI37" s="475"/>
      <c r="AK37" s="1031"/>
      <c r="AL37" s="805"/>
      <c r="AM37" s="805"/>
      <c r="AN37" s="805"/>
      <c r="AP37" s="805"/>
      <c r="AQ37" s="805"/>
      <c r="AR37" s="805"/>
      <c r="AS37" s="805"/>
      <c r="AT37" s="805"/>
      <c r="AU37" s="805"/>
      <c r="AW37" s="805"/>
      <c r="AX37" s="805"/>
      <c r="AY37" s="805"/>
      <c r="AZ37" s="805"/>
      <c r="BA37" s="805"/>
      <c r="BB37" s="805"/>
      <c r="BD37" s="805"/>
      <c r="BE37" s="805"/>
      <c r="BF37" s="805"/>
      <c r="BG37" s="805"/>
      <c r="BH37" s="805"/>
      <c r="BI37" s="805"/>
      <c r="BJ37" s="805"/>
      <c r="BK37" s="805"/>
      <c r="BL37" s="805"/>
      <c r="BM37" s="805"/>
      <c r="BN37" s="805"/>
      <c r="BO37" s="915"/>
      <c r="BP37" s="915"/>
      <c r="BQ37" s="915"/>
      <c r="BR37" s="475"/>
      <c r="BS37" s="475"/>
      <c r="BT37" s="475"/>
      <c r="BU37" s="475"/>
      <c r="BV37" s="475"/>
      <c r="BW37" s="475"/>
      <c r="BX37" s="915"/>
      <c r="BY37" s="475" t="str">
        <f>IF(OR(BO37="",MOD(COUNT(AL37:BN37),2)=1),"",BO37*10000+BP37*100+BQ37)</f>
        <v/>
      </c>
      <c r="CB37" s="1032" t="s">
        <v>93</v>
      </c>
      <c r="CC37" s="1032"/>
      <c r="CD37" s="1032"/>
      <c r="CE37" s="1032"/>
      <c r="CF37" s="1032"/>
      <c r="CG37" s="1032"/>
      <c r="CH37" s="1032"/>
      <c r="CI37" s="1032"/>
      <c r="CJ37" s="1032"/>
      <c r="CK37" s="1032"/>
      <c r="CL37" s="1032"/>
      <c r="CM37" s="1032"/>
      <c r="CN37" s="1032"/>
      <c r="CO37" s="1032"/>
      <c r="CP37" s="1032"/>
      <c r="CQ37" s="1032"/>
      <c r="CR37" s="1032"/>
      <c r="CS37" s="1032"/>
      <c r="CT37" s="1032"/>
      <c r="CU37" s="1032"/>
      <c r="CV37" s="1032"/>
      <c r="CW37" s="1032"/>
      <c r="CX37" s="1032"/>
      <c r="CY37" s="1032"/>
      <c r="CZ37" s="1032"/>
      <c r="DA37" s="1032"/>
      <c r="DB37" s="1032"/>
    </row>
    <row r="38" spans="1:119" x14ac:dyDescent="0.15">
      <c r="A38" s="258"/>
      <c r="C38" s="915"/>
      <c r="Y38" s="915"/>
      <c r="Z38" s="915"/>
      <c r="AA38" s="915"/>
      <c r="AB38" s="915"/>
      <c r="AC38" s="475"/>
      <c r="AD38" s="475"/>
      <c r="AE38" s="475"/>
      <c r="AF38" s="475"/>
      <c r="AG38" s="475"/>
      <c r="AH38" s="475"/>
      <c r="AI38" s="475"/>
      <c r="AK38" s="1031"/>
      <c r="BG38" s="805"/>
      <c r="BH38" s="805"/>
      <c r="BI38" s="805"/>
      <c r="BJ38" s="805"/>
      <c r="BK38" s="805"/>
      <c r="BL38" s="805"/>
      <c r="BM38" s="805"/>
      <c r="BN38" s="805"/>
      <c r="BO38" s="915"/>
      <c r="BP38" s="915"/>
      <c r="BQ38" s="915"/>
      <c r="BR38" s="475"/>
      <c r="BS38" s="475"/>
      <c r="BT38" s="475"/>
      <c r="BU38" s="475"/>
      <c r="BV38" s="475"/>
      <c r="BW38" s="475"/>
      <c r="BX38" s="915"/>
      <c r="BY38" s="475"/>
      <c r="CB38" s="1032"/>
      <c r="CC38" s="1032"/>
      <c r="CD38" s="1032"/>
      <c r="CE38" s="1032"/>
      <c r="CF38" s="1032"/>
      <c r="CG38" s="1032"/>
      <c r="CH38" s="1032"/>
      <c r="CI38" s="1032"/>
      <c r="CJ38" s="1032"/>
      <c r="CK38" s="1032"/>
      <c r="CL38" s="1032"/>
      <c r="CM38" s="1032"/>
      <c r="CN38" s="1032"/>
      <c r="CO38" s="1032"/>
      <c r="CP38" s="1032"/>
      <c r="CQ38" s="1032"/>
      <c r="CR38" s="1032"/>
      <c r="CS38" s="1032"/>
      <c r="CT38" s="1032"/>
      <c r="CU38" s="1032"/>
      <c r="CV38" s="1032"/>
      <c r="CW38" s="1032"/>
      <c r="CX38" s="1032"/>
      <c r="CY38" s="1032"/>
      <c r="CZ38" s="1032"/>
      <c r="DA38" s="1032"/>
      <c r="DB38" s="1032"/>
    </row>
    <row r="39" spans="1:119" x14ac:dyDescent="0.15">
      <c r="A39" s="258"/>
      <c r="C39" s="915"/>
      <c r="Y39" s="915"/>
      <c r="Z39" s="915"/>
      <c r="AA39" s="915"/>
      <c r="AB39" s="915"/>
      <c r="AC39" s="475"/>
      <c r="AD39" s="475"/>
      <c r="AE39" s="475"/>
      <c r="AF39" s="475"/>
      <c r="AG39" s="475"/>
      <c r="AH39" s="475"/>
      <c r="AI39" s="475"/>
      <c r="AK39" s="1031"/>
      <c r="BG39" s="805"/>
      <c r="BH39" s="805"/>
      <c r="BI39" s="805"/>
      <c r="BJ39" s="805"/>
      <c r="BK39" s="805"/>
      <c r="BL39" s="805"/>
      <c r="BM39" s="805"/>
      <c r="BN39" s="805"/>
      <c r="BO39" s="915"/>
      <c r="BP39" s="915"/>
      <c r="BQ39" s="915"/>
      <c r="BR39" s="475"/>
      <c r="BS39" s="475"/>
      <c r="BT39" s="475"/>
      <c r="BU39" s="475"/>
      <c r="BV39" s="475"/>
      <c r="BW39" s="475"/>
      <c r="BX39" s="915"/>
      <c r="BY39" s="475"/>
      <c r="CB39" s="1032"/>
      <c r="CC39" s="1032"/>
      <c r="CD39" s="1032"/>
      <c r="CE39" s="1032"/>
      <c r="CF39" s="1032"/>
      <c r="CG39" s="1032"/>
      <c r="CH39" s="1032"/>
      <c r="CI39" s="1032"/>
      <c r="CJ39" s="1032"/>
      <c r="CK39" s="1032"/>
      <c r="CL39" s="1032"/>
      <c r="CM39" s="1032"/>
      <c r="CN39" s="1032"/>
      <c r="CO39" s="1032"/>
      <c r="CP39" s="1032"/>
      <c r="CQ39" s="1032"/>
      <c r="CR39" s="1032"/>
      <c r="CS39" s="1032"/>
      <c r="CT39" s="1032"/>
      <c r="CU39" s="1032"/>
      <c r="CV39" s="1032"/>
      <c r="CW39" s="1032"/>
      <c r="CX39" s="1032"/>
      <c r="CY39" s="1032"/>
      <c r="CZ39" s="1032"/>
      <c r="DA39" s="1032"/>
      <c r="DB39" s="1032"/>
    </row>
    <row r="40" spans="1:119" ht="3.75" customHeight="1" x14ac:dyDescent="0.15">
      <c r="A40" s="258"/>
      <c r="C40" s="915"/>
      <c r="Y40" s="915"/>
      <c r="Z40" s="915"/>
      <c r="AA40" s="915"/>
      <c r="AB40" s="915"/>
      <c r="AC40" s="475"/>
      <c r="AD40" s="475"/>
      <c r="AE40" s="475"/>
      <c r="AF40" s="475"/>
      <c r="AG40" s="475"/>
      <c r="AH40" s="475"/>
      <c r="AI40" s="475"/>
      <c r="AK40" s="1031"/>
      <c r="BG40" s="805"/>
      <c r="BH40" s="805"/>
      <c r="BI40" s="805"/>
      <c r="BJ40" s="805"/>
      <c r="BK40" s="805"/>
      <c r="BL40" s="805"/>
      <c r="BM40" s="805"/>
      <c r="BN40" s="805"/>
      <c r="BO40" s="915"/>
      <c r="BP40" s="915"/>
      <c r="BQ40" s="915"/>
      <c r="BR40" s="475"/>
      <c r="BS40" s="475"/>
      <c r="BT40" s="475"/>
      <c r="BU40" s="475"/>
      <c r="BV40" s="475"/>
      <c r="BW40" s="475"/>
      <c r="BX40" s="915"/>
      <c r="BY40" s="475"/>
    </row>
    <row r="42" spans="1:119" ht="43.5" customHeight="1" x14ac:dyDescent="0.15">
      <c r="A42" s="258"/>
      <c r="CB42" s="543" t="s">
        <v>146</v>
      </c>
      <c r="CZ42" s="543" t="s">
        <v>147</v>
      </c>
    </row>
    <row r="43" spans="1:119" ht="22.5" customHeight="1" x14ac:dyDescent="0.15">
      <c r="A43" s="258"/>
      <c r="CE43" s="1033" t="s">
        <v>95</v>
      </c>
      <c r="CF43" s="1033"/>
      <c r="CG43" s="1033"/>
      <c r="CH43" s="544" t="str">
        <f>IF(I3="","",I3)</f>
        <v>白山市立松任中学校</v>
      </c>
      <c r="DC43" s="1033" t="s">
        <v>148</v>
      </c>
      <c r="DD43" s="1033"/>
      <c r="DE43" s="1033"/>
      <c r="DF43" s="545" t="str">
        <f>IF(AQ3="","",AQ3)</f>
        <v>白山市立北辰中学校</v>
      </c>
    </row>
    <row r="44" spans="1:119" ht="3" customHeight="1" x14ac:dyDescent="0.15">
      <c r="A44" s="258"/>
      <c r="CE44" s="270"/>
      <c r="CF44" s="270"/>
      <c r="CG44" s="270"/>
      <c r="CH44" s="544"/>
      <c r="DC44" s="270"/>
      <c r="DD44" s="270"/>
      <c r="DE44" s="270"/>
      <c r="DF44" s="545"/>
    </row>
    <row r="45" spans="1:119" x14ac:dyDescent="0.15">
      <c r="A45" s="258"/>
      <c r="CK45" s="916"/>
      <c r="DI45" s="916"/>
    </row>
    <row r="46" spans="1:119" x14ac:dyDescent="0.15">
      <c r="CI46" s="1033">
        <f>IF(CI49="","",SUM(CI49:CJ52))</f>
        <v>3</v>
      </c>
      <c r="CJ46" s="1033"/>
      <c r="CK46" s="916"/>
      <c r="CM46" s="1035">
        <f>IF(CM49="","",SUM(CM49:CN52))</f>
        <v>0</v>
      </c>
      <c r="CN46" s="1035"/>
      <c r="DG46" s="1033">
        <f>IF(DG49="","",SUM(DG49:DH52))</f>
        <v>0</v>
      </c>
      <c r="DH46" s="1033"/>
      <c r="DI46" s="916"/>
      <c r="DK46" s="1035">
        <f>IF(DK49="","",SUM(DK49:DL52))</f>
        <v>4</v>
      </c>
      <c r="DL46" s="1035"/>
    </row>
    <row r="47" spans="1:119" s="546" customFormat="1" ht="14.25" hidden="1" customHeight="1" x14ac:dyDescent="0.15">
      <c r="A47" s="507"/>
      <c r="D47" s="507"/>
      <c r="E47" s="507"/>
      <c r="F47" s="489"/>
      <c r="G47" s="487"/>
      <c r="H47" s="490"/>
      <c r="I47" s="507"/>
      <c r="J47" s="507"/>
      <c r="K47" s="507"/>
      <c r="L47" s="507"/>
      <c r="M47" s="489"/>
      <c r="N47" s="487"/>
      <c r="O47" s="490"/>
      <c r="P47" s="507"/>
      <c r="Q47" s="507"/>
      <c r="R47" s="507"/>
      <c r="S47" s="507"/>
      <c r="T47" s="489"/>
      <c r="U47" s="487"/>
      <c r="V47" s="490"/>
      <c r="W47" s="507"/>
      <c r="X47" s="507"/>
      <c r="AC47" s="258"/>
      <c r="AL47" s="507"/>
      <c r="AM47" s="507"/>
      <c r="AN47" s="489"/>
      <c r="AO47" s="487"/>
      <c r="AP47" s="490"/>
      <c r="AQ47" s="507"/>
      <c r="AR47" s="507"/>
      <c r="AS47" s="507"/>
      <c r="AT47" s="507"/>
      <c r="AU47" s="489"/>
      <c r="AV47" s="487"/>
      <c r="AW47" s="490"/>
      <c r="AX47" s="507"/>
      <c r="AY47" s="507"/>
      <c r="AZ47" s="507"/>
      <c r="BA47" s="507"/>
      <c r="BB47" s="489"/>
      <c r="BC47" s="487"/>
      <c r="BD47" s="490"/>
      <c r="BE47" s="507"/>
      <c r="BF47" s="507"/>
      <c r="BG47" s="507"/>
      <c r="BH47" s="507"/>
      <c r="BI47" s="489"/>
      <c r="BJ47" s="487"/>
      <c r="BK47" s="487"/>
      <c r="BL47" s="490"/>
      <c r="BM47" s="507"/>
      <c r="BN47" s="507"/>
      <c r="BY47" s="258"/>
      <c r="CI47" s="1037">
        <f>IF(CI49="","",SUM(CI49:CJ54))</f>
        <v>3</v>
      </c>
      <c r="CJ47" s="1037"/>
      <c r="CK47" s="916"/>
      <c r="CM47" s="1038">
        <f>IF(CM49="","",SUM(CM49:CN54))</f>
        <v>0</v>
      </c>
      <c r="CN47" s="1038"/>
      <c r="DG47" s="1037">
        <f>IF(DG49="","",SUM(DG49:DH54))</f>
        <v>0</v>
      </c>
      <c r="DH47" s="1037"/>
      <c r="DI47" s="916"/>
      <c r="DK47" s="1038">
        <f>IF(DK49="","",SUM(DK49:DL54))</f>
        <v>4</v>
      </c>
      <c r="DL47" s="1038"/>
    </row>
    <row r="48" spans="1:119" ht="7.5" customHeight="1" thickBot="1" x14ac:dyDescent="0.2">
      <c r="CF48" s="1036"/>
      <c r="CG48" s="1036"/>
      <c r="CH48" s="1036"/>
      <c r="CI48" s="1036"/>
      <c r="CJ48" s="1036"/>
      <c r="CK48" s="1034"/>
      <c r="CL48" s="1036"/>
      <c r="CM48" s="1036"/>
      <c r="CN48" s="1036"/>
      <c r="CO48" s="1036"/>
      <c r="CP48" s="1036"/>
      <c r="CQ48" s="1036"/>
      <c r="DD48" s="1036"/>
      <c r="DE48" s="1036"/>
      <c r="DF48" s="1036"/>
      <c r="DG48" s="1036"/>
      <c r="DH48" s="1036"/>
      <c r="DI48" s="1034"/>
      <c r="DJ48" s="1036"/>
      <c r="DK48" s="1036"/>
      <c r="DL48" s="1036"/>
      <c r="DM48" s="1036"/>
      <c r="DN48" s="1036"/>
      <c r="DO48" s="1036"/>
    </row>
    <row r="49" spans="1:126" ht="14.25" customHeight="1" thickTop="1" x14ac:dyDescent="0.15">
      <c r="CC49" s="1040" t="str">
        <f>IF(CC55=CG55,"",IF(CG55&lt;CC55,CB63,CH63))</f>
        <v>松任</v>
      </c>
      <c r="CD49" s="1040"/>
      <c r="CE49" s="916"/>
      <c r="CI49" s="877">
        <v>1</v>
      </c>
      <c r="CJ49" s="877"/>
      <c r="CK49" s="915" t="s">
        <v>92</v>
      </c>
      <c r="CL49" s="915"/>
      <c r="CM49" s="1039">
        <v>0</v>
      </c>
      <c r="CN49" s="1039"/>
      <c r="CR49" s="1041"/>
      <c r="CS49" s="1043" t="str">
        <f>IF(CO55=CS55,"",IF(CS55&lt;CO55,CN63,CT63))</f>
        <v>野々市</v>
      </c>
      <c r="CT49" s="1043"/>
      <c r="DA49" s="1040" t="str">
        <f>IF(DA55=DE55,"",IF(DE55&lt;DA55,CZ63,DF63))</f>
        <v>美川</v>
      </c>
      <c r="DB49" s="1040"/>
      <c r="DC49" s="916"/>
      <c r="DG49" s="877">
        <v>0</v>
      </c>
      <c r="DH49" s="877"/>
      <c r="DI49" s="915" t="s">
        <v>92</v>
      </c>
      <c r="DJ49" s="915"/>
      <c r="DK49" s="1039">
        <v>2</v>
      </c>
      <c r="DL49" s="1039"/>
      <c r="DP49" s="1041"/>
      <c r="DQ49" s="1043" t="str">
        <f>IF(DM55=DQ55,"",IF(DQ55&lt;DM55,DL63,DR63))</f>
        <v>北辰</v>
      </c>
      <c r="DR49" s="1043"/>
    </row>
    <row r="50" spans="1:126" x14ac:dyDescent="0.15">
      <c r="CC50" s="1040"/>
      <c r="CD50" s="1040"/>
      <c r="CE50" s="916"/>
      <c r="CI50" s="877">
        <v>2</v>
      </c>
      <c r="CJ50" s="877"/>
      <c r="CK50" s="915" t="s">
        <v>92</v>
      </c>
      <c r="CL50" s="915"/>
      <c r="CM50" s="1039">
        <v>0</v>
      </c>
      <c r="CN50" s="1039"/>
      <c r="CR50" s="1041"/>
      <c r="CS50" s="1043"/>
      <c r="CT50" s="1043"/>
      <c r="DA50" s="1040"/>
      <c r="DB50" s="1040"/>
      <c r="DC50" s="916"/>
      <c r="DG50" s="877">
        <v>0</v>
      </c>
      <c r="DH50" s="877"/>
      <c r="DI50" s="915" t="s">
        <v>92</v>
      </c>
      <c r="DJ50" s="915"/>
      <c r="DK50" s="1039">
        <v>2</v>
      </c>
      <c r="DL50" s="1039"/>
      <c r="DP50" s="1041"/>
      <c r="DQ50" s="1043"/>
      <c r="DR50" s="1043"/>
    </row>
    <row r="51" spans="1:126" x14ac:dyDescent="0.15">
      <c r="A51" s="290" t="str">
        <f>IF(CI47=CM47,"",IF(CC49=CB63,CH63,CB63))</f>
        <v>布水</v>
      </c>
      <c r="CC51" s="1040"/>
      <c r="CD51" s="1040"/>
      <c r="CE51" s="916"/>
      <c r="CI51" s="877"/>
      <c r="CJ51" s="877"/>
      <c r="CK51" s="915" t="str">
        <f>IF(CI51="","","－")</f>
        <v/>
      </c>
      <c r="CL51" s="915"/>
      <c r="CM51" s="1039"/>
      <c r="CN51" s="1039"/>
      <c r="CR51" s="1041"/>
      <c r="CS51" s="1043"/>
      <c r="CT51" s="1043"/>
      <c r="DA51" s="1040"/>
      <c r="DB51" s="1040"/>
      <c r="DC51" s="916"/>
      <c r="DG51" s="877"/>
      <c r="DH51" s="877"/>
      <c r="DI51" s="915" t="str">
        <f>IF(DG51="","","－")</f>
        <v/>
      </c>
      <c r="DJ51" s="915"/>
      <c r="DK51" s="1039"/>
      <c r="DL51" s="1039"/>
      <c r="DP51" s="1041"/>
      <c r="DQ51" s="1043"/>
      <c r="DR51" s="1043"/>
    </row>
    <row r="52" spans="1:126" x14ac:dyDescent="0.15">
      <c r="A52" s="290" t="str">
        <f>IF(CI47=CM47,"",IF(CS49=CT63,CN63,CT63))</f>
        <v>北星</v>
      </c>
      <c r="CC52" s="1040"/>
      <c r="CD52" s="1040"/>
      <c r="CE52" s="916"/>
      <c r="CI52" s="877"/>
      <c r="CJ52" s="877"/>
      <c r="CK52" s="915" t="str">
        <f>IF(CI52="","","－")</f>
        <v/>
      </c>
      <c r="CL52" s="915"/>
      <c r="CM52" s="1039"/>
      <c r="CN52" s="1039"/>
      <c r="CR52" s="1041"/>
      <c r="CS52" s="1043"/>
      <c r="CT52" s="1043"/>
      <c r="DA52" s="1040"/>
      <c r="DB52" s="1040"/>
      <c r="DC52" s="916"/>
      <c r="DG52" s="877"/>
      <c r="DH52" s="877"/>
      <c r="DI52" s="915" t="str">
        <f>IF(DG52="","","－")</f>
        <v/>
      </c>
      <c r="DJ52" s="915"/>
      <c r="DK52" s="1039"/>
      <c r="DL52" s="1039"/>
      <c r="DP52" s="1041"/>
      <c r="DQ52" s="1043"/>
      <c r="DR52" s="1043"/>
    </row>
    <row r="53" spans="1:126" x14ac:dyDescent="0.15">
      <c r="CE53" s="916"/>
      <c r="CI53" s="877"/>
      <c r="CJ53" s="877"/>
      <c r="CK53" s="915" t="str">
        <f>IF(CI53="","","PK")</f>
        <v/>
      </c>
      <c r="CL53" s="915"/>
      <c r="CM53" s="1039"/>
      <c r="CN53" s="1039"/>
      <c r="CR53" s="1041"/>
      <c r="DC53" s="916"/>
      <c r="DG53" s="877"/>
      <c r="DH53" s="877"/>
      <c r="DI53" s="915" t="str">
        <f>IF(DG53="","","PK")</f>
        <v/>
      </c>
      <c r="DJ53" s="915"/>
      <c r="DK53" s="1039"/>
      <c r="DL53" s="1039"/>
      <c r="DP53" s="1041"/>
    </row>
    <row r="54" spans="1:126" x14ac:dyDescent="0.15">
      <c r="CC54" s="1033">
        <f>IF(CC57="","",SUM(CC57:CD60))</f>
        <v>2</v>
      </c>
      <c r="CD54" s="1033"/>
      <c r="CE54" s="916"/>
      <c r="CG54" s="1035">
        <f>IF(CG57="","",SUM(CG57:CH60))</f>
        <v>0</v>
      </c>
      <c r="CH54" s="1035"/>
      <c r="CK54" s="915"/>
      <c r="CL54" s="915"/>
      <c r="CO54" s="1033">
        <f>IF(CO57="","",SUM(CO57:CP60))</f>
        <v>0</v>
      </c>
      <c r="CP54" s="1033"/>
      <c r="CR54" s="1041"/>
      <c r="CS54" s="1035">
        <f>IF(CS57="","",SUM(CS57:CT60))</f>
        <v>0</v>
      </c>
      <c r="CT54" s="1035"/>
      <c r="DA54" s="1033">
        <f>IF(DA57="","",SUM(DA57:DB60))</f>
        <v>3</v>
      </c>
      <c r="DB54" s="1033"/>
      <c r="DC54" s="916"/>
      <c r="DE54" s="1035">
        <f>IF(DE57="","",SUM(DE57:DF60))</f>
        <v>0</v>
      </c>
      <c r="DF54" s="1035"/>
      <c r="DI54" s="915"/>
      <c r="DJ54" s="915"/>
      <c r="DM54" s="1033">
        <f>IF(DM57="","",SUM(DM57:DN60))</f>
        <v>0</v>
      </c>
      <c r="DN54" s="1033"/>
      <c r="DP54" s="1041"/>
      <c r="DQ54" s="1035">
        <f>IF(DQ57="","",SUM(DQ57:DR60))</f>
        <v>0</v>
      </c>
      <c r="DR54" s="1035"/>
    </row>
    <row r="55" spans="1:126" s="546" customFormat="1" ht="14.25" hidden="1" customHeight="1" x14ac:dyDescent="0.15">
      <c r="A55" s="507"/>
      <c r="D55" s="507"/>
      <c r="E55" s="507"/>
      <c r="F55" s="489"/>
      <c r="G55" s="487"/>
      <c r="H55" s="490"/>
      <c r="I55" s="507"/>
      <c r="J55" s="507"/>
      <c r="K55" s="507"/>
      <c r="L55" s="507"/>
      <c r="M55" s="489"/>
      <c r="N55" s="487"/>
      <c r="O55" s="490"/>
      <c r="P55" s="507"/>
      <c r="Q55" s="507"/>
      <c r="R55" s="507"/>
      <c r="S55" s="507"/>
      <c r="T55" s="489"/>
      <c r="U55" s="487"/>
      <c r="V55" s="490"/>
      <c r="W55" s="507"/>
      <c r="X55" s="507"/>
      <c r="AC55" s="258"/>
      <c r="AL55" s="507"/>
      <c r="AM55" s="507"/>
      <c r="AN55" s="489"/>
      <c r="AO55" s="487"/>
      <c r="AP55" s="490"/>
      <c r="AQ55" s="507"/>
      <c r="AR55" s="507"/>
      <c r="AS55" s="507"/>
      <c r="AT55" s="507"/>
      <c r="AU55" s="489"/>
      <c r="AV55" s="487"/>
      <c r="AW55" s="490"/>
      <c r="AX55" s="507"/>
      <c r="AY55" s="507"/>
      <c r="AZ55" s="507"/>
      <c r="BA55" s="507"/>
      <c r="BB55" s="489"/>
      <c r="BC55" s="487"/>
      <c r="BD55" s="490"/>
      <c r="BE55" s="507"/>
      <c r="BF55" s="507"/>
      <c r="BG55" s="507"/>
      <c r="BH55" s="507"/>
      <c r="BI55" s="489"/>
      <c r="BJ55" s="487"/>
      <c r="BK55" s="487"/>
      <c r="BL55" s="490"/>
      <c r="BM55" s="507"/>
      <c r="BN55" s="507"/>
      <c r="BY55" s="258"/>
      <c r="CC55" s="1037">
        <f>IF(CC57="","",SUM(CC57:CD62))</f>
        <v>2</v>
      </c>
      <c r="CD55" s="1037"/>
      <c r="CE55" s="916"/>
      <c r="CG55" s="1038">
        <f>IF(CG57="","",SUM(CG57:CH62))</f>
        <v>0</v>
      </c>
      <c r="CH55" s="1038"/>
      <c r="CO55" s="1037">
        <f>IF(CO57="","",SUM(CO57:CP62))</f>
        <v>3</v>
      </c>
      <c r="CP55" s="1037"/>
      <c r="CR55" s="1041"/>
      <c r="CS55" s="1038">
        <f>IF(CS57="","",SUM(CS57:CT62))</f>
        <v>4</v>
      </c>
      <c r="CT55" s="1038"/>
      <c r="DA55" s="1037">
        <f>IF(DA57="","",SUM(DA57:DB62))</f>
        <v>3</v>
      </c>
      <c r="DB55" s="1037"/>
      <c r="DC55" s="916"/>
      <c r="DE55" s="1038">
        <f>IF(DE57="","",SUM(DE57:DF62))</f>
        <v>0</v>
      </c>
      <c r="DF55" s="1038"/>
      <c r="DM55" s="1037">
        <f>IF(DM57="","",SUM(DM57:DN62))</f>
        <v>5</v>
      </c>
      <c r="DN55" s="1037"/>
      <c r="DP55" s="1041"/>
      <c r="DQ55" s="1038">
        <f>IF(DQ57="","",SUM(DQ57:DR62))</f>
        <v>4</v>
      </c>
      <c r="DR55" s="1038"/>
    </row>
    <row r="56" spans="1:126" ht="7.5" customHeight="1" thickBot="1" x14ac:dyDescent="0.2">
      <c r="CC56" s="1036"/>
      <c r="CD56" s="1036"/>
      <c r="CE56" s="1034"/>
      <c r="CF56" s="1036"/>
      <c r="CG56" s="1036"/>
      <c r="CH56" s="1036"/>
      <c r="CO56" s="1036"/>
      <c r="CP56" s="1036"/>
      <c r="CQ56" s="1036"/>
      <c r="CR56" s="1042"/>
      <c r="CS56" s="1036"/>
      <c r="CT56" s="1036"/>
      <c r="DA56" s="1036"/>
      <c r="DB56" s="1036"/>
      <c r="DC56" s="1034"/>
      <c r="DD56" s="1036"/>
      <c r="DE56" s="1036"/>
      <c r="DF56" s="1036"/>
      <c r="DM56" s="1036"/>
      <c r="DN56" s="1036"/>
      <c r="DO56" s="1036"/>
      <c r="DP56" s="1042"/>
      <c r="DQ56" s="1036"/>
      <c r="DR56" s="1036"/>
    </row>
    <row r="57" spans="1:126" ht="15" thickTop="1" x14ac:dyDescent="0.15">
      <c r="CB57" s="916"/>
      <c r="CC57" s="877">
        <v>1</v>
      </c>
      <c r="CD57" s="877"/>
      <c r="CE57" s="915" t="s">
        <v>92</v>
      </c>
      <c r="CF57" s="915"/>
      <c r="CG57" s="1039">
        <v>0</v>
      </c>
      <c r="CH57" s="1039"/>
      <c r="CI57" s="1041"/>
      <c r="CN57" s="916"/>
      <c r="CO57" s="877">
        <v>0</v>
      </c>
      <c r="CP57" s="877"/>
      <c r="CQ57" s="915" t="s">
        <v>92</v>
      </c>
      <c r="CR57" s="915"/>
      <c r="CS57" s="1039">
        <v>0</v>
      </c>
      <c r="CT57" s="1039"/>
      <c r="CU57" s="1041"/>
      <c r="CZ57" s="916"/>
      <c r="DA57" s="877">
        <v>2</v>
      </c>
      <c r="DB57" s="877"/>
      <c r="DC57" s="915" t="s">
        <v>92</v>
      </c>
      <c r="DD57" s="915"/>
      <c r="DE57" s="1039">
        <v>0</v>
      </c>
      <c r="DF57" s="1039"/>
      <c r="DG57" s="1041"/>
      <c r="DL57" s="916"/>
      <c r="DM57" s="877">
        <v>0</v>
      </c>
      <c r="DN57" s="877"/>
      <c r="DO57" s="915" t="s">
        <v>92</v>
      </c>
      <c r="DP57" s="915"/>
      <c r="DQ57" s="1039">
        <v>0</v>
      </c>
      <c r="DR57" s="1039"/>
      <c r="DS57" s="1041"/>
    </row>
    <row r="58" spans="1:126" x14ac:dyDescent="0.15">
      <c r="CB58" s="916"/>
      <c r="CC58" s="877">
        <v>1</v>
      </c>
      <c r="CD58" s="877"/>
      <c r="CE58" s="915" t="s">
        <v>92</v>
      </c>
      <c r="CF58" s="915"/>
      <c r="CG58" s="1039">
        <v>0</v>
      </c>
      <c r="CH58" s="1039"/>
      <c r="CI58" s="1041"/>
      <c r="CN58" s="916"/>
      <c r="CO58" s="877">
        <v>0</v>
      </c>
      <c r="CP58" s="877"/>
      <c r="CQ58" s="915" t="s">
        <v>92</v>
      </c>
      <c r="CR58" s="915"/>
      <c r="CS58" s="1039">
        <v>0</v>
      </c>
      <c r="CT58" s="1039"/>
      <c r="CU58" s="1041"/>
      <c r="CZ58" s="916"/>
      <c r="DA58" s="877">
        <v>1</v>
      </c>
      <c r="DB58" s="877"/>
      <c r="DC58" s="915" t="s">
        <v>92</v>
      </c>
      <c r="DD58" s="915"/>
      <c r="DE58" s="1039">
        <v>0</v>
      </c>
      <c r="DF58" s="1039"/>
      <c r="DG58" s="1041"/>
      <c r="DL58" s="916"/>
      <c r="DM58" s="877">
        <v>0</v>
      </c>
      <c r="DN58" s="877"/>
      <c r="DO58" s="915" t="s">
        <v>92</v>
      </c>
      <c r="DP58" s="915"/>
      <c r="DQ58" s="1039">
        <v>0</v>
      </c>
      <c r="DR58" s="1039"/>
      <c r="DS58" s="1041"/>
    </row>
    <row r="59" spans="1:126" x14ac:dyDescent="0.15">
      <c r="CB59" s="916"/>
      <c r="CC59" s="877"/>
      <c r="CD59" s="877"/>
      <c r="CE59" s="915" t="str">
        <f>IF(CC59="","","－")</f>
        <v/>
      </c>
      <c r="CF59" s="915"/>
      <c r="CG59" s="1039"/>
      <c r="CH59" s="1039"/>
      <c r="CI59" s="1041"/>
      <c r="CN59" s="916"/>
      <c r="CO59" s="877">
        <v>0</v>
      </c>
      <c r="CP59" s="877"/>
      <c r="CQ59" s="915" t="str">
        <f>IF(CO59="","","－")</f>
        <v>－</v>
      </c>
      <c r="CR59" s="915"/>
      <c r="CS59" s="1039">
        <v>0</v>
      </c>
      <c r="CT59" s="1039"/>
      <c r="CU59" s="1041"/>
      <c r="CZ59" s="916"/>
      <c r="DA59" s="877"/>
      <c r="DB59" s="877"/>
      <c r="DC59" s="915" t="str">
        <f>IF(DA59="","","－")</f>
        <v/>
      </c>
      <c r="DD59" s="915"/>
      <c r="DE59" s="1039"/>
      <c r="DF59" s="1039"/>
      <c r="DG59" s="1041"/>
      <c r="DL59" s="916"/>
      <c r="DM59" s="877">
        <v>0</v>
      </c>
      <c r="DN59" s="877"/>
      <c r="DO59" s="915" t="str">
        <f>IF(DM59="","","－")</f>
        <v>－</v>
      </c>
      <c r="DP59" s="915"/>
      <c r="DQ59" s="1039">
        <v>0</v>
      </c>
      <c r="DR59" s="1039"/>
      <c r="DS59" s="1041"/>
    </row>
    <row r="60" spans="1:126" x14ac:dyDescent="0.15">
      <c r="CB60" s="916"/>
      <c r="CC60" s="877"/>
      <c r="CD60" s="877"/>
      <c r="CE60" s="915" t="str">
        <f>IF(CC60="","","－")</f>
        <v/>
      </c>
      <c r="CF60" s="915"/>
      <c r="CG60" s="1039"/>
      <c r="CH60" s="1039"/>
      <c r="CI60" s="1041"/>
      <c r="CN60" s="916"/>
      <c r="CO60" s="877">
        <v>0</v>
      </c>
      <c r="CP60" s="877"/>
      <c r="CQ60" s="915" t="str">
        <f>IF(CO60="","","－")</f>
        <v>－</v>
      </c>
      <c r="CR60" s="915"/>
      <c r="CS60" s="1039">
        <v>0</v>
      </c>
      <c r="CT60" s="1039"/>
      <c r="CU60" s="1041"/>
      <c r="CZ60" s="916"/>
      <c r="DA60" s="877"/>
      <c r="DB60" s="877"/>
      <c r="DC60" s="915" t="str">
        <f>IF(DA60="","","－")</f>
        <v/>
      </c>
      <c r="DD60" s="915"/>
      <c r="DE60" s="1039"/>
      <c r="DF60" s="1039"/>
      <c r="DG60" s="1041"/>
      <c r="DL60" s="916"/>
      <c r="DM60" s="877">
        <v>0</v>
      </c>
      <c r="DN60" s="877"/>
      <c r="DO60" s="915" t="str">
        <f>IF(DM60="","","－")</f>
        <v>－</v>
      </c>
      <c r="DP60" s="915"/>
      <c r="DQ60" s="1039">
        <v>0</v>
      </c>
      <c r="DR60" s="1039"/>
      <c r="DS60" s="1041"/>
    </row>
    <row r="61" spans="1:126" x14ac:dyDescent="0.15">
      <c r="CB61" s="916"/>
      <c r="CC61" s="877"/>
      <c r="CD61" s="877"/>
      <c r="CE61" s="915" t="str">
        <f>IF(CC61="","","PK")</f>
        <v/>
      </c>
      <c r="CF61" s="915"/>
      <c r="CG61" s="1039"/>
      <c r="CH61" s="1039"/>
      <c r="CI61" s="1041"/>
      <c r="CN61" s="916"/>
      <c r="CO61" s="877">
        <v>3</v>
      </c>
      <c r="CP61" s="877"/>
      <c r="CQ61" s="915" t="str">
        <f>IF(CO61="","","PK")</f>
        <v>PK</v>
      </c>
      <c r="CR61" s="915"/>
      <c r="CS61" s="1039">
        <v>4</v>
      </c>
      <c r="CT61" s="1039"/>
      <c r="CU61" s="1041"/>
      <c r="CZ61" s="916"/>
      <c r="DA61" s="877"/>
      <c r="DB61" s="877"/>
      <c r="DC61" s="915" t="str">
        <f>IF(DA61="","","PK")</f>
        <v/>
      </c>
      <c r="DD61" s="915"/>
      <c r="DE61" s="1039"/>
      <c r="DF61" s="1039"/>
      <c r="DG61" s="1041"/>
      <c r="DL61" s="916"/>
      <c r="DM61" s="877">
        <v>5</v>
      </c>
      <c r="DN61" s="877"/>
      <c r="DO61" s="915" t="str">
        <f>IF(DM61="","","PK")</f>
        <v>PK</v>
      </c>
      <c r="DP61" s="915"/>
      <c r="DQ61" s="1039">
        <v>4</v>
      </c>
      <c r="DR61" s="1039"/>
      <c r="DS61" s="1041"/>
    </row>
    <row r="62" spans="1:126" x14ac:dyDescent="0.15">
      <c r="CB62" s="916"/>
      <c r="CE62" s="915"/>
      <c r="CF62" s="915"/>
      <c r="CI62" s="1041"/>
      <c r="CN62" s="916"/>
      <c r="CQ62" s="915"/>
      <c r="CR62" s="915"/>
      <c r="CU62" s="1041"/>
      <c r="CZ62" s="916"/>
      <c r="DC62" s="915"/>
      <c r="DD62" s="915"/>
      <c r="DG62" s="1041"/>
      <c r="DL62" s="916"/>
      <c r="DO62" s="915"/>
      <c r="DP62" s="915"/>
      <c r="DS62" s="1041"/>
    </row>
    <row r="63" spans="1:126" ht="183.75" customHeight="1" x14ac:dyDescent="0.15">
      <c r="CB63" s="1044" t="str">
        <f>IF(ISERROR(MATCH(1,$AB$10:$AB$21,0)),"A1位(　　　　　)",INDEX($C$10:$C$21,MATCH(1,$AB$10:$AB$21,0),1))</f>
        <v>松任</v>
      </c>
      <c r="CC63" s="1044"/>
      <c r="CD63" s="547"/>
      <c r="CE63" s="547"/>
      <c r="CF63" s="547"/>
      <c r="CG63" s="547"/>
      <c r="CH63" s="1044" t="str">
        <f>IF(ISERROR(MATCH(1,$BJ$25:$BJ$36,0)),"D1位(　　　　　)",INDEX($AK$25:$AK$36,MATCH(1,$BJ$25:$BJ$36,0),1))</f>
        <v>布水</v>
      </c>
      <c r="CI63" s="1044"/>
      <c r="CJ63" s="547"/>
      <c r="CK63" s="547"/>
      <c r="CL63" s="547"/>
      <c r="CM63" s="547"/>
      <c r="CN63" s="1044" t="str">
        <f>IF(ISERROR(MATCH(1,$BJ$10:$BJ$21,0)),"C1位(　　　　　)",INDEX($AK$10:$AK$21,MATCH(1,$BJ$10:$BJ$21,0),1))</f>
        <v>北星</v>
      </c>
      <c r="CO63" s="1044"/>
      <c r="CP63" s="547"/>
      <c r="CQ63" s="547"/>
      <c r="CR63" s="547"/>
      <c r="CS63" s="547"/>
      <c r="CT63" s="1044" t="str">
        <f>IF(ISERROR(MATCH(1,$AB$25:$AB$40,0)),"B1位(　　　　　)",INDEX($C$25:$C$40,MATCH(1,$AB$25:$AB$40,0),1))</f>
        <v>野々市</v>
      </c>
      <c r="CU63" s="1044"/>
      <c r="CV63" s="547"/>
      <c r="CW63" s="547"/>
      <c r="CX63" s="547"/>
      <c r="CY63" s="547"/>
      <c r="CZ63" s="1044" t="str">
        <f>IF(ISERROR(MATCH(2,$AB$10:$AB$21,0)),"A2位(　　　　　)",INDEX($C$10:$C$21,MATCH(2,$AB$10:$AB$21,0),1))</f>
        <v>美川</v>
      </c>
      <c r="DA63" s="1044"/>
      <c r="DB63" s="547"/>
      <c r="DC63" s="547"/>
      <c r="DD63" s="547"/>
      <c r="DE63" s="547"/>
      <c r="DF63" s="1044" t="str">
        <f>IF(ISERROR(MATCH(2,$BJ$25:$BJ$36,0)),"D2位(　　　　　)",INDEX($AK$25:$AK$36,MATCH(2,$BJ$25:$BJ$36,0),1))</f>
        <v>丸内</v>
      </c>
      <c r="DG63" s="1044"/>
      <c r="DH63" s="547"/>
      <c r="DI63" s="547"/>
      <c r="DJ63" s="547"/>
      <c r="DK63" s="547"/>
      <c r="DL63" s="1044" t="str">
        <f>IF(ISERROR(MATCH(2,$BJ$10:$BJ$21,0)),"C2位(　　　　　)",INDEX($AK$10:$AK$21,MATCH(2,$BJ$10:$BJ$21,0),1))</f>
        <v>北辰</v>
      </c>
      <c r="DM63" s="1044"/>
      <c r="DN63" s="547"/>
      <c r="DO63" s="547"/>
      <c r="DP63" s="547"/>
      <c r="DQ63" s="547"/>
      <c r="DR63" s="1044" t="str">
        <f>IF(ISERROR(MATCH(2,$AB$25:$AB$40,0)),"B2位(　　　　　)",INDEX($C$25:$C$40,MATCH(2,$AB$25:$AB$40,0),1))</f>
        <v>南部</v>
      </c>
      <c r="DS63" s="1044"/>
      <c r="DT63" s="475"/>
      <c r="DU63" s="475"/>
      <c r="DV63" s="475"/>
    </row>
  </sheetData>
  <mergeCells count="338">
    <mergeCell ref="CC60:CD60"/>
    <mergeCell ref="CE60:CF60"/>
    <mergeCell ref="DL63:DM63"/>
    <mergeCell ref="DR63:DS63"/>
    <mergeCell ref="CB63:CC63"/>
    <mergeCell ref="CH63:CI63"/>
    <mergeCell ref="CN63:CO63"/>
    <mergeCell ref="CT63:CU63"/>
    <mergeCell ref="CZ63:DA63"/>
    <mergeCell ref="DF63:DG63"/>
    <mergeCell ref="DC61:DD61"/>
    <mergeCell ref="DE61:DF61"/>
    <mergeCell ref="DM61:DN61"/>
    <mergeCell ref="DO61:DP61"/>
    <mergeCell ref="DQ61:DR61"/>
    <mergeCell ref="CE62:CF62"/>
    <mergeCell ref="CQ60:CR60"/>
    <mergeCell ref="CS60:CT60"/>
    <mergeCell ref="DA60:DB60"/>
    <mergeCell ref="DC60:DD60"/>
    <mergeCell ref="DO62:DP62"/>
    <mergeCell ref="DE60:DF60"/>
    <mergeCell ref="DM60:DN60"/>
    <mergeCell ref="DO60:DP60"/>
    <mergeCell ref="DE59:DF59"/>
    <mergeCell ref="CG61:CH61"/>
    <mergeCell ref="CO61:CP61"/>
    <mergeCell ref="CZ57:CZ62"/>
    <mergeCell ref="DA57:DB57"/>
    <mergeCell ref="DA61:DB61"/>
    <mergeCell ref="DO59:DP59"/>
    <mergeCell ref="CU57:CU62"/>
    <mergeCell ref="DQ58:DR58"/>
    <mergeCell ref="DS57:DS62"/>
    <mergeCell ref="CC58:CD58"/>
    <mergeCell ref="CE58:CF58"/>
    <mergeCell ref="CG58:CH58"/>
    <mergeCell ref="CO58:CP58"/>
    <mergeCell ref="CQ58:CR58"/>
    <mergeCell ref="CS58:CT58"/>
    <mergeCell ref="DA58:DB58"/>
    <mergeCell ref="DC58:DD58"/>
    <mergeCell ref="DC57:DD57"/>
    <mergeCell ref="DE57:DF57"/>
    <mergeCell ref="DG57:DG62"/>
    <mergeCell ref="DL57:DL62"/>
    <mergeCell ref="DM57:DN57"/>
    <mergeCell ref="DO57:DP57"/>
    <mergeCell ref="DE58:DF58"/>
    <mergeCell ref="CG60:CH60"/>
    <mergeCell ref="CO60:CP60"/>
    <mergeCell ref="DM58:DN58"/>
    <mergeCell ref="DO58:DP58"/>
    <mergeCell ref="DM59:DN59"/>
    <mergeCell ref="CO57:CP57"/>
    <mergeCell ref="CQ57:CR57"/>
    <mergeCell ref="CS57:CT57"/>
    <mergeCell ref="CS49:CT52"/>
    <mergeCell ref="CB57:CB62"/>
    <mergeCell ref="CC57:CD57"/>
    <mergeCell ref="CE57:CF57"/>
    <mergeCell ref="CG57:CH57"/>
    <mergeCell ref="CI57:CI62"/>
    <mergeCell ref="CN57:CN62"/>
    <mergeCell ref="DQ57:DR57"/>
    <mergeCell ref="CC59:CD59"/>
    <mergeCell ref="CE59:CF59"/>
    <mergeCell ref="CG59:CH59"/>
    <mergeCell ref="CO59:CP59"/>
    <mergeCell ref="CQ59:CR59"/>
    <mergeCell ref="CS59:CT59"/>
    <mergeCell ref="DA59:DB59"/>
    <mergeCell ref="CC61:CD61"/>
    <mergeCell ref="CE61:CF61"/>
    <mergeCell ref="DQ59:DR59"/>
    <mergeCell ref="DQ60:DR60"/>
    <mergeCell ref="CQ62:CR62"/>
    <mergeCell ref="DC62:DD62"/>
    <mergeCell ref="CQ61:CR61"/>
    <mergeCell ref="CS61:CT61"/>
    <mergeCell ref="DC59:DD59"/>
    <mergeCell ref="DI53:DJ53"/>
    <mergeCell ref="DM56:DO56"/>
    <mergeCell ref="DQ56:DR56"/>
    <mergeCell ref="DP49:DP56"/>
    <mergeCell ref="DE54:DF54"/>
    <mergeCell ref="DI54:DJ54"/>
    <mergeCell ref="DM54:DN54"/>
    <mergeCell ref="DQ54:DR54"/>
    <mergeCell ref="CC55:CD55"/>
    <mergeCell ref="CG55:CH55"/>
    <mergeCell ref="CO55:CP55"/>
    <mergeCell ref="CS55:CT55"/>
    <mergeCell ref="DA55:DB55"/>
    <mergeCell ref="DE55:DF55"/>
    <mergeCell ref="CC54:CD54"/>
    <mergeCell ref="CG54:CH54"/>
    <mergeCell ref="CK54:CL54"/>
    <mergeCell ref="DQ49:DR52"/>
    <mergeCell ref="CI50:CJ50"/>
    <mergeCell ref="CK50:CL50"/>
    <mergeCell ref="CM50:CN50"/>
    <mergeCell ref="DG50:DH50"/>
    <mergeCell ref="DI50:DJ50"/>
    <mergeCell ref="DK50:DL50"/>
    <mergeCell ref="DQ55:DR55"/>
    <mergeCell ref="CO56:CQ56"/>
    <mergeCell ref="DK53:DL53"/>
    <mergeCell ref="CC49:CD52"/>
    <mergeCell ref="CE49:CE56"/>
    <mergeCell ref="CI49:CJ49"/>
    <mergeCell ref="CK49:CL49"/>
    <mergeCell ref="CM49:CN49"/>
    <mergeCell ref="CR49:CR56"/>
    <mergeCell ref="CM51:CN51"/>
    <mergeCell ref="CI52:CJ52"/>
    <mergeCell ref="CK52:CL52"/>
    <mergeCell ref="CM52:CN52"/>
    <mergeCell ref="CI51:CJ51"/>
    <mergeCell ref="CK51:CL51"/>
    <mergeCell ref="CI53:CJ53"/>
    <mergeCell ref="CK53:CL53"/>
    <mergeCell ref="CM53:CN53"/>
    <mergeCell ref="CO54:CP54"/>
    <mergeCell ref="CS54:CT54"/>
    <mergeCell ref="DA54:DB54"/>
    <mergeCell ref="CC56:CD56"/>
    <mergeCell ref="CF56:CH56"/>
    <mergeCell ref="DA49:DB52"/>
    <mergeCell ref="CS56:CT56"/>
    <mergeCell ref="DA56:DB56"/>
    <mergeCell ref="DD56:DF56"/>
    <mergeCell ref="DK46:DL46"/>
    <mergeCell ref="CI47:CJ47"/>
    <mergeCell ref="CM47:CN47"/>
    <mergeCell ref="DG47:DH47"/>
    <mergeCell ref="DK47:DL47"/>
    <mergeCell ref="CF48:CJ48"/>
    <mergeCell ref="CL48:CQ48"/>
    <mergeCell ref="DD48:DH48"/>
    <mergeCell ref="DJ48:DO48"/>
    <mergeCell ref="DM55:DN55"/>
    <mergeCell ref="DC49:DC56"/>
    <mergeCell ref="DG49:DH49"/>
    <mergeCell ref="DI49:DJ49"/>
    <mergeCell ref="DK49:DL49"/>
    <mergeCell ref="DG51:DH51"/>
    <mergeCell ref="DI51:DJ51"/>
    <mergeCell ref="DK51:DL51"/>
    <mergeCell ref="DG52:DH52"/>
    <mergeCell ref="DI52:DJ52"/>
    <mergeCell ref="DK52:DL52"/>
    <mergeCell ref="DG53:DH53"/>
    <mergeCell ref="BX37:BX40"/>
    <mergeCell ref="CB37:DB39"/>
    <mergeCell ref="CE43:CG43"/>
    <mergeCell ref="DC43:DE43"/>
    <mergeCell ref="CK45:CK48"/>
    <mergeCell ref="DI45:DI48"/>
    <mergeCell ref="CI46:CJ46"/>
    <mergeCell ref="CM46:CN46"/>
    <mergeCell ref="DG46:DH46"/>
    <mergeCell ref="AZ37:BB37"/>
    <mergeCell ref="BD37:BF37"/>
    <mergeCell ref="BG37:BN40"/>
    <mergeCell ref="BO37:BO40"/>
    <mergeCell ref="BP37:BP40"/>
    <mergeCell ref="BQ37:BQ40"/>
    <mergeCell ref="AB37:AB40"/>
    <mergeCell ref="AK37:AK40"/>
    <mergeCell ref="AL37:AN37"/>
    <mergeCell ref="AP37:AR37"/>
    <mergeCell ref="AS37:AU37"/>
    <mergeCell ref="AW37:AY37"/>
    <mergeCell ref="V37:X37"/>
    <mergeCell ref="Y37:Y40"/>
    <mergeCell ref="Z37:Z40"/>
    <mergeCell ref="AA37:AA40"/>
    <mergeCell ref="C37:C40"/>
    <mergeCell ref="D37:F37"/>
    <mergeCell ref="H37:J37"/>
    <mergeCell ref="K37:M37"/>
    <mergeCell ref="O37:Q37"/>
    <mergeCell ref="R37:T37"/>
    <mergeCell ref="Y33:Y36"/>
    <mergeCell ref="Z33:Z36"/>
    <mergeCell ref="AA33:AA36"/>
    <mergeCell ref="AB33:AB36"/>
    <mergeCell ref="AK33:AK36"/>
    <mergeCell ref="BX29:BX32"/>
    <mergeCell ref="C33:C36"/>
    <mergeCell ref="D33:F33"/>
    <mergeCell ref="H33:J33"/>
    <mergeCell ref="K33:M33"/>
    <mergeCell ref="O33:Q33"/>
    <mergeCell ref="R33:X36"/>
    <mergeCell ref="AK29:AK32"/>
    <mergeCell ref="AL29:AN29"/>
    <mergeCell ref="AP29:AR29"/>
    <mergeCell ref="AS29:AY32"/>
    <mergeCell ref="AZ29:BB29"/>
    <mergeCell ref="BD29:BF29"/>
    <mergeCell ref="BX33:BX36"/>
    <mergeCell ref="AL33:AN33"/>
    <mergeCell ref="AP33:AR33"/>
    <mergeCell ref="AS33:AU33"/>
    <mergeCell ref="AW33:AY33"/>
    <mergeCell ref="AZ33:BF36"/>
    <mergeCell ref="Y29:Y32"/>
    <mergeCell ref="Z29:Z32"/>
    <mergeCell ref="AA29:AA32"/>
    <mergeCell ref="AB29:AB32"/>
    <mergeCell ref="C29:C32"/>
    <mergeCell ref="D29:F29"/>
    <mergeCell ref="H29:J29"/>
    <mergeCell ref="K29:Q32"/>
    <mergeCell ref="R29:T29"/>
    <mergeCell ref="V29:X29"/>
    <mergeCell ref="BX25:BX28"/>
    <mergeCell ref="AS25:AU25"/>
    <mergeCell ref="AW25:AY25"/>
    <mergeCell ref="AZ25:BB25"/>
    <mergeCell ref="BD25:BF25"/>
    <mergeCell ref="Y25:Y28"/>
    <mergeCell ref="Z25:Z28"/>
    <mergeCell ref="AA25:AA28"/>
    <mergeCell ref="AB25:AB28"/>
    <mergeCell ref="AK25:AK28"/>
    <mergeCell ref="AL25:AR28"/>
    <mergeCell ref="C25:C28"/>
    <mergeCell ref="D25:J28"/>
    <mergeCell ref="K25:M25"/>
    <mergeCell ref="O25:Q25"/>
    <mergeCell ref="R25:T25"/>
    <mergeCell ref="V25:X25"/>
    <mergeCell ref="BG25:BG28"/>
    <mergeCell ref="BH25:BH28"/>
    <mergeCell ref="BI25:BI28"/>
    <mergeCell ref="AS24:AY24"/>
    <mergeCell ref="Y18:Y21"/>
    <mergeCell ref="Z18:Z21"/>
    <mergeCell ref="AA18:AA21"/>
    <mergeCell ref="AB18:AB21"/>
    <mergeCell ref="C18:C21"/>
    <mergeCell ref="D18:F18"/>
    <mergeCell ref="H18:J18"/>
    <mergeCell ref="K18:M18"/>
    <mergeCell ref="O18:Q18"/>
    <mergeCell ref="R18:X21"/>
    <mergeCell ref="AK18:AK21"/>
    <mergeCell ref="AL18:AN18"/>
    <mergeCell ref="AP18:AR18"/>
    <mergeCell ref="AS18:AU18"/>
    <mergeCell ref="AW18:AY18"/>
    <mergeCell ref="C23:J23"/>
    <mergeCell ref="AK23:AR23"/>
    <mergeCell ref="D24:J24"/>
    <mergeCell ref="K24:Q24"/>
    <mergeCell ref="R24:X24"/>
    <mergeCell ref="AL24:AR24"/>
    <mergeCell ref="C10:C13"/>
    <mergeCell ref="D10:J13"/>
    <mergeCell ref="K10:M10"/>
    <mergeCell ref="O10:Q10"/>
    <mergeCell ref="R10:T10"/>
    <mergeCell ref="V10:X10"/>
    <mergeCell ref="BG10:BG13"/>
    <mergeCell ref="BH10:BH13"/>
    <mergeCell ref="C14:C17"/>
    <mergeCell ref="D14:F14"/>
    <mergeCell ref="H14:J14"/>
    <mergeCell ref="K14:Q17"/>
    <mergeCell ref="R14:T14"/>
    <mergeCell ref="V14:X14"/>
    <mergeCell ref="Y14:Y17"/>
    <mergeCell ref="Z14:Z17"/>
    <mergeCell ref="AA14:AA17"/>
    <mergeCell ref="AB14:AB17"/>
    <mergeCell ref="AK14:AK17"/>
    <mergeCell ref="AL14:AN14"/>
    <mergeCell ref="AP14:AR14"/>
    <mergeCell ref="AS14:AY17"/>
    <mergeCell ref="BI10:BI13"/>
    <mergeCell ref="AZ10:BB10"/>
    <mergeCell ref="BD10:BF10"/>
    <mergeCell ref="AK10:AK13"/>
    <mergeCell ref="AL10:AR13"/>
    <mergeCell ref="AS10:AU10"/>
    <mergeCell ref="AW10:AY10"/>
    <mergeCell ref="Y10:Y13"/>
    <mergeCell ref="Z10:Z13"/>
    <mergeCell ref="AA10:AA13"/>
    <mergeCell ref="AB10:AB13"/>
    <mergeCell ref="I6:Z6"/>
    <mergeCell ref="AA6:AB6"/>
    <mergeCell ref="C8:J8"/>
    <mergeCell ref="AK8:AR8"/>
    <mergeCell ref="D9:J9"/>
    <mergeCell ref="K9:Q9"/>
    <mergeCell ref="R9:X9"/>
    <mergeCell ref="AL9:AR9"/>
    <mergeCell ref="AS9:AY9"/>
    <mergeCell ref="F4:H4"/>
    <mergeCell ref="I4:Z4"/>
    <mergeCell ref="AA4:AB4"/>
    <mergeCell ref="F5:H5"/>
    <mergeCell ref="I5:Z5"/>
    <mergeCell ref="AA5:AB5"/>
    <mergeCell ref="C1:BX1"/>
    <mergeCell ref="F3:H3"/>
    <mergeCell ref="I3:Z3"/>
    <mergeCell ref="AA3:AB3"/>
    <mergeCell ref="BI3:BN3"/>
    <mergeCell ref="AL3:AP3"/>
    <mergeCell ref="BG29:BG32"/>
    <mergeCell ref="BH29:BH32"/>
    <mergeCell ref="BI29:BI32"/>
    <mergeCell ref="BJ29:BJ32"/>
    <mergeCell ref="BG33:BG36"/>
    <mergeCell ref="BH33:BH36"/>
    <mergeCell ref="BI33:BI36"/>
    <mergeCell ref="BJ33:BJ36"/>
    <mergeCell ref="AQ3:BH3"/>
    <mergeCell ref="AZ9:BF9"/>
    <mergeCell ref="BJ10:BJ13"/>
    <mergeCell ref="BD14:BF14"/>
    <mergeCell ref="AZ14:BB14"/>
    <mergeCell ref="BG14:BG17"/>
    <mergeCell ref="BH14:BH17"/>
    <mergeCell ref="BI14:BI17"/>
    <mergeCell ref="BJ14:BJ17"/>
    <mergeCell ref="BJ18:BJ21"/>
    <mergeCell ref="AZ24:BF24"/>
    <mergeCell ref="BJ25:BJ28"/>
    <mergeCell ref="AZ18:BF21"/>
    <mergeCell ref="BG18:BG21"/>
    <mergeCell ref="BH18:BH21"/>
    <mergeCell ref="BI18:BI21"/>
  </mergeCells>
  <phoneticPr fontId="2"/>
  <conditionalFormatting sqref="CB57:CB62">
    <cfRule type="expression" dxfId="173" priority="32" stopIfTrue="1">
      <formula>$CC$55&lt;=$CG$55</formula>
    </cfRule>
  </conditionalFormatting>
  <conditionalFormatting sqref="CC56:CD56">
    <cfRule type="expression" dxfId="172" priority="29" stopIfTrue="1">
      <formula>$CC$55&lt;=$CG$55</formula>
    </cfRule>
  </conditionalFormatting>
  <conditionalFormatting sqref="CE49:CE56">
    <cfRule type="expression" dxfId="171" priority="25" stopIfTrue="1">
      <formula>$CC$55=$CG$55</formula>
    </cfRule>
    <cfRule type="expression" dxfId="170" priority="26" stopIfTrue="1">
      <formula>$CC$55&lt;$CG$55</formula>
    </cfRule>
  </conditionalFormatting>
  <conditionalFormatting sqref="CF56:CH56">
    <cfRule type="expression" dxfId="169" priority="28" stopIfTrue="1">
      <formula>$CG$55&lt;=$CC$55</formula>
    </cfRule>
  </conditionalFormatting>
  <conditionalFormatting sqref="CF48:CJ48">
    <cfRule type="expression" dxfId="168" priority="19" stopIfTrue="1">
      <formula>$CI$47&lt;=$CM$47</formula>
    </cfRule>
  </conditionalFormatting>
  <conditionalFormatting sqref="CI57:CI62">
    <cfRule type="expression" dxfId="167" priority="27" stopIfTrue="1">
      <formula>$CG$55&lt;=$CC$55</formula>
    </cfRule>
  </conditionalFormatting>
  <conditionalFormatting sqref="CK45:CK48">
    <cfRule type="expression" dxfId="166" priority="16" stopIfTrue="1">
      <formula>$CI$47=$CM$47</formula>
    </cfRule>
    <cfRule type="expression" dxfId="165" priority="17" stopIfTrue="1">
      <formula>$CI$47&lt;$CM$47</formula>
    </cfRule>
  </conditionalFormatting>
  <conditionalFormatting sqref="CL48:CQ48">
    <cfRule type="expression" dxfId="164" priority="18" stopIfTrue="1">
      <formula>$CM$47&lt;=$CI$47</formula>
    </cfRule>
  </conditionalFormatting>
  <conditionalFormatting sqref="CN57:CN62">
    <cfRule type="expression" dxfId="163" priority="31" stopIfTrue="1">
      <formula>$CO$55&lt;=$CS$55</formula>
    </cfRule>
  </conditionalFormatting>
  <conditionalFormatting sqref="CO56:CQ56">
    <cfRule type="expression" dxfId="162" priority="24" stopIfTrue="1">
      <formula>$CO$55&lt;=$CS$55</formula>
    </cfRule>
  </conditionalFormatting>
  <conditionalFormatting sqref="CR49:CR56">
    <cfRule type="expression" dxfId="161" priority="20" stopIfTrue="1">
      <formula>$CS$55=$CO$55</formula>
    </cfRule>
    <cfRule type="expression" dxfId="160" priority="21" stopIfTrue="1">
      <formula>$CS$55&lt;$CO$55</formula>
    </cfRule>
  </conditionalFormatting>
  <conditionalFormatting sqref="CS56:CT56">
    <cfRule type="expression" dxfId="159" priority="23" stopIfTrue="1">
      <formula>$CS$55&lt;=$CO$55</formula>
    </cfRule>
  </conditionalFormatting>
  <conditionalFormatting sqref="CU57:CU62">
    <cfRule type="expression" dxfId="158" priority="22" stopIfTrue="1">
      <formula>$CS$55&lt;=$CO$55</formula>
    </cfRule>
  </conditionalFormatting>
  <conditionalFormatting sqref="CZ57:CZ62">
    <cfRule type="expression" dxfId="157" priority="30" stopIfTrue="1">
      <formula>$DA$55&lt;=$DE$55</formula>
    </cfRule>
  </conditionalFormatting>
  <conditionalFormatting sqref="DA56:DB56">
    <cfRule type="expression" dxfId="156" priority="14" stopIfTrue="1">
      <formula>$DA$55&lt;=$DE$55</formula>
    </cfRule>
  </conditionalFormatting>
  <conditionalFormatting sqref="DC49:DC56">
    <cfRule type="expression" dxfId="155" priority="10" stopIfTrue="1">
      <formula>$DA$55=$DE$55</formula>
    </cfRule>
    <cfRule type="expression" dxfId="154" priority="11" stopIfTrue="1">
      <formula>$DA$55&lt;$DE$55</formula>
    </cfRule>
  </conditionalFormatting>
  <conditionalFormatting sqref="DD56:DF56">
    <cfRule type="expression" dxfId="153" priority="13" stopIfTrue="1">
      <formula>$DE$55&lt;=$DA$55</formula>
    </cfRule>
  </conditionalFormatting>
  <conditionalFormatting sqref="DD48:DH48">
    <cfRule type="expression" dxfId="152" priority="4" stopIfTrue="1">
      <formula>$DG$47&lt;=$DK$47</formula>
    </cfRule>
  </conditionalFormatting>
  <conditionalFormatting sqref="DG57:DG62">
    <cfRule type="expression" dxfId="151" priority="12" stopIfTrue="1">
      <formula>$DE$55&lt;=$DA$55</formula>
    </cfRule>
  </conditionalFormatting>
  <conditionalFormatting sqref="DI45:DI48">
    <cfRule type="expression" dxfId="150" priority="1" stopIfTrue="1">
      <formula>$DG$47=$DK$47</formula>
    </cfRule>
    <cfRule type="expression" dxfId="149" priority="2" stopIfTrue="1">
      <formula>$DG$47&lt;$DK$47</formula>
    </cfRule>
  </conditionalFormatting>
  <conditionalFormatting sqref="DJ48:DO48">
    <cfRule type="expression" dxfId="148" priority="3" stopIfTrue="1">
      <formula>$DK$47&lt;=$DG$47</formula>
    </cfRule>
  </conditionalFormatting>
  <conditionalFormatting sqref="DL57:DL62">
    <cfRule type="expression" dxfId="147" priority="15" stopIfTrue="1">
      <formula>$DM$55&lt;=$DQ$55</formula>
    </cfRule>
  </conditionalFormatting>
  <conditionalFormatting sqref="DM56:DO56">
    <cfRule type="expression" dxfId="146" priority="9" stopIfTrue="1">
      <formula>$DM$55&lt;=$DQ$55</formula>
    </cfRule>
  </conditionalFormatting>
  <conditionalFormatting sqref="DP49:DP56">
    <cfRule type="expression" dxfId="145" priority="5" stopIfTrue="1">
      <formula>$DQ$55=$DM$55</formula>
    </cfRule>
    <cfRule type="expression" dxfId="144" priority="6" stopIfTrue="1">
      <formula>$DQ$55&lt;$DM$55</formula>
    </cfRule>
  </conditionalFormatting>
  <conditionalFormatting sqref="DQ56:DR56">
    <cfRule type="expression" dxfId="143" priority="8" stopIfTrue="1">
      <formula>$DQ$55&lt;=$DM$55</formula>
    </cfRule>
  </conditionalFormatting>
  <conditionalFormatting sqref="DS57:DS62">
    <cfRule type="expression" dxfId="142" priority="7" stopIfTrue="1">
      <formula>$DQ$55&lt;=$DM$55</formula>
    </cfRule>
  </conditionalFormatting>
  <printOptions horizontalCentered="1"/>
  <pageMargins left="0.39370078740157483" right="0.39370078740157483" top="0.59055118110236227" bottom="0.59055118110236227" header="0.31496062992125984" footer="0.31496062992125984"/>
  <pageSetup paperSize="9" scale="71"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5B910-AAC8-402E-BADA-5FE62547A246}">
  <sheetPr>
    <tabColor rgb="FF00B0F0"/>
    <pageSetUpPr fitToPage="1"/>
  </sheetPr>
  <dimension ref="A1:DP63"/>
  <sheetViews>
    <sheetView showGridLines="0" topLeftCell="C8" zoomScaleNormal="100" workbookViewId="0">
      <selection activeCell="AM18" sqref="AM18:AM21"/>
    </sheetView>
  </sheetViews>
  <sheetFormatPr defaultColWidth="9" defaultRowHeight="14.25" x14ac:dyDescent="0.15"/>
  <cols>
    <col min="1" max="1" width="9" style="290" hidden="1" customWidth="1"/>
    <col min="2" max="2" width="3.375" style="258" hidden="1" customWidth="1"/>
    <col min="3" max="3" width="4" style="258" bestFit="1" customWidth="1"/>
    <col min="4" max="5" width="0.625" style="290" customWidth="1"/>
    <col min="6" max="6" width="2.5" style="446" customWidth="1"/>
    <col min="7" max="7" width="2.5" style="447" customWidth="1"/>
    <col min="8" max="8" width="2.5" style="448" customWidth="1"/>
    <col min="9" max="12" width="0.625" style="290" customWidth="1"/>
    <col min="13" max="13" width="2.5" style="446" customWidth="1"/>
    <col min="14" max="14" width="2.5" style="447" customWidth="1"/>
    <col min="15" max="15" width="2.5" style="448" customWidth="1"/>
    <col min="16" max="19" width="0.625" style="290" customWidth="1"/>
    <col min="20" max="20" width="2.5" style="446" customWidth="1"/>
    <col min="21" max="21" width="2.5" style="447" customWidth="1"/>
    <col min="22" max="22" width="2.5" style="448" customWidth="1"/>
    <col min="23" max="24" width="0.625" style="290" customWidth="1"/>
    <col min="25" max="26" width="0.625" style="258" hidden="1" customWidth="1"/>
    <col min="27" max="27" width="2.375" style="258" hidden="1" customWidth="1"/>
    <col min="28" max="28" width="2.375" style="475" hidden="1" customWidth="1"/>
    <col min="29" max="29" width="2.375" style="258" hidden="1" customWidth="1"/>
    <col min="30" max="31" width="0.625" style="258" hidden="1" customWidth="1"/>
    <col min="32" max="35" width="5" style="258" customWidth="1"/>
    <col min="36" max="36" width="6.375" style="258" hidden="1" customWidth="1"/>
    <col min="37" max="37" width="4.5" style="258" customWidth="1"/>
    <col min="38" max="38" width="4.375" style="258" hidden="1" customWidth="1"/>
    <col min="39" max="39" width="4" style="258" customWidth="1"/>
    <col min="40" max="41" width="0.625" style="290" customWidth="1"/>
    <col min="42" max="42" width="2.5" style="446" customWidth="1"/>
    <col min="43" max="43" width="2.5" style="447" customWidth="1"/>
    <col min="44" max="44" width="2.5" style="448" customWidth="1"/>
    <col min="45" max="48" width="0.625" style="290" customWidth="1"/>
    <col min="49" max="49" width="2.5" style="446" customWidth="1"/>
    <col min="50" max="50" width="2.5" style="447" customWidth="1"/>
    <col min="51" max="51" width="2.5" style="448" customWidth="1"/>
    <col min="52" max="55" width="0.625" style="290" customWidth="1"/>
    <col min="56" max="56" width="2.5" style="446" customWidth="1"/>
    <col min="57" max="57" width="2.5" style="447" customWidth="1"/>
    <col min="58" max="58" width="2.5" style="448" customWidth="1"/>
    <col min="59" max="62" width="0.625" style="290" customWidth="1"/>
    <col min="63" max="63" width="2.5" style="446" customWidth="1"/>
    <col min="64" max="65" width="1.25" style="447" customWidth="1"/>
    <col min="66" max="66" width="2.5" style="448" customWidth="1"/>
    <col min="67" max="68" width="0.625" style="290" customWidth="1"/>
    <col min="69" max="70" width="5" style="258" customWidth="1"/>
    <col min="71" max="71" width="9" style="258" hidden="1" customWidth="1"/>
    <col min="72" max="72" width="9" style="258"/>
    <col min="73" max="120" width="2.375" style="258" customWidth="1"/>
    <col min="121" max="16384" width="9" style="258"/>
  </cols>
  <sheetData>
    <row r="1" spans="1:91" ht="24.75" x14ac:dyDescent="0.15">
      <c r="C1" s="1045" t="str">
        <f ca="1">"令和"&amp;IF(YEAR(NOW())=2019,"元",YEAR(NOW())-2018)&amp;"年度 第"&amp;YEAR(NOW())-1999&amp;"回 加賀地区中学校サッカー大会 《 南加賀ブロック 》"</f>
        <v>令和6年度 第25回 加賀地区中学校サッカー大会 《 南加賀ブロック 》</v>
      </c>
      <c r="D1" s="1045"/>
      <c r="E1" s="1045"/>
      <c r="F1" s="1045"/>
      <c r="G1" s="1045"/>
      <c r="H1" s="1045"/>
      <c r="I1" s="1045"/>
      <c r="J1" s="1045"/>
      <c r="K1" s="1045"/>
      <c r="L1" s="1045"/>
      <c r="M1" s="1045"/>
      <c r="N1" s="1045"/>
      <c r="O1" s="1045"/>
      <c r="P1" s="1045"/>
      <c r="Q1" s="1045"/>
      <c r="R1" s="1045"/>
      <c r="S1" s="1045"/>
      <c r="T1" s="1045"/>
      <c r="U1" s="1045"/>
      <c r="V1" s="1045"/>
      <c r="W1" s="1045"/>
      <c r="X1" s="1045"/>
      <c r="Y1" s="1045"/>
      <c r="Z1" s="1045"/>
      <c r="AA1" s="1045"/>
      <c r="AB1" s="1045"/>
      <c r="AC1" s="1045"/>
      <c r="AD1" s="1045"/>
      <c r="AE1" s="1045"/>
      <c r="AF1" s="1045"/>
      <c r="AG1" s="1045"/>
      <c r="AH1" s="1045"/>
      <c r="AI1" s="1045"/>
      <c r="AJ1" s="1045"/>
      <c r="AK1" s="1045"/>
      <c r="AL1" s="1045"/>
      <c r="AM1" s="1045"/>
      <c r="AN1" s="1045"/>
      <c r="AO1" s="1045"/>
      <c r="AP1" s="1045"/>
      <c r="AQ1" s="1045"/>
      <c r="AR1" s="1045"/>
      <c r="AS1" s="1045"/>
      <c r="AT1" s="1045"/>
      <c r="AU1" s="1045"/>
      <c r="AV1" s="1045"/>
      <c r="AW1" s="1045"/>
      <c r="AX1" s="1045"/>
      <c r="AY1" s="1045"/>
      <c r="AZ1" s="1045"/>
      <c r="BA1" s="1045"/>
      <c r="BB1" s="1045"/>
      <c r="BC1" s="1045"/>
      <c r="BD1" s="1045"/>
      <c r="BE1" s="1045"/>
      <c r="BF1" s="1045"/>
      <c r="BG1" s="1045"/>
      <c r="BH1" s="1045"/>
      <c r="BI1" s="1045"/>
      <c r="BJ1" s="1045"/>
      <c r="BK1" s="1045"/>
      <c r="BL1" s="1045"/>
      <c r="BM1" s="1045"/>
      <c r="BN1" s="1045"/>
      <c r="BO1" s="1045"/>
      <c r="BP1" s="1045"/>
      <c r="BQ1" s="1045"/>
      <c r="BR1" s="1045"/>
      <c r="BU1" s="290" t="s">
        <v>149</v>
      </c>
      <c r="BV1" s="258">
        <f>CL1</f>
        <v>15</v>
      </c>
      <c r="BW1" s="258" t="s">
        <v>150</v>
      </c>
      <c r="BX1" s="258" t="str">
        <f t="shared" ref="BX1:BX10" si="0">CHAR(10)</f>
        <v xml:space="preserve">
</v>
      </c>
      <c r="BY1" s="449" t="s">
        <v>104</v>
      </c>
      <c r="BZ1" s="258" t="str">
        <f>BV1&amp;BW1&amp;BX1&amp;BY1</f>
        <v>15日
9:00</v>
      </c>
      <c r="CJ1" s="258" t="s">
        <v>708</v>
      </c>
      <c r="CL1" s="915">
        <v>15</v>
      </c>
      <c r="CM1" s="915"/>
    </row>
    <row r="2" spans="1:91" x14ac:dyDescent="0.15">
      <c r="A2" s="290" t="str">
        <f>IF(CC47=CG47,"",IF(CC47&gt;CG47,BW49,CM49))</f>
        <v/>
      </c>
      <c r="BU2" s="290" t="s">
        <v>151</v>
      </c>
      <c r="BV2" s="258">
        <f>BV1</f>
        <v>15</v>
      </c>
      <c r="BW2" s="258" t="s">
        <v>150</v>
      </c>
      <c r="BX2" s="258" t="str">
        <f t="shared" si="0"/>
        <v xml:space="preserve">
</v>
      </c>
      <c r="BY2" s="449" t="s">
        <v>152</v>
      </c>
      <c r="BZ2" s="258" t="str">
        <f t="shared" ref="BZ2:BZ10" si="1">BV2&amp;BW2&amp;BX2&amp;BY2</f>
        <v>15日
10:15</v>
      </c>
    </row>
    <row r="3" spans="1:91" ht="25.5" customHeight="1" x14ac:dyDescent="0.15">
      <c r="A3" s="290" t="str">
        <f>IF(CC47=CG47,"",IF(CC47&lt;CG47,BW49,CM49))</f>
        <v/>
      </c>
      <c r="F3" s="805" t="s">
        <v>77</v>
      </c>
      <c r="G3" s="805"/>
      <c r="H3" s="805"/>
      <c r="I3" s="1006" t="str">
        <f>IF(A2="","",IF(VLOOKUP(A2,予選学校名!$I$3:$L$32,3,FALSE)="",IF(VLOOKUP(A2,予選学校名!$I$3:$L$32,4,FALSE)="","",VLOOKUP(A2,予選学校名!$I$3:$L$32,4,FALSE)),VLOOKUP(A2,予選学校名!$I$3:$L$32,3,FALSE)&amp;"立")&amp;A2&amp;"中学校")</f>
        <v/>
      </c>
      <c r="J3" s="1021"/>
      <c r="K3" s="1021"/>
      <c r="L3" s="1021"/>
      <c r="M3" s="1021"/>
      <c r="N3" s="1021"/>
      <c r="O3" s="1021"/>
      <c r="P3" s="1021"/>
      <c r="Q3" s="1021"/>
      <c r="R3" s="1021"/>
      <c r="S3" s="1021"/>
      <c r="T3" s="1021"/>
      <c r="U3" s="1021"/>
      <c r="V3" s="1021"/>
      <c r="W3" s="1021"/>
      <c r="X3" s="1021"/>
      <c r="Y3" s="1021"/>
      <c r="Z3" s="1021"/>
      <c r="AA3" s="1021"/>
      <c r="AB3" s="1021"/>
      <c r="AC3" s="1021"/>
      <c r="AD3" s="1021"/>
      <c r="AE3" s="1021"/>
      <c r="AF3" s="1021"/>
      <c r="AG3" s="1021"/>
      <c r="AH3" s="1022" t="str">
        <f>IF(A2="","","("&amp;VLOOKUP(A2,予選学校名!$I$3:$L$32,2,FALSE)&amp;")")</f>
        <v/>
      </c>
      <c r="AI3" s="1022"/>
      <c r="AK3" s="915" t="s">
        <v>109</v>
      </c>
      <c r="AL3" s="915"/>
      <c r="AM3" s="915"/>
      <c r="AN3" s="258"/>
      <c r="AO3" s="258"/>
      <c r="AP3" s="1006" t="str">
        <f>IF(A6="","",IF(VLOOKUP(A6,予選学校名!$I$3:$L$32,3,FALSE)="",IF(VLOOKUP(A6,予選学校名!$I$3:$L$32,4,FALSE)="","",VLOOKUP(A6,予選学校名!$I$3:$L$32,4,FALSE)),VLOOKUP(A6,予選学校名!$I$3:$L$32,3,FALSE)&amp;"立")&amp;A6&amp;"中学校")</f>
        <v/>
      </c>
      <c r="AQ3" s="1006"/>
      <c r="AR3" s="1006"/>
      <c r="AS3" s="1006"/>
      <c r="AT3" s="1006"/>
      <c r="AU3" s="1006"/>
      <c r="AV3" s="1006"/>
      <c r="AW3" s="1006"/>
      <c r="AX3" s="1006"/>
      <c r="AY3" s="1006"/>
      <c r="AZ3" s="1006"/>
      <c r="BA3" s="1006"/>
      <c r="BB3" s="1006"/>
      <c r="BC3" s="1006"/>
      <c r="BD3" s="1006"/>
      <c r="BE3" s="1006"/>
      <c r="BF3" s="1006"/>
      <c r="BG3" s="1006"/>
      <c r="BH3" s="1006"/>
      <c r="BI3" s="1006"/>
      <c r="BJ3" s="1006"/>
      <c r="BK3" s="1023" t="str">
        <f>IF(A6="","",IF(VLOOKUP(A6,予選学校名!$I$3:$L$32,3,FALSE)="",IF(VLOOKUP(A6,予選学校名!$I$3:$L$32,4,FALSE)="","",VLOOKUP(A6,予選学校名!$I$3:$L$32,4,FALSE)),"("&amp;VLOOKUP(A6,予選学校名!$I$3:$L$32,2,FALSE)&amp;")"))</f>
        <v/>
      </c>
      <c r="BL3" s="1023"/>
      <c r="BM3" s="1023"/>
      <c r="BN3" s="1023"/>
      <c r="BO3" s="1023"/>
      <c r="BP3" s="1023"/>
      <c r="BU3" s="290" t="s">
        <v>153</v>
      </c>
      <c r="BV3" s="258">
        <f t="shared" ref="BV3:BV10" si="2">BV2</f>
        <v>15</v>
      </c>
      <c r="BW3" s="258" t="s">
        <v>150</v>
      </c>
      <c r="BX3" s="258" t="str">
        <f t="shared" si="0"/>
        <v xml:space="preserve">
</v>
      </c>
      <c r="BY3" s="449" t="s">
        <v>184</v>
      </c>
      <c r="BZ3" s="258" t="str">
        <f t="shared" si="1"/>
        <v>15日
12:45</v>
      </c>
    </row>
    <row r="4" spans="1:91" ht="25.5" customHeight="1" x14ac:dyDescent="0.15">
      <c r="A4" s="290" t="str">
        <f>IF(CC47=CG47,"",IF(BW49=A2,A51,A52))</f>
        <v/>
      </c>
      <c r="F4" s="805" t="s">
        <v>79</v>
      </c>
      <c r="G4" s="805"/>
      <c r="H4" s="805"/>
      <c r="I4" s="1017" t="str">
        <f>IF(A3="","",IF(VLOOKUP(A3,予選学校名!$I$3:$L$32,3,FALSE)="",IF(VLOOKUP(A3,予選学校名!$I$3:$L$32,4,FALSE)="","",VLOOKUP(A3,予選学校名!$I$3:$L$32,4,FALSE)),VLOOKUP(A3,予選学校名!$I$3:$L$32,3,FALSE)&amp;"立")&amp;A3&amp;"中学校")</f>
        <v/>
      </c>
      <c r="J4" s="1018"/>
      <c r="K4" s="1018"/>
      <c r="L4" s="1018"/>
      <c r="M4" s="1018"/>
      <c r="N4" s="1018"/>
      <c r="O4" s="1018"/>
      <c r="P4" s="1018"/>
      <c r="Q4" s="1018"/>
      <c r="R4" s="1018"/>
      <c r="S4" s="1018"/>
      <c r="T4" s="1018"/>
      <c r="U4" s="1018"/>
      <c r="V4" s="1018"/>
      <c r="W4" s="1018"/>
      <c r="X4" s="1018"/>
      <c r="Y4" s="1018"/>
      <c r="Z4" s="1018"/>
      <c r="AA4" s="1018"/>
      <c r="AB4" s="1018"/>
      <c r="AC4" s="1018"/>
      <c r="AD4" s="1018"/>
      <c r="AE4" s="1018"/>
      <c r="AF4" s="1018"/>
      <c r="AG4" s="1018"/>
      <c r="AH4" s="1019" t="str">
        <f>IF(A3="","",IF(VLOOKUP(A3,予選学校名!$I$3:$L$32,3,FALSE)="",IF(VLOOKUP(A3,予選学校名!$I$3:$L$32,4,FALSE)="","",VLOOKUP(A3,予選学校名!$I$3:$L$32,4,FALSE)),"("&amp;VLOOKUP(A3,予選学校名!$I$3:$L$32,2,FALSE)&amp;")"))</f>
        <v/>
      </c>
      <c r="AI4" s="1019"/>
      <c r="BU4" s="290" t="s">
        <v>155</v>
      </c>
      <c r="BV4" s="258">
        <f>BV3+1</f>
        <v>16</v>
      </c>
      <c r="BW4" s="258" t="s">
        <v>150</v>
      </c>
      <c r="BX4" s="258" t="str">
        <f t="shared" si="0"/>
        <v xml:space="preserve">
</v>
      </c>
      <c r="BY4" s="449" t="s">
        <v>104</v>
      </c>
      <c r="BZ4" s="258" t="str">
        <f t="shared" si="1"/>
        <v>16日
9:00</v>
      </c>
    </row>
    <row r="5" spans="1:91" ht="25.5" customHeight="1" x14ac:dyDescent="0.15">
      <c r="A5" s="290" t="str">
        <f>IF(CC47=CG47,"",IF(BW49=A2,A52,A51))</f>
        <v/>
      </c>
      <c r="F5" s="805" t="s">
        <v>80</v>
      </c>
      <c r="G5" s="805"/>
      <c r="H5" s="805"/>
      <c r="I5" s="1017" t="str">
        <f>IF(A4="","",IF(VLOOKUP(A4,予選学校名!$I$3:$L$32,3,FALSE)="",IF(VLOOKUP(A4,予選学校名!$I$3:$L$32,4,FALSE)="","",VLOOKUP(A4,予選学校名!$I$3:$L$32,4,FALSE)),VLOOKUP(A4,予選学校名!$I$3:$L$32,3,FALSE)&amp;"立")&amp;A4&amp;"中学校")</f>
        <v/>
      </c>
      <c r="J5" s="1018"/>
      <c r="K5" s="1018"/>
      <c r="L5" s="1018"/>
      <c r="M5" s="1018"/>
      <c r="N5" s="1018"/>
      <c r="O5" s="1018"/>
      <c r="P5" s="1018"/>
      <c r="Q5" s="1018"/>
      <c r="R5" s="1018"/>
      <c r="S5" s="1018"/>
      <c r="T5" s="1018"/>
      <c r="U5" s="1018"/>
      <c r="V5" s="1018"/>
      <c r="W5" s="1018"/>
      <c r="X5" s="1018"/>
      <c r="Y5" s="1018"/>
      <c r="Z5" s="1018"/>
      <c r="AA5" s="1018"/>
      <c r="AB5" s="1018"/>
      <c r="AC5" s="1018"/>
      <c r="AD5" s="1018"/>
      <c r="AE5" s="1018"/>
      <c r="AF5" s="1018"/>
      <c r="AG5" s="1018"/>
      <c r="AH5" s="1019" t="str">
        <f>IF(A4="","",IF(VLOOKUP(A4,予選学校名!$I$3:$L$32,3,FALSE)="",IF(VLOOKUP(A4,予選学校名!$I$3:$L$32,4,FALSE)="","",VLOOKUP(A4,予選学校名!$I$3:$L$32,4,FALSE)),"("&amp;VLOOKUP(A4,予選学校名!$I$3:$L$32,2,FALSE)&amp;")"))</f>
        <v/>
      </c>
      <c r="AI5" s="1019"/>
      <c r="BU5" s="290" t="s">
        <v>157</v>
      </c>
      <c r="BV5" s="258">
        <f t="shared" si="2"/>
        <v>16</v>
      </c>
      <c r="BW5" s="258" t="s">
        <v>150</v>
      </c>
      <c r="BX5" s="258" t="str">
        <f t="shared" si="0"/>
        <v xml:space="preserve">
</v>
      </c>
      <c r="BY5" s="449" t="s">
        <v>152</v>
      </c>
      <c r="BZ5" s="258" t="str">
        <f t="shared" si="1"/>
        <v>16日
10:15</v>
      </c>
    </row>
    <row r="6" spans="1:91" ht="25.5" customHeight="1" x14ac:dyDescent="0.15">
      <c r="A6" s="290" t="str">
        <f>IF(DA47=DE47,"",IF(DA47&gt;DE47,CU49,DK49))</f>
        <v/>
      </c>
      <c r="I6" s="1017" t="str">
        <f>IF(A5="","",IF(VLOOKUP(A5,予選学校名!$I$3:$L$32,3,FALSE)="",IF(VLOOKUP(A5,予選学校名!$I$3:$L$32,4,FALSE)="","",VLOOKUP(A5,予選学校名!$I$3:$L$32,4,FALSE)),VLOOKUP(A5,予選学校名!$I$3:$L$32,3,FALSE)&amp;"立")&amp;A5&amp;"中学校")</f>
        <v/>
      </c>
      <c r="J6" s="1018"/>
      <c r="K6" s="1018"/>
      <c r="L6" s="1018"/>
      <c r="M6" s="1018"/>
      <c r="N6" s="1018"/>
      <c r="O6" s="1018"/>
      <c r="P6" s="1018"/>
      <c r="Q6" s="1018"/>
      <c r="R6" s="1018"/>
      <c r="S6" s="1018"/>
      <c r="T6" s="1018"/>
      <c r="U6" s="1018"/>
      <c r="V6" s="1018"/>
      <c r="W6" s="1018"/>
      <c r="X6" s="1018"/>
      <c r="Y6" s="1018"/>
      <c r="Z6" s="1018"/>
      <c r="AA6" s="1018"/>
      <c r="AB6" s="1018"/>
      <c r="AC6" s="1018"/>
      <c r="AD6" s="1018"/>
      <c r="AE6" s="1018"/>
      <c r="AF6" s="1018"/>
      <c r="AG6" s="1018"/>
      <c r="AH6" s="1019" t="str">
        <f>IF(A5="","",IF(VLOOKUP(A5,予選学校名!$I$3:$L$32,3,FALSE)="",IF(VLOOKUP(A5,予選学校名!$I$3:$L$32,4,FALSE)="","",VLOOKUP(A5,予選学校名!$I$3:$L$32,4,FALSE)),"("&amp;VLOOKUP(A5,予選学校名!$I$3:$L$32,2,FALSE)&amp;")"))</f>
        <v/>
      </c>
      <c r="AI6" s="1019"/>
      <c r="BU6" s="290" t="s">
        <v>159</v>
      </c>
      <c r="BV6" s="258">
        <f>BV5</f>
        <v>16</v>
      </c>
      <c r="BW6" s="258" t="s">
        <v>150</v>
      </c>
      <c r="BX6" s="258" t="str">
        <f t="shared" si="0"/>
        <v xml:space="preserve">
</v>
      </c>
      <c r="BY6" s="449" t="s">
        <v>184</v>
      </c>
      <c r="BZ6" s="258" t="str">
        <f t="shared" si="1"/>
        <v>16日
12:45</v>
      </c>
    </row>
    <row r="7" spans="1:91" x14ac:dyDescent="0.15">
      <c r="BU7" s="290" t="s">
        <v>161</v>
      </c>
      <c r="BV7" s="258">
        <f>BV6+1</f>
        <v>17</v>
      </c>
      <c r="BW7" s="258" t="s">
        <v>150</v>
      </c>
      <c r="BX7" s="258" t="str">
        <f t="shared" si="0"/>
        <v xml:space="preserve">
</v>
      </c>
      <c r="BY7" s="449" t="s">
        <v>104</v>
      </c>
      <c r="BZ7" s="258" t="str">
        <f t="shared" si="1"/>
        <v>17日
9:00</v>
      </c>
    </row>
    <row r="8" spans="1:91" s="455" customFormat="1" ht="18" x14ac:dyDescent="0.15">
      <c r="A8" s="457"/>
      <c r="C8" s="548" t="s">
        <v>709</v>
      </c>
      <c r="D8" s="548"/>
      <c r="E8" s="548"/>
      <c r="F8" s="548"/>
      <c r="G8" s="548"/>
      <c r="H8" s="548"/>
      <c r="I8" s="548"/>
      <c r="J8" s="548"/>
      <c r="K8" s="548"/>
      <c r="L8" s="548"/>
      <c r="M8" s="548"/>
      <c r="N8" s="548"/>
      <c r="O8" s="548"/>
      <c r="P8" s="548"/>
      <c r="Q8" s="548"/>
      <c r="R8" s="548"/>
      <c r="S8" s="548"/>
      <c r="T8" s="548"/>
      <c r="U8" s="548"/>
      <c r="V8" s="548"/>
      <c r="W8" s="548"/>
      <c r="X8" s="548"/>
      <c r="Y8" s="548"/>
      <c r="Z8" s="548"/>
      <c r="AA8" s="548"/>
      <c r="AB8" s="548"/>
      <c r="AC8" s="548"/>
      <c r="AD8" s="548"/>
      <c r="AE8" s="548"/>
      <c r="AF8" s="548"/>
      <c r="AG8" s="548"/>
      <c r="AH8" s="548"/>
      <c r="AI8" s="548"/>
      <c r="AM8" s="548" t="s">
        <v>710</v>
      </c>
      <c r="AN8" s="548"/>
      <c r="AO8" s="548"/>
      <c r="AP8" s="548"/>
      <c r="AQ8" s="548"/>
      <c r="AR8" s="548"/>
      <c r="AS8" s="548"/>
      <c r="AT8" s="548"/>
      <c r="AU8" s="457"/>
      <c r="AV8" s="457"/>
      <c r="AW8" s="458"/>
      <c r="AX8" s="459"/>
      <c r="AY8" s="460"/>
      <c r="AZ8" s="457"/>
      <c r="BA8" s="457"/>
      <c r="BB8" s="457"/>
      <c r="BC8" s="457"/>
      <c r="BD8" s="458"/>
      <c r="BE8" s="459"/>
      <c r="BF8" s="460"/>
      <c r="BG8" s="457"/>
      <c r="BH8" s="457"/>
      <c r="BI8" s="457"/>
      <c r="BJ8" s="457"/>
      <c r="BK8" s="458"/>
      <c r="BL8" s="459"/>
      <c r="BM8" s="459"/>
      <c r="BN8" s="460"/>
      <c r="BO8" s="457"/>
      <c r="BP8" s="457"/>
      <c r="BU8" s="290" t="s">
        <v>162</v>
      </c>
      <c r="BV8" s="258">
        <f t="shared" si="2"/>
        <v>17</v>
      </c>
      <c r="BW8" s="258" t="s">
        <v>150</v>
      </c>
      <c r="BX8" s="258" t="str">
        <f t="shared" si="0"/>
        <v xml:space="preserve">
</v>
      </c>
      <c r="BY8" s="449" t="s">
        <v>152</v>
      </c>
      <c r="BZ8" s="258" t="str">
        <f t="shared" si="1"/>
        <v>17日
10:15</v>
      </c>
    </row>
    <row r="9" spans="1:91" ht="28.5" x14ac:dyDescent="0.15">
      <c r="C9" s="297"/>
      <c r="D9" s="1007" t="str">
        <f>C10</f>
        <v>松任</v>
      </c>
      <c r="E9" s="1007"/>
      <c r="F9" s="1007"/>
      <c r="G9" s="1007"/>
      <c r="H9" s="1007"/>
      <c r="I9" s="1007"/>
      <c r="J9" s="1007"/>
      <c r="K9" s="1007" t="str">
        <f>C14</f>
        <v>美川</v>
      </c>
      <c r="L9" s="1007"/>
      <c r="M9" s="1007"/>
      <c r="N9" s="1007"/>
      <c r="O9" s="1007"/>
      <c r="P9" s="1007"/>
      <c r="Q9" s="1007"/>
      <c r="R9" s="1007" t="str">
        <f>C18</f>
        <v>根上</v>
      </c>
      <c r="S9" s="1007"/>
      <c r="T9" s="1007"/>
      <c r="U9" s="1007"/>
      <c r="V9" s="1007"/>
      <c r="W9" s="1007"/>
      <c r="X9" s="1007"/>
      <c r="Y9" s="836">
        <f>J18</f>
        <v>0</v>
      </c>
      <c r="Z9" s="836"/>
      <c r="AA9" s="836"/>
      <c r="AB9" s="836"/>
      <c r="AC9" s="836"/>
      <c r="AD9" s="836"/>
      <c r="AE9" s="836"/>
      <c r="AF9" s="461" t="s">
        <v>88</v>
      </c>
      <c r="AG9" s="462" t="s">
        <v>143</v>
      </c>
      <c r="AH9" s="461" t="s">
        <v>90</v>
      </c>
      <c r="AI9" s="461" t="s">
        <v>91</v>
      </c>
      <c r="AJ9" s="475"/>
      <c r="AK9" s="475"/>
      <c r="AM9" s="297"/>
      <c r="AN9" s="1007" t="str">
        <f>AM10</f>
        <v>北辰</v>
      </c>
      <c r="AO9" s="1007"/>
      <c r="AP9" s="1007"/>
      <c r="AQ9" s="1007"/>
      <c r="AR9" s="1007"/>
      <c r="AS9" s="1007"/>
      <c r="AT9" s="1007"/>
      <c r="AU9" s="1007" t="str">
        <f>AM14</f>
        <v>北星</v>
      </c>
      <c r="AV9" s="1007"/>
      <c r="AW9" s="1007"/>
      <c r="AX9" s="1007"/>
      <c r="AY9" s="1007"/>
      <c r="AZ9" s="1007"/>
      <c r="BA9" s="1007"/>
      <c r="BB9" s="1007" t="str">
        <f>AM18</f>
        <v>松陽</v>
      </c>
      <c r="BC9" s="1007"/>
      <c r="BD9" s="1007"/>
      <c r="BE9" s="1007"/>
      <c r="BF9" s="1007"/>
      <c r="BG9" s="1007"/>
      <c r="BH9" s="1007"/>
      <c r="BI9" s="1046" t="s">
        <v>88</v>
      </c>
      <c r="BJ9" s="1047"/>
      <c r="BK9" s="1047"/>
      <c r="BL9" s="1048"/>
      <c r="BM9" s="1049" t="s">
        <v>144</v>
      </c>
      <c r="BN9" s="1047"/>
      <c r="BO9" s="1047"/>
      <c r="BP9" s="1048"/>
      <c r="BQ9" s="461" t="s">
        <v>90</v>
      </c>
      <c r="BR9" s="461" t="s">
        <v>91</v>
      </c>
      <c r="BU9" s="290" t="s">
        <v>163</v>
      </c>
      <c r="BV9" s="258">
        <f t="shared" si="2"/>
        <v>17</v>
      </c>
      <c r="BW9" s="258" t="s">
        <v>150</v>
      </c>
      <c r="BX9" s="258" t="str">
        <f t="shared" si="0"/>
        <v xml:space="preserve">
</v>
      </c>
      <c r="BY9" s="449" t="s">
        <v>154</v>
      </c>
      <c r="BZ9" s="258" t="str">
        <f t="shared" si="1"/>
        <v>17日
11:30</v>
      </c>
    </row>
    <row r="10" spans="1:91" ht="30" customHeight="1" x14ac:dyDescent="0.15">
      <c r="B10" s="258">
        <v>1</v>
      </c>
      <c r="C10" s="808" t="str">
        <f>IF(ISERROR(MATCH(B10,予選学校名!$H$3:$H$18,0)),"",INDEX(予選学校名!$H$3:$K$18,MATCH(B10,予選学校名!$H$3:$H$18,0),2))</f>
        <v>松任</v>
      </c>
      <c r="D10" s="1008"/>
      <c r="E10" s="810"/>
      <c r="F10" s="810"/>
      <c r="G10" s="1009"/>
      <c r="H10" s="1009"/>
      <c r="I10" s="1009"/>
      <c r="J10" s="1010"/>
      <c r="K10" s="827" t="str">
        <f>VLOOKUP(D14,$BU$1:$BZ$10,6)</f>
        <v>16日
12:45</v>
      </c>
      <c r="L10" s="828"/>
      <c r="M10" s="828"/>
      <c r="N10" s="828"/>
      <c r="O10" s="828"/>
      <c r="P10" s="828"/>
      <c r="Q10" s="829"/>
      <c r="R10" s="827" t="str">
        <f>VLOOKUP(D18,$BU$1:$BZ$10,6)</f>
        <v>15日
10:15</v>
      </c>
      <c r="S10" s="828"/>
      <c r="T10" s="828"/>
      <c r="U10" s="828"/>
      <c r="V10" s="828"/>
      <c r="W10" s="828"/>
      <c r="X10" s="829"/>
      <c r="Y10" s="1050"/>
      <c r="Z10" s="1030"/>
      <c r="AA10" s="1030"/>
      <c r="AB10" s="542"/>
      <c r="AC10" s="1030"/>
      <c r="AD10" s="1030"/>
      <c r="AE10" s="1051"/>
      <c r="AF10" s="836" t="str">
        <f>IF(COUNT(D11:AE11)=0,"",COUNTIF(D10:AE10,"○")*3+COUNTIF(D10:AE10,"△"))</f>
        <v/>
      </c>
      <c r="AG10" s="836" t="str">
        <f>IF(AF10="","",SUM(H10:H21)/2-SUM(F10:F21))</f>
        <v/>
      </c>
      <c r="AH10" s="836" t="str">
        <f>IF(AF10="","",SUM(H10:H21)/2)</f>
        <v/>
      </c>
      <c r="AI10" s="836" t="str">
        <f>IF(OR(AF10="",MOD(COUNT(D10:AE10),2)=1),"",RANK(AJ10,$AJ$10:$AJ$21))</f>
        <v/>
      </c>
      <c r="AJ10" s="475" t="str">
        <f>IF(OR(AF10="",MOD(COUNT(D10:AE10),2)=1),"",AF10*10000+AG10*100+AH10)</f>
        <v/>
      </c>
      <c r="AK10" s="475"/>
      <c r="AL10" s="258">
        <v>7</v>
      </c>
      <c r="AM10" s="808" t="str">
        <f>IF(ISERROR(MATCH(AL10,予選学校名!$H$3:$H$18,0)),"",INDEX(予選学校名!$H$3:$K$18,MATCH(AL10,予選学校名!$H$3:$H$18,0),2))</f>
        <v>北辰</v>
      </c>
      <c r="AN10" s="1008"/>
      <c r="AO10" s="810"/>
      <c r="AP10" s="810"/>
      <c r="AQ10" s="1009"/>
      <c r="AR10" s="1009"/>
      <c r="AS10" s="1009"/>
      <c r="AT10" s="1010"/>
      <c r="AU10" s="827" t="str">
        <f>VLOOKUP(AN14,$BU$1:$BZ$10,6)</f>
        <v>16日
10:15</v>
      </c>
      <c r="AV10" s="828"/>
      <c r="AW10" s="828"/>
      <c r="AX10" s="828"/>
      <c r="AY10" s="828"/>
      <c r="AZ10" s="828"/>
      <c r="BA10" s="829"/>
      <c r="BB10" s="827" t="str">
        <f>VLOOKUP(AN18,$BU$1:$BZ$10,6)</f>
        <v>15日
12:45</v>
      </c>
      <c r="BC10" s="828"/>
      <c r="BD10" s="828"/>
      <c r="BE10" s="828"/>
      <c r="BF10" s="828"/>
      <c r="BG10" s="828"/>
      <c r="BH10" s="829"/>
      <c r="BI10" s="818" t="str">
        <f>IF(COUNT(AN11:BH11)=0,"",COUNTIF(AN10:BH10,"○")*3+COUNTIF(AN10:BH10,"△"))</f>
        <v/>
      </c>
      <c r="BJ10" s="819"/>
      <c r="BK10" s="819"/>
      <c r="BL10" s="820"/>
      <c r="BM10" s="819" t="str">
        <f>IF(BI10="","",SUM(AR10:AR21)/2-SUM(AP10:AP21))</f>
        <v/>
      </c>
      <c r="BN10" s="819"/>
      <c r="BO10" s="819"/>
      <c r="BP10" s="820"/>
      <c r="BQ10" s="836" t="str">
        <f>IF(BI10="","",SUM(AR10:AR21)/2)</f>
        <v/>
      </c>
      <c r="BR10" s="836" t="str">
        <f>IF(OR(BI10="",MOD(COUNT(AN10:BH10),2)=1),"",RANK(BS10,$BS$10:$BS$21))</f>
        <v/>
      </c>
      <c r="BS10" s="475" t="str">
        <f>IF(OR(BI10="",MOD(COUNT(AN10:BH10),2)=1),"",BI10*10000+BM10*100+BQ10)</f>
        <v/>
      </c>
      <c r="BU10" s="258" t="s">
        <v>164</v>
      </c>
      <c r="BV10" s="258">
        <f t="shared" si="2"/>
        <v>17</v>
      </c>
      <c r="BW10" s="258" t="s">
        <v>150</v>
      </c>
      <c r="BX10" s="258" t="str">
        <f t="shared" si="0"/>
        <v xml:space="preserve">
</v>
      </c>
      <c r="BY10" s="258" t="s">
        <v>156</v>
      </c>
      <c r="BZ10" s="258" t="str">
        <f t="shared" si="1"/>
        <v>17日
12:45</v>
      </c>
    </row>
    <row r="11" spans="1:91" x14ac:dyDescent="0.15">
      <c r="C11" s="808"/>
      <c r="D11" s="1011"/>
      <c r="E11" s="1012"/>
      <c r="F11" s="1012"/>
      <c r="G11" s="1012"/>
      <c r="H11" s="1012"/>
      <c r="I11" s="1012"/>
      <c r="J11" s="1013"/>
      <c r="K11" s="830"/>
      <c r="L11" s="831"/>
      <c r="M11" s="831"/>
      <c r="N11" s="831"/>
      <c r="O11" s="831"/>
      <c r="P11" s="831"/>
      <c r="Q11" s="832"/>
      <c r="R11" s="830"/>
      <c r="S11" s="831"/>
      <c r="T11" s="831"/>
      <c r="U11" s="831"/>
      <c r="V11" s="831"/>
      <c r="W11" s="831"/>
      <c r="X11" s="832"/>
      <c r="Y11" s="549"/>
      <c r="AB11" s="475" t="s">
        <v>92</v>
      </c>
      <c r="AE11" s="550"/>
      <c r="AF11" s="836"/>
      <c r="AG11" s="836"/>
      <c r="AH11" s="836"/>
      <c r="AI11" s="836"/>
      <c r="AJ11" s="475"/>
      <c r="AK11" s="475"/>
      <c r="AM11" s="808"/>
      <c r="AN11" s="1011"/>
      <c r="AO11" s="1012"/>
      <c r="AP11" s="1012"/>
      <c r="AQ11" s="1012"/>
      <c r="AR11" s="1012"/>
      <c r="AS11" s="1012"/>
      <c r="AT11" s="1013"/>
      <c r="AU11" s="830"/>
      <c r="AV11" s="831"/>
      <c r="AW11" s="831"/>
      <c r="AX11" s="831"/>
      <c r="AY11" s="831"/>
      <c r="AZ11" s="831"/>
      <c r="BA11" s="832"/>
      <c r="BB11" s="830"/>
      <c r="BC11" s="831"/>
      <c r="BD11" s="831"/>
      <c r="BE11" s="831"/>
      <c r="BF11" s="831"/>
      <c r="BG11" s="831"/>
      <c r="BH11" s="832"/>
      <c r="BI11" s="1052"/>
      <c r="BJ11" s="805"/>
      <c r="BK11" s="805"/>
      <c r="BL11" s="1053"/>
      <c r="BM11" s="805"/>
      <c r="BN11" s="805"/>
      <c r="BO11" s="805"/>
      <c r="BP11" s="1053"/>
      <c r="BQ11" s="836"/>
      <c r="BR11" s="836"/>
      <c r="BS11" s="475"/>
    </row>
    <row r="12" spans="1:91" x14ac:dyDescent="0.15">
      <c r="C12" s="808"/>
      <c r="D12" s="1011"/>
      <c r="E12" s="1012"/>
      <c r="F12" s="1012"/>
      <c r="G12" s="1012"/>
      <c r="H12" s="1012"/>
      <c r="I12" s="1012"/>
      <c r="J12" s="1013"/>
      <c r="K12" s="830"/>
      <c r="L12" s="831"/>
      <c r="M12" s="831"/>
      <c r="N12" s="831"/>
      <c r="O12" s="831"/>
      <c r="P12" s="831"/>
      <c r="Q12" s="832"/>
      <c r="R12" s="830"/>
      <c r="S12" s="831"/>
      <c r="T12" s="831"/>
      <c r="U12" s="831"/>
      <c r="V12" s="831"/>
      <c r="W12" s="831"/>
      <c r="X12" s="832"/>
      <c r="Y12" s="549"/>
      <c r="AB12" s="475" t="s">
        <v>92</v>
      </c>
      <c r="AE12" s="550"/>
      <c r="AF12" s="836"/>
      <c r="AG12" s="836"/>
      <c r="AH12" s="836"/>
      <c r="AI12" s="836"/>
      <c r="AJ12" s="475"/>
      <c r="AK12" s="475"/>
      <c r="AM12" s="808"/>
      <c r="AN12" s="1011"/>
      <c r="AO12" s="1012"/>
      <c r="AP12" s="1012"/>
      <c r="AQ12" s="1012"/>
      <c r="AR12" s="1012"/>
      <c r="AS12" s="1012"/>
      <c r="AT12" s="1013"/>
      <c r="AU12" s="830"/>
      <c r="AV12" s="831"/>
      <c r="AW12" s="831"/>
      <c r="AX12" s="831"/>
      <c r="AY12" s="831"/>
      <c r="AZ12" s="831"/>
      <c r="BA12" s="832"/>
      <c r="BB12" s="830"/>
      <c r="BC12" s="831"/>
      <c r="BD12" s="831"/>
      <c r="BE12" s="831"/>
      <c r="BF12" s="831"/>
      <c r="BG12" s="831"/>
      <c r="BH12" s="832"/>
      <c r="BI12" s="1052"/>
      <c r="BJ12" s="805"/>
      <c r="BK12" s="805"/>
      <c r="BL12" s="1053"/>
      <c r="BM12" s="805"/>
      <c r="BN12" s="805"/>
      <c r="BO12" s="805"/>
      <c r="BP12" s="1053"/>
      <c r="BQ12" s="836"/>
      <c r="BR12" s="836"/>
      <c r="BS12" s="475"/>
    </row>
    <row r="13" spans="1:91" ht="3.75" customHeight="1" x14ac:dyDescent="0.15">
      <c r="C13" s="808"/>
      <c r="D13" s="1014"/>
      <c r="E13" s="1015"/>
      <c r="F13" s="1015"/>
      <c r="G13" s="1015"/>
      <c r="H13" s="1015"/>
      <c r="I13" s="1015"/>
      <c r="J13" s="1016"/>
      <c r="K13" s="833"/>
      <c r="L13" s="834"/>
      <c r="M13" s="834"/>
      <c r="N13" s="834"/>
      <c r="O13" s="834"/>
      <c r="P13" s="834"/>
      <c r="Q13" s="835"/>
      <c r="R13" s="833"/>
      <c r="S13" s="834"/>
      <c r="T13" s="834"/>
      <c r="U13" s="834"/>
      <c r="V13" s="834"/>
      <c r="W13" s="834"/>
      <c r="X13" s="835"/>
      <c r="Y13" s="551"/>
      <c r="Z13" s="552"/>
      <c r="AA13" s="552"/>
      <c r="AB13" s="553"/>
      <c r="AC13" s="552"/>
      <c r="AD13" s="552"/>
      <c r="AE13" s="554"/>
      <c r="AF13" s="836"/>
      <c r="AG13" s="836"/>
      <c r="AH13" s="836"/>
      <c r="AI13" s="836"/>
      <c r="AJ13" s="475"/>
      <c r="AK13" s="475"/>
      <c r="AM13" s="808"/>
      <c r="AN13" s="1014"/>
      <c r="AO13" s="1015"/>
      <c r="AP13" s="1015"/>
      <c r="AQ13" s="1015"/>
      <c r="AR13" s="1015"/>
      <c r="AS13" s="1015"/>
      <c r="AT13" s="1016"/>
      <c r="AU13" s="833"/>
      <c r="AV13" s="834"/>
      <c r="AW13" s="834"/>
      <c r="AX13" s="834"/>
      <c r="AY13" s="834"/>
      <c r="AZ13" s="834"/>
      <c r="BA13" s="835"/>
      <c r="BB13" s="833"/>
      <c r="BC13" s="834"/>
      <c r="BD13" s="834"/>
      <c r="BE13" s="834"/>
      <c r="BF13" s="834"/>
      <c r="BG13" s="834"/>
      <c r="BH13" s="835"/>
      <c r="BI13" s="1054"/>
      <c r="BJ13" s="1055"/>
      <c r="BK13" s="1055"/>
      <c r="BL13" s="1056"/>
      <c r="BM13" s="1055"/>
      <c r="BN13" s="1055"/>
      <c r="BO13" s="1055"/>
      <c r="BP13" s="1056"/>
      <c r="BQ13" s="836"/>
      <c r="BR13" s="836"/>
      <c r="BS13" s="475" t="str">
        <f t="shared" ref="BS13:BS21" si="3">IF(OR(BI13="",MOD(COUNT(AN13:BH13),2)=1),"",BI13*10000+BM13*100+BQ13)</f>
        <v/>
      </c>
    </row>
    <row r="14" spans="1:91" ht="30" customHeight="1" x14ac:dyDescent="0.15">
      <c r="B14" s="258">
        <v>2</v>
      </c>
      <c r="C14" s="1067" t="str">
        <f>IF(ISERROR(MATCH(B14,予選学校名!$H$3:$H$18,0)),"",INDEX(予選学校名!$H$3:$K$18,MATCH(B14,予選学校名!$H$3:$H$18,0),2))</f>
        <v>美川</v>
      </c>
      <c r="D14" s="1070" t="s">
        <v>173</v>
      </c>
      <c r="E14" s="838"/>
      <c r="F14" s="838"/>
      <c r="G14" s="838"/>
      <c r="H14" s="838"/>
      <c r="I14" s="838"/>
      <c r="J14" s="839"/>
      <c r="K14" s="1057"/>
      <c r="L14" s="1058"/>
      <c r="M14" s="1058"/>
      <c r="N14" s="1059"/>
      <c r="O14" s="1059"/>
      <c r="P14" s="1059"/>
      <c r="Q14" s="1060"/>
      <c r="R14" s="827" t="str">
        <f>VLOOKUP(K18,$BU$1:$BZ$10,6)</f>
        <v>16日
9:00</v>
      </c>
      <c r="S14" s="828"/>
      <c r="T14" s="828"/>
      <c r="U14" s="828"/>
      <c r="V14" s="828"/>
      <c r="W14" s="828"/>
      <c r="X14" s="829"/>
      <c r="Y14" s="1050"/>
      <c r="Z14" s="1030"/>
      <c r="AA14" s="1030"/>
      <c r="AB14" s="542"/>
      <c r="AC14" s="1030"/>
      <c r="AD14" s="1030"/>
      <c r="AE14" s="1051"/>
      <c r="AF14" s="836" t="str">
        <f>IF(COUNT(D15:AE15)=0,"",COUNTIF(D14:AE14,"○")*3+COUNTIF(D14:AE14,"△"))</f>
        <v/>
      </c>
      <c r="AG14" s="836" t="str">
        <f>IF(AF14="","",SUM(O10:O21)/2-SUM(M10:M21))</f>
        <v/>
      </c>
      <c r="AH14" s="836" t="str">
        <f>IF(AF14="","",SUM(O10:O21)/2)</f>
        <v/>
      </c>
      <c r="AI14" s="836" t="str">
        <f>IF(OR(AF14="",MOD(COUNT(D14:AE14),2)=1),"",RANK(AJ14,$AJ$10:$AJ$21))</f>
        <v/>
      </c>
      <c r="AJ14" s="475" t="str">
        <f>IF(OR(AF14="",MOD(COUNT(D14:AE14),2)=1),"",AF14*10000+AG14*100+AH14)</f>
        <v/>
      </c>
      <c r="AK14" s="475"/>
      <c r="AL14" s="258">
        <v>8</v>
      </c>
      <c r="AM14" s="808" t="str">
        <f>IF(ISERROR(MATCH(AL14,予選学校名!$H$3:$H$18,0)),"",INDEX(予選学校名!$H$3:$K$18,MATCH(AL14,予選学校名!$H$3:$H$18,0),2))</f>
        <v>北星</v>
      </c>
      <c r="AN14" s="1070" t="s">
        <v>172</v>
      </c>
      <c r="AO14" s="838"/>
      <c r="AP14" s="838"/>
      <c r="AQ14" s="838"/>
      <c r="AR14" s="838"/>
      <c r="AS14" s="838"/>
      <c r="AT14" s="839"/>
      <c r="AU14" s="1057"/>
      <c r="AV14" s="1058"/>
      <c r="AW14" s="1058"/>
      <c r="AX14" s="1059"/>
      <c r="AY14" s="1059"/>
      <c r="AZ14" s="1059"/>
      <c r="BA14" s="1060"/>
      <c r="BB14" s="827" t="str">
        <f>VLOOKUP(AU18,$BU$1:$BZ$10,6)</f>
        <v>15日
9:00</v>
      </c>
      <c r="BC14" s="828"/>
      <c r="BD14" s="828"/>
      <c r="BE14" s="828"/>
      <c r="BF14" s="828"/>
      <c r="BG14" s="828"/>
      <c r="BH14" s="829"/>
      <c r="BI14" s="818" t="str">
        <f>IF(COUNT(AN15:BH15)=0,"",COUNTIF(AN14:BH14,"○")*3+COUNTIF(AN14:BH14,"△"))</f>
        <v/>
      </c>
      <c r="BJ14" s="819"/>
      <c r="BK14" s="819"/>
      <c r="BL14" s="820"/>
      <c r="BM14" s="819" t="str">
        <f>IF(BI14="","",SUM(AY10:AY21)/2-SUM(AW10:AW21))</f>
        <v/>
      </c>
      <c r="BN14" s="819"/>
      <c r="BO14" s="819"/>
      <c r="BP14" s="820"/>
      <c r="BQ14" s="836" t="str">
        <f>IF(BI14="","",SUM(AY10:AY21)/2)</f>
        <v/>
      </c>
      <c r="BR14" s="836" t="str">
        <f>IF(OR(BI14="",MOD(COUNT(AN14:BH14),2)=1),"",RANK(BS14,$BS$10:$BS$21))</f>
        <v/>
      </c>
      <c r="BS14" s="475" t="str">
        <f t="shared" si="3"/>
        <v/>
      </c>
    </row>
    <row r="15" spans="1:91" x14ac:dyDescent="0.15">
      <c r="C15" s="1068"/>
      <c r="D15" s="840"/>
      <c r="E15" s="841"/>
      <c r="F15" s="841"/>
      <c r="G15" s="841"/>
      <c r="H15" s="841"/>
      <c r="I15" s="841"/>
      <c r="J15" s="842"/>
      <c r="K15" s="1061"/>
      <c r="L15" s="1062"/>
      <c r="M15" s="1062"/>
      <c r="N15" s="1062"/>
      <c r="O15" s="1062"/>
      <c r="P15" s="1062"/>
      <c r="Q15" s="1063"/>
      <c r="R15" s="830"/>
      <c r="S15" s="831"/>
      <c r="T15" s="831"/>
      <c r="U15" s="831"/>
      <c r="V15" s="831"/>
      <c r="W15" s="831"/>
      <c r="X15" s="832"/>
      <c r="Y15" s="549"/>
      <c r="AB15" s="475" t="s">
        <v>92</v>
      </c>
      <c r="AE15" s="550"/>
      <c r="AF15" s="836"/>
      <c r="AG15" s="836"/>
      <c r="AH15" s="836"/>
      <c r="AI15" s="836"/>
      <c r="AJ15" s="475"/>
      <c r="AK15" s="475"/>
      <c r="AM15" s="808"/>
      <c r="AN15" s="840"/>
      <c r="AO15" s="841"/>
      <c r="AP15" s="841"/>
      <c r="AQ15" s="841"/>
      <c r="AR15" s="841"/>
      <c r="AS15" s="841"/>
      <c r="AT15" s="842"/>
      <c r="AU15" s="1061"/>
      <c r="AV15" s="1062"/>
      <c r="AW15" s="1062"/>
      <c r="AX15" s="1062"/>
      <c r="AY15" s="1062"/>
      <c r="AZ15" s="1062"/>
      <c r="BA15" s="1063"/>
      <c r="BB15" s="830"/>
      <c r="BC15" s="831"/>
      <c r="BD15" s="831"/>
      <c r="BE15" s="831"/>
      <c r="BF15" s="831"/>
      <c r="BG15" s="831"/>
      <c r="BH15" s="832"/>
      <c r="BI15" s="1052"/>
      <c r="BJ15" s="805"/>
      <c r="BK15" s="805"/>
      <c r="BL15" s="1053"/>
      <c r="BM15" s="805"/>
      <c r="BN15" s="805"/>
      <c r="BO15" s="805"/>
      <c r="BP15" s="1053"/>
      <c r="BQ15" s="836"/>
      <c r="BR15" s="836"/>
      <c r="BS15" s="475"/>
    </row>
    <row r="16" spans="1:91" x14ac:dyDescent="0.15">
      <c r="C16" s="1068"/>
      <c r="D16" s="840"/>
      <c r="E16" s="841"/>
      <c r="F16" s="841"/>
      <c r="G16" s="841"/>
      <c r="H16" s="841"/>
      <c r="I16" s="841"/>
      <c r="J16" s="842"/>
      <c r="K16" s="1061"/>
      <c r="L16" s="1062"/>
      <c r="M16" s="1062"/>
      <c r="N16" s="1062"/>
      <c r="O16" s="1062"/>
      <c r="P16" s="1062"/>
      <c r="Q16" s="1063"/>
      <c r="R16" s="830"/>
      <c r="S16" s="831"/>
      <c r="T16" s="831"/>
      <c r="U16" s="831"/>
      <c r="V16" s="831"/>
      <c r="W16" s="831"/>
      <c r="X16" s="832"/>
      <c r="Y16" s="549"/>
      <c r="AB16" s="475" t="s">
        <v>92</v>
      </c>
      <c r="AE16" s="550"/>
      <c r="AF16" s="836"/>
      <c r="AG16" s="836"/>
      <c r="AH16" s="836"/>
      <c r="AI16" s="836"/>
      <c r="AJ16" s="475"/>
      <c r="AK16" s="475"/>
      <c r="AM16" s="808"/>
      <c r="AN16" s="840"/>
      <c r="AO16" s="841"/>
      <c r="AP16" s="841"/>
      <c r="AQ16" s="841"/>
      <c r="AR16" s="841"/>
      <c r="AS16" s="841"/>
      <c r="AT16" s="842"/>
      <c r="AU16" s="1061"/>
      <c r="AV16" s="1062"/>
      <c r="AW16" s="1062"/>
      <c r="AX16" s="1062"/>
      <c r="AY16" s="1062"/>
      <c r="AZ16" s="1062"/>
      <c r="BA16" s="1063"/>
      <c r="BB16" s="830"/>
      <c r="BC16" s="831"/>
      <c r="BD16" s="831"/>
      <c r="BE16" s="831"/>
      <c r="BF16" s="831"/>
      <c r="BG16" s="831"/>
      <c r="BH16" s="832"/>
      <c r="BI16" s="1052"/>
      <c r="BJ16" s="805"/>
      <c r="BK16" s="805"/>
      <c r="BL16" s="1053"/>
      <c r="BM16" s="805"/>
      <c r="BN16" s="805"/>
      <c r="BO16" s="805"/>
      <c r="BP16" s="1053"/>
      <c r="BQ16" s="836"/>
      <c r="BR16" s="836"/>
      <c r="BS16" s="475"/>
    </row>
    <row r="17" spans="1:71" ht="3.75" customHeight="1" x14ac:dyDescent="0.15">
      <c r="C17" s="1069"/>
      <c r="D17" s="843"/>
      <c r="E17" s="844"/>
      <c r="F17" s="844"/>
      <c r="G17" s="844"/>
      <c r="H17" s="844"/>
      <c r="I17" s="844"/>
      <c r="J17" s="845"/>
      <c r="K17" s="1064"/>
      <c r="L17" s="1065"/>
      <c r="M17" s="1065"/>
      <c r="N17" s="1065"/>
      <c r="O17" s="1065"/>
      <c r="P17" s="1065"/>
      <c r="Q17" s="1066"/>
      <c r="R17" s="833"/>
      <c r="S17" s="834"/>
      <c r="T17" s="834"/>
      <c r="U17" s="834"/>
      <c r="V17" s="834"/>
      <c r="W17" s="834"/>
      <c r="X17" s="835"/>
      <c r="Y17" s="551"/>
      <c r="Z17" s="552"/>
      <c r="AA17" s="552"/>
      <c r="AB17" s="553"/>
      <c r="AC17" s="552"/>
      <c r="AD17" s="552"/>
      <c r="AE17" s="554"/>
      <c r="AF17" s="836"/>
      <c r="AG17" s="836"/>
      <c r="AH17" s="836"/>
      <c r="AI17" s="836"/>
      <c r="AJ17" s="475"/>
      <c r="AK17" s="475"/>
      <c r="AM17" s="808"/>
      <c r="AN17" s="843"/>
      <c r="AO17" s="844"/>
      <c r="AP17" s="844"/>
      <c r="AQ17" s="844"/>
      <c r="AR17" s="844"/>
      <c r="AS17" s="844"/>
      <c r="AT17" s="845"/>
      <c r="AU17" s="1064"/>
      <c r="AV17" s="1065"/>
      <c r="AW17" s="1065"/>
      <c r="AX17" s="1065"/>
      <c r="AY17" s="1065"/>
      <c r="AZ17" s="1065"/>
      <c r="BA17" s="1066"/>
      <c r="BB17" s="833"/>
      <c r="BC17" s="834"/>
      <c r="BD17" s="834"/>
      <c r="BE17" s="834"/>
      <c r="BF17" s="834"/>
      <c r="BG17" s="834"/>
      <c r="BH17" s="835"/>
      <c r="BI17" s="1054"/>
      <c r="BJ17" s="1055"/>
      <c r="BK17" s="1055"/>
      <c r="BL17" s="1056"/>
      <c r="BM17" s="1055"/>
      <c r="BN17" s="1055"/>
      <c r="BO17" s="1055"/>
      <c r="BP17" s="1056"/>
      <c r="BQ17" s="836"/>
      <c r="BR17" s="836"/>
      <c r="BS17" s="475" t="str">
        <f t="shared" si="3"/>
        <v/>
      </c>
    </row>
    <row r="18" spans="1:71" ht="30" customHeight="1" x14ac:dyDescent="0.15">
      <c r="B18" s="258">
        <v>3</v>
      </c>
      <c r="C18" s="1067" t="str">
        <f>IF(ISERROR(MATCH(B18,予選学校名!$H$3:$H$18,0)),"",INDEX(予選学校名!$H$3:$K$18,MATCH(B18,予選学校名!$H$3:$H$18,0),2))</f>
        <v>根上</v>
      </c>
      <c r="D18" s="1070" t="s">
        <v>167</v>
      </c>
      <c r="E18" s="838"/>
      <c r="F18" s="838"/>
      <c r="G18" s="838"/>
      <c r="H18" s="838"/>
      <c r="I18" s="838"/>
      <c r="J18" s="839"/>
      <c r="K18" s="1070" t="s">
        <v>169</v>
      </c>
      <c r="L18" s="838"/>
      <c r="M18" s="838"/>
      <c r="N18" s="838"/>
      <c r="O18" s="838"/>
      <c r="P18" s="838"/>
      <c r="Q18" s="839"/>
      <c r="R18" s="1008"/>
      <c r="S18" s="810"/>
      <c r="T18" s="810"/>
      <c r="U18" s="1009"/>
      <c r="V18" s="1009"/>
      <c r="W18" s="1009"/>
      <c r="X18" s="1010"/>
      <c r="Y18" s="1050"/>
      <c r="Z18" s="1030"/>
      <c r="AA18" s="1030"/>
      <c r="AB18" s="542"/>
      <c r="AC18" s="1030"/>
      <c r="AD18" s="1030"/>
      <c r="AE18" s="1051"/>
      <c r="AF18" s="836" t="str">
        <f>IF(COUNT(D19:AE19)=0,"",COUNTIF(D18:AE18,"○")*3+COUNTIF(D18:AE18,"△"))</f>
        <v/>
      </c>
      <c r="AG18" s="836" t="str">
        <f>IF(AF18="","",SUM(V10:V21)/2-SUM(T10:T21))</f>
        <v/>
      </c>
      <c r="AH18" s="836" t="str">
        <f>IF(AF18="","",SUM(V10:V21)/2)</f>
        <v/>
      </c>
      <c r="AI18" s="836" t="str">
        <f>IF(OR(AF18="",MOD(COUNT(D18:AE18),2)=1),"",RANK(AJ18,$AJ$10:$AJ$21))</f>
        <v/>
      </c>
      <c r="AJ18" s="475" t="str">
        <f>IF(OR(AF18="",MOD(COUNT(D18:AE18),2)=1),"",AF18*10000+AG18*100+AH18)</f>
        <v/>
      </c>
      <c r="AK18" s="475"/>
      <c r="AL18" s="258">
        <v>9</v>
      </c>
      <c r="AM18" s="808" t="str">
        <f>IF(ISERROR(MATCH(AL18,予選学校名!$H$3:$H$18,0)),"",INDEX(予選学校名!$H$3:$K$18,MATCH(AL18,予選学校名!$H$3:$H$18,0),2))</f>
        <v>松陽</v>
      </c>
      <c r="AN18" s="1070" t="s">
        <v>171</v>
      </c>
      <c r="AO18" s="838"/>
      <c r="AP18" s="838"/>
      <c r="AQ18" s="838"/>
      <c r="AR18" s="838"/>
      <c r="AS18" s="838"/>
      <c r="AT18" s="839"/>
      <c r="AU18" s="1070" t="s">
        <v>170</v>
      </c>
      <c r="AV18" s="838"/>
      <c r="AW18" s="838"/>
      <c r="AX18" s="838"/>
      <c r="AY18" s="838"/>
      <c r="AZ18" s="838"/>
      <c r="BA18" s="839"/>
      <c r="BB18" s="1008"/>
      <c r="BC18" s="810"/>
      <c r="BD18" s="810"/>
      <c r="BE18" s="1009"/>
      <c r="BF18" s="1009"/>
      <c r="BG18" s="1009"/>
      <c r="BH18" s="1010"/>
      <c r="BI18" s="818" t="str">
        <f>IF(COUNT(AN19:BH19)=0,"",COUNTIF(AN18:BH18,"○")*3+COUNTIF(AN18:BH18,"△"))</f>
        <v/>
      </c>
      <c r="BJ18" s="819"/>
      <c r="BK18" s="819"/>
      <c r="BL18" s="820"/>
      <c r="BM18" s="819" t="str">
        <f>IF(BI18="","",SUM(BF10:BF21)/2-SUM(BD10:BD21))</f>
        <v/>
      </c>
      <c r="BN18" s="819"/>
      <c r="BO18" s="819"/>
      <c r="BP18" s="820"/>
      <c r="BQ18" s="836" t="str">
        <f>IF(BI18="","",SUM(BF10:BF21)/2)</f>
        <v/>
      </c>
      <c r="BR18" s="836" t="str">
        <f>IF(OR(BI18="",MOD(COUNT(AN18:BH18),2)=1),"",RANK(BS18,$BS$10:$BS$21))</f>
        <v/>
      </c>
      <c r="BS18" s="475" t="str">
        <f t="shared" si="3"/>
        <v/>
      </c>
    </row>
    <row r="19" spans="1:71" x14ac:dyDescent="0.15">
      <c r="C19" s="1068"/>
      <c r="D19" s="840"/>
      <c r="E19" s="841"/>
      <c r="F19" s="841"/>
      <c r="G19" s="841"/>
      <c r="H19" s="841"/>
      <c r="I19" s="841"/>
      <c r="J19" s="842"/>
      <c r="K19" s="840"/>
      <c r="L19" s="841"/>
      <c r="M19" s="841"/>
      <c r="N19" s="841"/>
      <c r="O19" s="841"/>
      <c r="P19" s="841"/>
      <c r="Q19" s="842"/>
      <c r="R19" s="1011"/>
      <c r="S19" s="1012"/>
      <c r="T19" s="1012"/>
      <c r="U19" s="1012"/>
      <c r="V19" s="1012"/>
      <c r="W19" s="1012"/>
      <c r="X19" s="1013"/>
      <c r="Y19" s="549"/>
      <c r="AE19" s="550"/>
      <c r="AF19" s="836"/>
      <c r="AG19" s="836"/>
      <c r="AH19" s="836"/>
      <c r="AI19" s="836"/>
      <c r="AJ19" s="475"/>
      <c r="AK19" s="475"/>
      <c r="AM19" s="808"/>
      <c r="AN19" s="840"/>
      <c r="AO19" s="841"/>
      <c r="AP19" s="841"/>
      <c r="AQ19" s="841"/>
      <c r="AR19" s="841"/>
      <c r="AS19" s="841"/>
      <c r="AT19" s="842"/>
      <c r="AU19" s="840"/>
      <c r="AV19" s="841"/>
      <c r="AW19" s="841"/>
      <c r="AX19" s="841"/>
      <c r="AY19" s="841"/>
      <c r="AZ19" s="841"/>
      <c r="BA19" s="842"/>
      <c r="BB19" s="1011"/>
      <c r="BC19" s="1012"/>
      <c r="BD19" s="1012"/>
      <c r="BE19" s="1012"/>
      <c r="BF19" s="1012"/>
      <c r="BG19" s="1012"/>
      <c r="BH19" s="1013"/>
      <c r="BI19" s="1052"/>
      <c r="BJ19" s="805"/>
      <c r="BK19" s="805"/>
      <c r="BL19" s="1053"/>
      <c r="BM19" s="805"/>
      <c r="BN19" s="805"/>
      <c r="BO19" s="805"/>
      <c r="BP19" s="1053"/>
      <c r="BQ19" s="836"/>
      <c r="BR19" s="836"/>
      <c r="BS19" s="475"/>
    </row>
    <row r="20" spans="1:71" x14ac:dyDescent="0.15">
      <c r="C20" s="1068"/>
      <c r="D20" s="840"/>
      <c r="E20" s="841"/>
      <c r="F20" s="841"/>
      <c r="G20" s="841"/>
      <c r="H20" s="841"/>
      <c r="I20" s="841"/>
      <c r="J20" s="842"/>
      <c r="K20" s="840"/>
      <c r="L20" s="841"/>
      <c r="M20" s="841"/>
      <c r="N20" s="841"/>
      <c r="O20" s="841"/>
      <c r="P20" s="841"/>
      <c r="Q20" s="842"/>
      <c r="R20" s="1011"/>
      <c r="S20" s="1012"/>
      <c r="T20" s="1012"/>
      <c r="U20" s="1012"/>
      <c r="V20" s="1012"/>
      <c r="W20" s="1012"/>
      <c r="X20" s="1013"/>
      <c r="Y20" s="549"/>
      <c r="AE20" s="550"/>
      <c r="AF20" s="836"/>
      <c r="AG20" s="836"/>
      <c r="AH20" s="836"/>
      <c r="AI20" s="836"/>
      <c r="AJ20" s="475"/>
      <c r="AK20" s="475"/>
      <c r="AM20" s="808"/>
      <c r="AN20" s="840"/>
      <c r="AO20" s="841"/>
      <c r="AP20" s="841"/>
      <c r="AQ20" s="841"/>
      <c r="AR20" s="841"/>
      <c r="AS20" s="841"/>
      <c r="AT20" s="842"/>
      <c r="AU20" s="840"/>
      <c r="AV20" s="841"/>
      <c r="AW20" s="841"/>
      <c r="AX20" s="841"/>
      <c r="AY20" s="841"/>
      <c r="AZ20" s="841"/>
      <c r="BA20" s="842"/>
      <c r="BB20" s="1011"/>
      <c r="BC20" s="1012"/>
      <c r="BD20" s="1012"/>
      <c r="BE20" s="1012"/>
      <c r="BF20" s="1012"/>
      <c r="BG20" s="1012"/>
      <c r="BH20" s="1013"/>
      <c r="BI20" s="1052"/>
      <c r="BJ20" s="805"/>
      <c r="BK20" s="805"/>
      <c r="BL20" s="1053"/>
      <c r="BM20" s="805"/>
      <c r="BN20" s="805"/>
      <c r="BO20" s="805"/>
      <c r="BP20" s="1053"/>
      <c r="BQ20" s="836"/>
      <c r="BR20" s="836"/>
      <c r="BS20" s="475"/>
    </row>
    <row r="21" spans="1:71" ht="3.75" customHeight="1" x14ac:dyDescent="0.15">
      <c r="C21" s="1069"/>
      <c r="D21" s="843"/>
      <c r="E21" s="844"/>
      <c r="F21" s="844"/>
      <c r="G21" s="844"/>
      <c r="H21" s="844"/>
      <c r="I21" s="844"/>
      <c r="J21" s="845"/>
      <c r="K21" s="843"/>
      <c r="L21" s="844"/>
      <c r="M21" s="844"/>
      <c r="N21" s="844"/>
      <c r="O21" s="844"/>
      <c r="P21" s="844"/>
      <c r="Q21" s="845"/>
      <c r="R21" s="1014"/>
      <c r="S21" s="1015"/>
      <c r="T21" s="1015"/>
      <c r="U21" s="1015"/>
      <c r="V21" s="1015"/>
      <c r="W21" s="1015"/>
      <c r="X21" s="1016"/>
      <c r="Y21" s="551"/>
      <c r="Z21" s="552"/>
      <c r="AA21" s="552"/>
      <c r="AB21" s="553"/>
      <c r="AC21" s="552"/>
      <c r="AD21" s="552"/>
      <c r="AE21" s="554"/>
      <c r="AF21" s="836"/>
      <c r="AG21" s="836"/>
      <c r="AH21" s="836"/>
      <c r="AI21" s="836"/>
      <c r="AJ21" s="475"/>
      <c r="AK21" s="475"/>
      <c r="AM21" s="808"/>
      <c r="AN21" s="843"/>
      <c r="AO21" s="844"/>
      <c r="AP21" s="844"/>
      <c r="AQ21" s="844"/>
      <c r="AR21" s="844"/>
      <c r="AS21" s="844"/>
      <c r="AT21" s="845"/>
      <c r="AU21" s="843"/>
      <c r="AV21" s="844"/>
      <c r="AW21" s="844"/>
      <c r="AX21" s="844"/>
      <c r="AY21" s="844"/>
      <c r="AZ21" s="844"/>
      <c r="BA21" s="845"/>
      <c r="BB21" s="1014"/>
      <c r="BC21" s="1015"/>
      <c r="BD21" s="1015"/>
      <c r="BE21" s="1015"/>
      <c r="BF21" s="1015"/>
      <c r="BG21" s="1015"/>
      <c r="BH21" s="1016"/>
      <c r="BI21" s="1054"/>
      <c r="BJ21" s="1055"/>
      <c r="BK21" s="1055"/>
      <c r="BL21" s="1056"/>
      <c r="BM21" s="1055"/>
      <c r="BN21" s="1055"/>
      <c r="BO21" s="1055"/>
      <c r="BP21" s="1056"/>
      <c r="BQ21" s="836"/>
      <c r="BR21" s="836"/>
      <c r="BS21" s="475" t="str">
        <f t="shared" si="3"/>
        <v/>
      </c>
    </row>
    <row r="22" spans="1:71" ht="7.5" customHeight="1" x14ac:dyDescent="0.15"/>
    <row r="23" spans="1:71" s="455" customFormat="1" ht="18" x14ac:dyDescent="0.15">
      <c r="A23" s="457"/>
      <c r="C23" s="548" t="s">
        <v>711</v>
      </c>
      <c r="D23" s="548"/>
      <c r="E23" s="548"/>
      <c r="F23" s="548"/>
      <c r="G23" s="548"/>
      <c r="H23" s="548"/>
      <c r="I23" s="548"/>
      <c r="J23" s="548"/>
      <c r="K23" s="548"/>
      <c r="L23" s="548"/>
      <c r="M23" s="548"/>
      <c r="N23" s="548"/>
      <c r="O23" s="548"/>
      <c r="P23" s="548"/>
      <c r="Q23" s="548"/>
      <c r="R23" s="548"/>
      <c r="S23" s="548"/>
      <c r="T23" s="548"/>
      <c r="U23" s="548"/>
      <c r="V23" s="548"/>
      <c r="W23" s="548"/>
      <c r="X23" s="548"/>
      <c r="Y23" s="548"/>
      <c r="Z23" s="548"/>
      <c r="AA23" s="548"/>
      <c r="AB23" s="548"/>
      <c r="AC23" s="548"/>
      <c r="AD23" s="548"/>
      <c r="AE23" s="548"/>
      <c r="AF23" s="548"/>
      <c r="AG23" s="548"/>
      <c r="AH23" s="548"/>
      <c r="AI23" s="548"/>
      <c r="AM23" s="548" t="s">
        <v>712</v>
      </c>
      <c r="AN23" s="548"/>
      <c r="AO23" s="548"/>
      <c r="AP23" s="548"/>
      <c r="AQ23" s="548"/>
      <c r="AR23" s="548"/>
      <c r="AS23" s="548"/>
      <c r="AT23" s="548"/>
      <c r="AU23" s="548"/>
      <c r="AV23" s="548"/>
      <c r="AW23" s="548"/>
      <c r="AX23" s="548"/>
      <c r="AY23" s="548"/>
      <c r="AZ23" s="548"/>
      <c r="BA23" s="548"/>
      <c r="BB23" s="548"/>
      <c r="BC23" s="548"/>
      <c r="BD23" s="548"/>
      <c r="BE23" s="548"/>
      <c r="BF23" s="548"/>
      <c r="BG23" s="548"/>
      <c r="BH23" s="548"/>
      <c r="BI23" s="548"/>
      <c r="BJ23" s="548"/>
      <c r="BK23" s="548"/>
      <c r="BL23" s="548"/>
      <c r="BM23" s="548"/>
      <c r="BN23" s="548"/>
      <c r="BO23" s="548"/>
      <c r="BP23" s="548"/>
      <c r="BQ23" s="548"/>
      <c r="BR23" s="548"/>
      <c r="BS23" s="548"/>
    </row>
    <row r="24" spans="1:71" ht="28.5" x14ac:dyDescent="0.15">
      <c r="C24" s="297"/>
      <c r="D24" s="1007" t="str">
        <f>C25</f>
        <v>南部</v>
      </c>
      <c r="E24" s="1007"/>
      <c r="F24" s="1007"/>
      <c r="G24" s="1007"/>
      <c r="H24" s="1007"/>
      <c r="I24" s="1007"/>
      <c r="J24" s="1007"/>
      <c r="K24" s="1007" t="str">
        <f>C29</f>
        <v>寺井</v>
      </c>
      <c r="L24" s="1007"/>
      <c r="M24" s="1007"/>
      <c r="N24" s="1007"/>
      <c r="O24" s="1007"/>
      <c r="P24" s="1007"/>
      <c r="Q24" s="1007"/>
      <c r="R24" s="1007" t="str">
        <f>C33</f>
        <v>野々市</v>
      </c>
      <c r="S24" s="1007"/>
      <c r="T24" s="1007"/>
      <c r="U24" s="1007"/>
      <c r="V24" s="1007"/>
      <c r="W24" s="1007"/>
      <c r="X24" s="1007"/>
      <c r="Y24" s="836">
        <f>J33</f>
        <v>0</v>
      </c>
      <c r="Z24" s="836"/>
      <c r="AA24" s="836"/>
      <c r="AB24" s="836"/>
      <c r="AC24" s="836"/>
      <c r="AD24" s="836"/>
      <c r="AE24" s="836"/>
      <c r="AF24" s="461" t="s">
        <v>88</v>
      </c>
      <c r="AG24" s="462" t="s">
        <v>143</v>
      </c>
      <c r="AH24" s="461" t="s">
        <v>90</v>
      </c>
      <c r="AI24" s="461" t="s">
        <v>91</v>
      </c>
      <c r="AJ24" s="475"/>
      <c r="AK24" s="475"/>
      <c r="AM24" s="297"/>
      <c r="AN24" s="1007" t="str">
        <f>AM25</f>
        <v>布水</v>
      </c>
      <c r="AO24" s="1007"/>
      <c r="AP24" s="1007"/>
      <c r="AQ24" s="1007"/>
      <c r="AR24" s="1007"/>
      <c r="AS24" s="1007"/>
      <c r="AT24" s="1007"/>
      <c r="AU24" s="1007" t="str">
        <f>AM29</f>
        <v>丸内</v>
      </c>
      <c r="AV24" s="1007"/>
      <c r="AW24" s="1007"/>
      <c r="AX24" s="1007"/>
      <c r="AY24" s="1007"/>
      <c r="AZ24" s="1007"/>
      <c r="BA24" s="1007"/>
      <c r="BB24" s="1007" t="str">
        <f>AM33</f>
        <v>光野･笠間</v>
      </c>
      <c r="BC24" s="1007"/>
      <c r="BD24" s="1007"/>
      <c r="BE24" s="1007"/>
      <c r="BF24" s="1007"/>
      <c r="BG24" s="1007"/>
      <c r="BH24" s="1007"/>
      <c r="BI24" s="1046" t="s">
        <v>88</v>
      </c>
      <c r="BJ24" s="1047"/>
      <c r="BK24" s="1047"/>
      <c r="BL24" s="1048"/>
      <c r="BM24" s="1049" t="s">
        <v>144</v>
      </c>
      <c r="BN24" s="1047"/>
      <c r="BO24" s="1047"/>
      <c r="BP24" s="1048"/>
      <c r="BQ24" s="461" t="s">
        <v>90</v>
      </c>
      <c r="BR24" s="461" t="s">
        <v>91</v>
      </c>
    </row>
    <row r="25" spans="1:71" ht="30" customHeight="1" x14ac:dyDescent="0.15">
      <c r="B25" s="258">
        <v>4</v>
      </c>
      <c r="C25" s="808" t="str">
        <f>IF(ISERROR(MATCH(B25,予選学校名!$H$3:$H$18,0)),"",INDEX(予選学校名!$H$3:$K$18,MATCH(B25,予選学校名!$H$3:$H$18,0),2))</f>
        <v>南部</v>
      </c>
      <c r="D25" s="1008"/>
      <c r="E25" s="810"/>
      <c r="F25" s="810"/>
      <c r="G25" s="1009"/>
      <c r="H25" s="1009"/>
      <c r="I25" s="1009"/>
      <c r="J25" s="1010"/>
      <c r="K25" s="827" t="str">
        <f>VLOOKUP(D29,$BU$1:$BZ$10,6)</f>
        <v>16日
12:45</v>
      </c>
      <c r="L25" s="828"/>
      <c r="M25" s="828"/>
      <c r="N25" s="828"/>
      <c r="O25" s="828"/>
      <c r="P25" s="828"/>
      <c r="Q25" s="829"/>
      <c r="R25" s="827" t="str">
        <f>VLOOKUP(D33,$BU$1:$BZ$10,6)</f>
        <v>15日
10:15</v>
      </c>
      <c r="S25" s="828"/>
      <c r="T25" s="828"/>
      <c r="U25" s="828"/>
      <c r="V25" s="828"/>
      <c r="W25" s="828"/>
      <c r="X25" s="829"/>
      <c r="Y25" s="1050"/>
      <c r="Z25" s="1030"/>
      <c r="AA25" s="1030"/>
      <c r="AB25" s="542"/>
      <c r="AC25" s="1030"/>
      <c r="AD25" s="1030"/>
      <c r="AE25" s="1051"/>
      <c r="AF25" s="836" t="str">
        <f>IF(COUNT(D26:AE26)=0,"",COUNTIF(D25:AE25,"○")*3+COUNTIF(D25:AE25,"△"))</f>
        <v/>
      </c>
      <c r="AG25" s="836" t="str">
        <f>IF(AF25="","",SUM(H25:H36)/2-SUM(F25:F36))</f>
        <v/>
      </c>
      <c r="AH25" s="836" t="str">
        <f>IF(AF25="","",SUM(H25:H36)/2)</f>
        <v/>
      </c>
      <c r="AI25" s="836" t="str">
        <f>IF(OR(AF25="",MOD(COUNT(D25:AE25),2)=1),"",RANK(AJ25,$AJ$25:$AJ$40))</f>
        <v/>
      </c>
      <c r="AJ25" s="475" t="str">
        <f>IF(OR(AF25="",MOD(COUNT(D25:AE25),2)=1),"",AF25*10000+AG25*100+AH25)</f>
        <v/>
      </c>
      <c r="AK25" s="475"/>
      <c r="AL25" s="258">
        <v>10</v>
      </c>
      <c r="AM25" s="808" t="str">
        <f>IF(ISERROR(MATCH(AL25,予選学校名!$H$3:$H$18,0)),"",INDEX(予選学校名!$H$3:$K$18,MATCH(AL25,予選学校名!$H$3:$H$18,0),2))</f>
        <v>布水</v>
      </c>
      <c r="AN25" s="1071"/>
      <c r="AO25" s="1072"/>
      <c r="AP25" s="1072"/>
      <c r="AQ25" s="1073"/>
      <c r="AR25" s="1073"/>
      <c r="AS25" s="1073"/>
      <c r="AT25" s="1074"/>
      <c r="AU25" s="827" t="str">
        <f>VLOOKUP(AN29,$BU$1:$BZ$10,6)</f>
        <v>16日
10:15</v>
      </c>
      <c r="AV25" s="828"/>
      <c r="AW25" s="828"/>
      <c r="AX25" s="828"/>
      <c r="AY25" s="828"/>
      <c r="AZ25" s="828"/>
      <c r="BA25" s="829"/>
      <c r="BB25" s="827" t="str">
        <f>VLOOKUP(AN33,$BU$1:$BZ$10,6)</f>
        <v>15日
12:45</v>
      </c>
      <c r="BC25" s="828"/>
      <c r="BD25" s="828"/>
      <c r="BE25" s="828"/>
      <c r="BF25" s="828"/>
      <c r="BG25" s="828"/>
      <c r="BH25" s="829"/>
      <c r="BI25" s="818" t="str">
        <f>IF(COUNT(AN26:BH26)=0,"",COUNTIF(AN25:BH25,"○")*3+COUNTIF(AN25:BH25,"△"))</f>
        <v/>
      </c>
      <c r="BJ25" s="819"/>
      <c r="BK25" s="819"/>
      <c r="BL25" s="820"/>
      <c r="BM25" s="819" t="str">
        <f>IF(BI25="","",SUM(AR25:AR36)/2-SUM(AP25:AP36))</f>
        <v/>
      </c>
      <c r="BN25" s="819"/>
      <c r="BO25" s="819"/>
      <c r="BP25" s="820"/>
      <c r="BQ25" s="836" t="str">
        <f>IF(BI25="","",SUM(AR25:AR36)/2)</f>
        <v/>
      </c>
      <c r="BR25" s="836" t="str">
        <f>IF(OR(BI25="",MOD(COUNT(AN25:BH25),2)=1),"",RANK(BS25,$BS$10:$BS$21))</f>
        <v/>
      </c>
      <c r="BS25" s="475" t="str">
        <f>IF(OR(BQ25="",MOD(COUNT(AN25:BP25),2)=1),"",BQ25*10000+BR25*100+#REF!)</f>
        <v/>
      </c>
    </row>
    <row r="26" spans="1:71" ht="13.5" customHeight="1" x14ac:dyDescent="0.15">
      <c r="C26" s="808"/>
      <c r="D26" s="1011"/>
      <c r="E26" s="1012"/>
      <c r="F26" s="1012"/>
      <c r="G26" s="1012"/>
      <c r="H26" s="1012"/>
      <c r="I26" s="1012"/>
      <c r="J26" s="1013"/>
      <c r="K26" s="830"/>
      <c r="L26" s="831"/>
      <c r="M26" s="831"/>
      <c r="N26" s="831"/>
      <c r="O26" s="831"/>
      <c r="P26" s="831"/>
      <c r="Q26" s="832"/>
      <c r="R26" s="830"/>
      <c r="S26" s="831"/>
      <c r="T26" s="831"/>
      <c r="U26" s="831"/>
      <c r="V26" s="831"/>
      <c r="W26" s="831"/>
      <c r="X26" s="832"/>
      <c r="Y26" s="549"/>
      <c r="AB26" s="475" t="s">
        <v>92</v>
      </c>
      <c r="AE26" s="550"/>
      <c r="AF26" s="836"/>
      <c r="AG26" s="836"/>
      <c r="AH26" s="836"/>
      <c r="AI26" s="836"/>
      <c r="AJ26" s="475"/>
      <c r="AK26" s="475"/>
      <c r="AM26" s="808"/>
      <c r="AN26" s="1075"/>
      <c r="AO26" s="1076"/>
      <c r="AP26" s="1076"/>
      <c r="AQ26" s="1076"/>
      <c r="AR26" s="1076"/>
      <c r="AS26" s="1076"/>
      <c r="AT26" s="1077"/>
      <c r="AU26" s="830"/>
      <c r="AV26" s="831"/>
      <c r="AW26" s="831"/>
      <c r="AX26" s="831"/>
      <c r="AY26" s="831"/>
      <c r="AZ26" s="831"/>
      <c r="BA26" s="832"/>
      <c r="BB26" s="830"/>
      <c r="BC26" s="831"/>
      <c r="BD26" s="831"/>
      <c r="BE26" s="831"/>
      <c r="BF26" s="831"/>
      <c r="BG26" s="831"/>
      <c r="BH26" s="832"/>
      <c r="BI26" s="1052"/>
      <c r="BJ26" s="805"/>
      <c r="BK26" s="805"/>
      <c r="BL26" s="1053"/>
      <c r="BM26" s="805"/>
      <c r="BN26" s="805"/>
      <c r="BO26" s="805"/>
      <c r="BP26" s="1053"/>
      <c r="BQ26" s="836"/>
      <c r="BR26" s="836"/>
      <c r="BS26" s="475"/>
    </row>
    <row r="27" spans="1:71" ht="13.5" customHeight="1" x14ac:dyDescent="0.15">
      <c r="C27" s="808"/>
      <c r="D27" s="1011"/>
      <c r="E27" s="1012"/>
      <c r="F27" s="1012"/>
      <c r="G27" s="1012"/>
      <c r="H27" s="1012"/>
      <c r="I27" s="1012"/>
      <c r="J27" s="1013"/>
      <c r="K27" s="830"/>
      <c r="L27" s="831"/>
      <c r="M27" s="831"/>
      <c r="N27" s="831"/>
      <c r="O27" s="831"/>
      <c r="P27" s="831"/>
      <c r="Q27" s="832"/>
      <c r="R27" s="830"/>
      <c r="S27" s="831"/>
      <c r="T27" s="831"/>
      <c r="U27" s="831"/>
      <c r="V27" s="831"/>
      <c r="W27" s="831"/>
      <c r="X27" s="832"/>
      <c r="Y27" s="549"/>
      <c r="AB27" s="475" t="s">
        <v>92</v>
      </c>
      <c r="AE27" s="550"/>
      <c r="AF27" s="836"/>
      <c r="AG27" s="836"/>
      <c r="AH27" s="836"/>
      <c r="AI27" s="836"/>
      <c r="AJ27" s="475"/>
      <c r="AK27" s="475"/>
      <c r="AM27" s="808"/>
      <c r="AN27" s="1075"/>
      <c r="AO27" s="1076"/>
      <c r="AP27" s="1076"/>
      <c r="AQ27" s="1076"/>
      <c r="AR27" s="1076"/>
      <c r="AS27" s="1076"/>
      <c r="AT27" s="1077"/>
      <c r="AU27" s="830"/>
      <c r="AV27" s="831"/>
      <c r="AW27" s="831"/>
      <c r="AX27" s="831"/>
      <c r="AY27" s="831"/>
      <c r="AZ27" s="831"/>
      <c r="BA27" s="832"/>
      <c r="BB27" s="830"/>
      <c r="BC27" s="831"/>
      <c r="BD27" s="831"/>
      <c r="BE27" s="831"/>
      <c r="BF27" s="831"/>
      <c r="BG27" s="831"/>
      <c r="BH27" s="832"/>
      <c r="BI27" s="1052"/>
      <c r="BJ27" s="805"/>
      <c r="BK27" s="805"/>
      <c r="BL27" s="1053"/>
      <c r="BM27" s="805"/>
      <c r="BN27" s="805"/>
      <c r="BO27" s="805"/>
      <c r="BP27" s="1053"/>
      <c r="BQ27" s="836"/>
      <c r="BR27" s="836"/>
      <c r="BS27" s="475"/>
    </row>
    <row r="28" spans="1:71" ht="3.75" customHeight="1" x14ac:dyDescent="0.15">
      <c r="C28" s="808"/>
      <c r="D28" s="1014"/>
      <c r="E28" s="1015"/>
      <c r="F28" s="1015"/>
      <c r="G28" s="1015"/>
      <c r="H28" s="1015"/>
      <c r="I28" s="1015"/>
      <c r="J28" s="1016"/>
      <c r="K28" s="833"/>
      <c r="L28" s="834"/>
      <c r="M28" s="834"/>
      <c r="N28" s="834"/>
      <c r="O28" s="834"/>
      <c r="P28" s="834"/>
      <c r="Q28" s="835"/>
      <c r="R28" s="833"/>
      <c r="S28" s="834"/>
      <c r="T28" s="834"/>
      <c r="U28" s="834"/>
      <c r="V28" s="834"/>
      <c r="W28" s="834"/>
      <c r="X28" s="835"/>
      <c r="Y28" s="551"/>
      <c r="Z28" s="552"/>
      <c r="AA28" s="552"/>
      <c r="AB28" s="553"/>
      <c r="AC28" s="552"/>
      <c r="AD28" s="552"/>
      <c r="AE28" s="554"/>
      <c r="AF28" s="836"/>
      <c r="AG28" s="836"/>
      <c r="AH28" s="836"/>
      <c r="AI28" s="836"/>
      <c r="AJ28" s="475"/>
      <c r="AK28" s="475"/>
      <c r="AM28" s="808"/>
      <c r="AN28" s="1078"/>
      <c r="AO28" s="1079"/>
      <c r="AP28" s="1079"/>
      <c r="AQ28" s="1079"/>
      <c r="AR28" s="1079"/>
      <c r="AS28" s="1079"/>
      <c r="AT28" s="1080"/>
      <c r="AU28" s="833"/>
      <c r="AV28" s="834"/>
      <c r="AW28" s="834"/>
      <c r="AX28" s="834"/>
      <c r="AY28" s="834"/>
      <c r="AZ28" s="834"/>
      <c r="BA28" s="835"/>
      <c r="BB28" s="833"/>
      <c r="BC28" s="834"/>
      <c r="BD28" s="834"/>
      <c r="BE28" s="834"/>
      <c r="BF28" s="834"/>
      <c r="BG28" s="834"/>
      <c r="BH28" s="835"/>
      <c r="BI28" s="1054"/>
      <c r="BJ28" s="1055"/>
      <c r="BK28" s="1055"/>
      <c r="BL28" s="1056"/>
      <c r="BM28" s="1055"/>
      <c r="BN28" s="1055"/>
      <c r="BO28" s="1055"/>
      <c r="BP28" s="1056"/>
      <c r="BQ28" s="836"/>
      <c r="BR28" s="836"/>
      <c r="BS28" s="475"/>
    </row>
    <row r="29" spans="1:71" ht="30" customHeight="1" x14ac:dyDescent="0.15">
      <c r="A29" s="258"/>
      <c r="B29" s="258">
        <v>5</v>
      </c>
      <c r="C29" s="808" t="str">
        <f>IF(ISERROR(MATCH(B29,予選学校名!$H$3:$H$18,0)),"",INDEX(予選学校名!$H$3:$K$18,MATCH(B29,予選学校名!$H$3:$H$18,0),2))</f>
        <v>寺井</v>
      </c>
      <c r="D29" s="1070" t="s">
        <v>173</v>
      </c>
      <c r="E29" s="838"/>
      <c r="F29" s="838"/>
      <c r="G29" s="838"/>
      <c r="H29" s="838"/>
      <c r="I29" s="838"/>
      <c r="J29" s="839"/>
      <c r="K29" s="1057"/>
      <c r="L29" s="1058"/>
      <c r="M29" s="1058"/>
      <c r="N29" s="1059"/>
      <c r="O29" s="1059"/>
      <c r="P29" s="1059"/>
      <c r="Q29" s="1060"/>
      <c r="R29" s="827" t="str">
        <f>VLOOKUP(K33,$BU$1:$BZ$10,6)</f>
        <v>16日
9:00</v>
      </c>
      <c r="S29" s="828"/>
      <c r="T29" s="828"/>
      <c r="U29" s="828"/>
      <c r="V29" s="828"/>
      <c r="W29" s="828"/>
      <c r="X29" s="829"/>
      <c r="Y29" s="1050"/>
      <c r="Z29" s="1030"/>
      <c r="AA29" s="1030"/>
      <c r="AB29" s="542"/>
      <c r="AC29" s="1030"/>
      <c r="AD29" s="1030"/>
      <c r="AE29" s="1051"/>
      <c r="AF29" s="836" t="str">
        <f>IF(COUNT(D30:AE30)=0,"",COUNTIF(D29:AE29,"○")*3+COUNTIF(D29:AE29,"△"))</f>
        <v/>
      </c>
      <c r="AG29" s="836" t="str">
        <f>IF(AF29="","",SUM(O25:O36)/2-SUM(M25:M36))</f>
        <v/>
      </c>
      <c r="AH29" s="836" t="str">
        <f>IF(AF29="","",SUM(O25:O36)/2)</f>
        <v/>
      </c>
      <c r="AI29" s="836" t="str">
        <f>IF(OR(AF29="",MOD(COUNT(D29:AE29),2)=1),"",RANK(AJ29,$AJ$25:$AJ$40))</f>
        <v/>
      </c>
      <c r="AJ29" s="475" t="str">
        <f>IF(OR(AF29="",MOD(COUNT(D29:AE29),2)=1),"",AF29*10000+AG29*100+AH29)</f>
        <v/>
      </c>
      <c r="AK29" s="475"/>
      <c r="AL29" s="258">
        <v>11</v>
      </c>
      <c r="AM29" s="808" t="str">
        <f>IF(ISERROR(MATCH(AL29,予選学校名!$H$3:$H$18,0)),"",INDEX(予選学校名!$H$3:$K$18,MATCH(AL29,予選学校名!$H$3:$H$18,0),2))</f>
        <v>丸内</v>
      </c>
      <c r="AN29" s="1070" t="s">
        <v>172</v>
      </c>
      <c r="AO29" s="838"/>
      <c r="AP29" s="838"/>
      <c r="AQ29" s="838"/>
      <c r="AR29" s="838"/>
      <c r="AS29" s="838"/>
      <c r="AT29" s="839"/>
      <c r="AU29" s="1057"/>
      <c r="AV29" s="1058"/>
      <c r="AW29" s="1058"/>
      <c r="AX29" s="1059"/>
      <c r="AY29" s="1059"/>
      <c r="AZ29" s="1059"/>
      <c r="BA29" s="1060"/>
      <c r="BB29" s="827" t="str">
        <f>VLOOKUP(AU33,$BU$1:$BZ$10,6)</f>
        <v>15日
9:00</v>
      </c>
      <c r="BC29" s="828"/>
      <c r="BD29" s="828"/>
      <c r="BE29" s="828"/>
      <c r="BF29" s="828"/>
      <c r="BG29" s="828"/>
      <c r="BH29" s="829"/>
      <c r="BI29" s="818" t="str">
        <f>IF(COUNT(AN30:BH30)=0,"",COUNTIF(AN29:BH29,"○")*3+COUNTIF(AN29:BH29,"△"))</f>
        <v/>
      </c>
      <c r="BJ29" s="819"/>
      <c r="BK29" s="819"/>
      <c r="BL29" s="820"/>
      <c r="BM29" s="819" t="str">
        <f>IF(BI29="","",SUM(AY25:AY36)/2-SUM(AW25:AW36))</f>
        <v/>
      </c>
      <c r="BN29" s="819"/>
      <c r="BO29" s="819"/>
      <c r="BP29" s="820"/>
      <c r="BQ29" s="836" t="str">
        <f>IF(BI29="","",SUM(AY25:AY36)/2)</f>
        <v/>
      </c>
      <c r="BR29" s="836" t="str">
        <f>IF(OR(BI29="",MOD(COUNT(AN29:BH29),2)=1),"",RANK(BS29,$BS$10:$BS$21))</f>
        <v/>
      </c>
      <c r="BS29" s="475" t="str">
        <f>IF(OR(BQ29="",MOD(COUNT(AN29:BP29),2)=1),"",BQ29*10000+BR29*100+#REF!)</f>
        <v/>
      </c>
    </row>
    <row r="30" spans="1:71" ht="14.25" customHeight="1" x14ac:dyDescent="0.15">
      <c r="A30" s="258"/>
      <c r="C30" s="808"/>
      <c r="D30" s="840"/>
      <c r="E30" s="841"/>
      <c r="F30" s="841"/>
      <c r="G30" s="841"/>
      <c r="H30" s="841"/>
      <c r="I30" s="841"/>
      <c r="J30" s="842"/>
      <c r="K30" s="1061"/>
      <c r="L30" s="1062"/>
      <c r="M30" s="1062"/>
      <c r="N30" s="1062"/>
      <c r="O30" s="1062"/>
      <c r="P30" s="1062"/>
      <c r="Q30" s="1063"/>
      <c r="R30" s="830"/>
      <c r="S30" s="831"/>
      <c r="T30" s="831"/>
      <c r="U30" s="831"/>
      <c r="V30" s="831"/>
      <c r="W30" s="831"/>
      <c r="X30" s="832"/>
      <c r="Y30" s="549"/>
      <c r="AB30" s="475" t="s">
        <v>92</v>
      </c>
      <c r="AE30" s="550"/>
      <c r="AF30" s="836"/>
      <c r="AG30" s="836"/>
      <c r="AH30" s="836"/>
      <c r="AI30" s="836"/>
      <c r="AJ30" s="475"/>
      <c r="AK30" s="475"/>
      <c r="AM30" s="808"/>
      <c r="AN30" s="840"/>
      <c r="AO30" s="841"/>
      <c r="AP30" s="841"/>
      <c r="AQ30" s="841"/>
      <c r="AR30" s="841"/>
      <c r="AS30" s="841"/>
      <c r="AT30" s="842"/>
      <c r="AU30" s="1061"/>
      <c r="AV30" s="1062"/>
      <c r="AW30" s="1062"/>
      <c r="AX30" s="1062"/>
      <c r="AY30" s="1062"/>
      <c r="AZ30" s="1062"/>
      <c r="BA30" s="1063"/>
      <c r="BB30" s="830"/>
      <c r="BC30" s="831"/>
      <c r="BD30" s="831"/>
      <c r="BE30" s="831"/>
      <c r="BF30" s="831"/>
      <c r="BG30" s="831"/>
      <c r="BH30" s="832"/>
      <c r="BI30" s="1052"/>
      <c r="BJ30" s="805"/>
      <c r="BK30" s="805"/>
      <c r="BL30" s="1053"/>
      <c r="BM30" s="805"/>
      <c r="BN30" s="805"/>
      <c r="BO30" s="805"/>
      <c r="BP30" s="1053"/>
      <c r="BQ30" s="836"/>
      <c r="BR30" s="836"/>
      <c r="BS30" s="475"/>
    </row>
    <row r="31" spans="1:71" ht="14.25" customHeight="1" x14ac:dyDescent="0.15">
      <c r="A31" s="258"/>
      <c r="C31" s="808"/>
      <c r="D31" s="840"/>
      <c r="E31" s="841"/>
      <c r="F31" s="841"/>
      <c r="G31" s="841"/>
      <c r="H31" s="841"/>
      <c r="I31" s="841"/>
      <c r="J31" s="842"/>
      <c r="K31" s="1061"/>
      <c r="L31" s="1062"/>
      <c r="M31" s="1062"/>
      <c r="N31" s="1062"/>
      <c r="O31" s="1062"/>
      <c r="P31" s="1062"/>
      <c r="Q31" s="1063"/>
      <c r="R31" s="830"/>
      <c r="S31" s="831"/>
      <c r="T31" s="831"/>
      <c r="U31" s="831"/>
      <c r="V31" s="831"/>
      <c r="W31" s="831"/>
      <c r="X31" s="832"/>
      <c r="Y31" s="549"/>
      <c r="AB31" s="475" t="s">
        <v>92</v>
      </c>
      <c r="AE31" s="550"/>
      <c r="AF31" s="836"/>
      <c r="AG31" s="836"/>
      <c r="AH31" s="836"/>
      <c r="AI31" s="836"/>
      <c r="AJ31" s="475"/>
      <c r="AK31" s="475"/>
      <c r="AM31" s="808"/>
      <c r="AN31" s="840"/>
      <c r="AO31" s="841"/>
      <c r="AP31" s="841"/>
      <c r="AQ31" s="841"/>
      <c r="AR31" s="841"/>
      <c r="AS31" s="841"/>
      <c r="AT31" s="842"/>
      <c r="AU31" s="1061"/>
      <c r="AV31" s="1062"/>
      <c r="AW31" s="1062"/>
      <c r="AX31" s="1062"/>
      <c r="AY31" s="1062"/>
      <c r="AZ31" s="1062"/>
      <c r="BA31" s="1063"/>
      <c r="BB31" s="830"/>
      <c r="BC31" s="831"/>
      <c r="BD31" s="831"/>
      <c r="BE31" s="831"/>
      <c r="BF31" s="831"/>
      <c r="BG31" s="831"/>
      <c r="BH31" s="832"/>
      <c r="BI31" s="1052"/>
      <c r="BJ31" s="805"/>
      <c r="BK31" s="805"/>
      <c r="BL31" s="1053"/>
      <c r="BM31" s="805"/>
      <c r="BN31" s="805"/>
      <c r="BO31" s="805"/>
      <c r="BP31" s="1053"/>
      <c r="BQ31" s="836"/>
      <c r="BR31" s="836"/>
      <c r="BS31" s="475"/>
    </row>
    <row r="32" spans="1:71" ht="3.75" customHeight="1" x14ac:dyDescent="0.15">
      <c r="A32" s="258"/>
      <c r="C32" s="808"/>
      <c r="D32" s="843"/>
      <c r="E32" s="844"/>
      <c r="F32" s="844"/>
      <c r="G32" s="844"/>
      <c r="H32" s="844"/>
      <c r="I32" s="844"/>
      <c r="J32" s="845"/>
      <c r="K32" s="1064"/>
      <c r="L32" s="1065"/>
      <c r="M32" s="1065"/>
      <c r="N32" s="1065"/>
      <c r="O32" s="1065"/>
      <c r="P32" s="1065"/>
      <c r="Q32" s="1066"/>
      <c r="R32" s="833"/>
      <c r="S32" s="834"/>
      <c r="T32" s="834"/>
      <c r="U32" s="834"/>
      <c r="V32" s="834"/>
      <c r="W32" s="834"/>
      <c r="X32" s="835"/>
      <c r="Y32" s="551"/>
      <c r="Z32" s="552"/>
      <c r="AA32" s="552"/>
      <c r="AB32" s="553"/>
      <c r="AC32" s="552"/>
      <c r="AD32" s="552"/>
      <c r="AE32" s="554"/>
      <c r="AF32" s="836"/>
      <c r="AG32" s="836"/>
      <c r="AH32" s="836"/>
      <c r="AI32" s="836"/>
      <c r="AJ32" s="475"/>
      <c r="AK32" s="475"/>
      <c r="AM32" s="808"/>
      <c r="AN32" s="843"/>
      <c r="AO32" s="844"/>
      <c r="AP32" s="844"/>
      <c r="AQ32" s="844"/>
      <c r="AR32" s="844"/>
      <c r="AS32" s="844"/>
      <c r="AT32" s="845"/>
      <c r="AU32" s="1064"/>
      <c r="AV32" s="1065"/>
      <c r="AW32" s="1065"/>
      <c r="AX32" s="1065"/>
      <c r="AY32" s="1065"/>
      <c r="AZ32" s="1065"/>
      <c r="BA32" s="1066"/>
      <c r="BB32" s="833"/>
      <c r="BC32" s="834"/>
      <c r="BD32" s="834"/>
      <c r="BE32" s="834"/>
      <c r="BF32" s="834"/>
      <c r="BG32" s="834"/>
      <c r="BH32" s="835"/>
      <c r="BI32" s="1054"/>
      <c r="BJ32" s="1055"/>
      <c r="BK32" s="1055"/>
      <c r="BL32" s="1056"/>
      <c r="BM32" s="1055"/>
      <c r="BN32" s="1055"/>
      <c r="BO32" s="1055"/>
      <c r="BP32" s="1056"/>
      <c r="BQ32" s="836"/>
      <c r="BR32" s="836"/>
      <c r="BS32" s="475"/>
    </row>
    <row r="33" spans="1:113" ht="30" customHeight="1" x14ac:dyDescent="0.15">
      <c r="A33" s="258"/>
      <c r="B33" s="258">
        <v>6</v>
      </c>
      <c r="C33" s="808" t="str">
        <f>IF(ISERROR(MATCH(B33,予選学校名!$H$3:$H$18,0)),"",INDEX(予選学校名!$H$3:$K$18,MATCH(B33,予選学校名!$H$3:$H$18,0),2))</f>
        <v>野々市</v>
      </c>
      <c r="D33" s="1070" t="s">
        <v>167</v>
      </c>
      <c r="E33" s="838"/>
      <c r="F33" s="838"/>
      <c r="G33" s="838"/>
      <c r="H33" s="838"/>
      <c r="I33" s="838"/>
      <c r="J33" s="839"/>
      <c r="K33" s="1070" t="s">
        <v>169</v>
      </c>
      <c r="L33" s="838"/>
      <c r="M33" s="838"/>
      <c r="N33" s="838"/>
      <c r="O33" s="838"/>
      <c r="P33" s="838"/>
      <c r="Q33" s="839"/>
      <c r="R33" s="1008"/>
      <c r="S33" s="810"/>
      <c r="T33" s="810"/>
      <c r="U33" s="1009"/>
      <c r="V33" s="1009"/>
      <c r="W33" s="1009"/>
      <c r="X33" s="1010"/>
      <c r="Y33" s="1050"/>
      <c r="Z33" s="1030"/>
      <c r="AA33" s="1030"/>
      <c r="AB33" s="542"/>
      <c r="AC33" s="1030"/>
      <c r="AD33" s="1030"/>
      <c r="AE33" s="1051"/>
      <c r="AF33" s="836" t="str">
        <f>IF(COUNT(D34:AE34)=0,"",COUNTIF(D33:AE33,"○")*3+COUNTIF(D33:AE33,"△"))</f>
        <v/>
      </c>
      <c r="AG33" s="836" t="str">
        <f>IF(AF33="","",SUM(V25:V36)/2-SUM(T25:T36))</f>
        <v/>
      </c>
      <c r="AH33" s="836" t="str">
        <f>IF(AF33="","",SUM(V25:V36)/2)</f>
        <v/>
      </c>
      <c r="AI33" s="836" t="str">
        <f>IF(OR(AF33="",MOD(COUNT(D33:AE33),2)=1),"",RANK(AJ33,$AJ$25:$AJ$40))</f>
        <v/>
      </c>
      <c r="AJ33" s="475" t="str">
        <f>IF(OR(AF33="",MOD(COUNT(D33:AE33),2)=1),"",AF33*10000+AG33*100+AH33)</f>
        <v/>
      </c>
      <c r="AK33" s="475"/>
      <c r="AL33" s="258">
        <v>12</v>
      </c>
      <c r="AM33" s="808" t="str">
        <f>IF(ISERROR(MATCH(AL33,予選学校名!$H$3:$H$18,0)),"",INDEX(予選学校名!$H$3:$K$18,MATCH(AL33,予選学校名!$H$3:$H$18,0),2))</f>
        <v>光野･笠間</v>
      </c>
      <c r="AN33" s="1070" t="s">
        <v>171</v>
      </c>
      <c r="AO33" s="838"/>
      <c r="AP33" s="838"/>
      <c r="AQ33" s="838"/>
      <c r="AR33" s="838"/>
      <c r="AS33" s="838"/>
      <c r="AT33" s="839"/>
      <c r="AU33" s="1070" t="s">
        <v>170</v>
      </c>
      <c r="AV33" s="838"/>
      <c r="AW33" s="838"/>
      <c r="AX33" s="838"/>
      <c r="AY33" s="838"/>
      <c r="AZ33" s="838"/>
      <c r="BA33" s="839"/>
      <c r="BB33" s="1071"/>
      <c r="BC33" s="1072"/>
      <c r="BD33" s="1072"/>
      <c r="BE33" s="1073"/>
      <c r="BF33" s="1073"/>
      <c r="BG33" s="1073"/>
      <c r="BH33" s="1074"/>
      <c r="BI33" s="818" t="str">
        <f>IF(COUNT(AN34:BH34)=0,"",COUNTIF(AN33:BH33,"○")*3+COUNTIF(AN33:BH33,"△"))</f>
        <v/>
      </c>
      <c r="BJ33" s="819"/>
      <c r="BK33" s="819"/>
      <c r="BL33" s="820"/>
      <c r="BM33" s="819" t="str">
        <f>IF(BI33="","",SUM(BF25:BF36)/2-SUM(BD25:BD36))</f>
        <v/>
      </c>
      <c r="BN33" s="819"/>
      <c r="BO33" s="819"/>
      <c r="BP33" s="820"/>
      <c r="BQ33" s="836" t="str">
        <f>IF(BI33="","",SUM(BF25:BF36)/2)</f>
        <v/>
      </c>
      <c r="BR33" s="836" t="str">
        <f>IF(OR(BI33="",MOD(COUNT(AN33:BH33),2)=1),"",RANK(BS33,$BS$10:$BS$21))</f>
        <v/>
      </c>
      <c r="BS33" s="475" t="str">
        <f>IF(OR(BQ33="",MOD(COUNT(AN33:BP33),2)=1),"",BQ33*10000+BR33*100+#REF!)</f>
        <v/>
      </c>
    </row>
    <row r="34" spans="1:113" ht="14.25" customHeight="1" x14ac:dyDescent="0.15">
      <c r="A34" s="258"/>
      <c r="C34" s="808"/>
      <c r="D34" s="840"/>
      <c r="E34" s="841"/>
      <c r="F34" s="841"/>
      <c r="G34" s="841"/>
      <c r="H34" s="841"/>
      <c r="I34" s="841"/>
      <c r="J34" s="842"/>
      <c r="K34" s="840"/>
      <c r="L34" s="841"/>
      <c r="M34" s="841"/>
      <c r="N34" s="841"/>
      <c r="O34" s="841"/>
      <c r="P34" s="841"/>
      <c r="Q34" s="842"/>
      <c r="R34" s="1011"/>
      <c r="S34" s="1012"/>
      <c r="T34" s="1012"/>
      <c r="U34" s="1012"/>
      <c r="V34" s="1012"/>
      <c r="W34" s="1012"/>
      <c r="X34" s="1013"/>
      <c r="Y34" s="549"/>
      <c r="AE34" s="550"/>
      <c r="AF34" s="836"/>
      <c r="AG34" s="836"/>
      <c r="AH34" s="836"/>
      <c r="AI34" s="836"/>
      <c r="AJ34" s="475"/>
      <c r="AK34" s="475"/>
      <c r="AM34" s="808"/>
      <c r="AN34" s="840"/>
      <c r="AO34" s="841"/>
      <c r="AP34" s="841"/>
      <c r="AQ34" s="841"/>
      <c r="AR34" s="841"/>
      <c r="AS34" s="841"/>
      <c r="AT34" s="842"/>
      <c r="AU34" s="840"/>
      <c r="AV34" s="841"/>
      <c r="AW34" s="841"/>
      <c r="AX34" s="841"/>
      <c r="AY34" s="841"/>
      <c r="AZ34" s="841"/>
      <c r="BA34" s="842"/>
      <c r="BB34" s="1075"/>
      <c r="BC34" s="1076"/>
      <c r="BD34" s="1076"/>
      <c r="BE34" s="1076"/>
      <c r="BF34" s="1076"/>
      <c r="BG34" s="1076"/>
      <c r="BH34" s="1077"/>
      <c r="BI34" s="1052"/>
      <c r="BJ34" s="805"/>
      <c r="BK34" s="805"/>
      <c r="BL34" s="1053"/>
      <c r="BM34" s="805"/>
      <c r="BN34" s="805"/>
      <c r="BO34" s="805"/>
      <c r="BP34" s="1053"/>
      <c r="BQ34" s="836"/>
      <c r="BR34" s="836"/>
      <c r="BS34" s="475"/>
    </row>
    <row r="35" spans="1:113" ht="14.25" customHeight="1" x14ac:dyDescent="0.15">
      <c r="A35" s="258"/>
      <c r="C35" s="808"/>
      <c r="D35" s="840"/>
      <c r="E35" s="841"/>
      <c r="F35" s="841"/>
      <c r="G35" s="841"/>
      <c r="H35" s="841"/>
      <c r="I35" s="841"/>
      <c r="J35" s="842"/>
      <c r="K35" s="840"/>
      <c r="L35" s="841"/>
      <c r="M35" s="841"/>
      <c r="N35" s="841"/>
      <c r="O35" s="841"/>
      <c r="P35" s="841"/>
      <c r="Q35" s="842"/>
      <c r="R35" s="1011"/>
      <c r="S35" s="1012"/>
      <c r="T35" s="1012"/>
      <c r="U35" s="1012"/>
      <c r="V35" s="1012"/>
      <c r="W35" s="1012"/>
      <c r="X35" s="1013"/>
      <c r="Y35" s="549"/>
      <c r="AE35" s="550"/>
      <c r="AF35" s="836"/>
      <c r="AG35" s="836"/>
      <c r="AH35" s="836"/>
      <c r="AI35" s="836"/>
      <c r="AJ35" s="475"/>
      <c r="AK35" s="475"/>
      <c r="AM35" s="808"/>
      <c r="AN35" s="840"/>
      <c r="AO35" s="841"/>
      <c r="AP35" s="841"/>
      <c r="AQ35" s="841"/>
      <c r="AR35" s="841"/>
      <c r="AS35" s="841"/>
      <c r="AT35" s="842"/>
      <c r="AU35" s="840"/>
      <c r="AV35" s="841"/>
      <c r="AW35" s="841"/>
      <c r="AX35" s="841"/>
      <c r="AY35" s="841"/>
      <c r="AZ35" s="841"/>
      <c r="BA35" s="842"/>
      <c r="BB35" s="1075"/>
      <c r="BC35" s="1076"/>
      <c r="BD35" s="1076"/>
      <c r="BE35" s="1076"/>
      <c r="BF35" s="1076"/>
      <c r="BG35" s="1076"/>
      <c r="BH35" s="1077"/>
      <c r="BI35" s="1052"/>
      <c r="BJ35" s="805"/>
      <c r="BK35" s="805"/>
      <c r="BL35" s="1053"/>
      <c r="BM35" s="805"/>
      <c r="BN35" s="805"/>
      <c r="BO35" s="805"/>
      <c r="BP35" s="1053"/>
      <c r="BQ35" s="836"/>
      <c r="BR35" s="836"/>
      <c r="BS35" s="475"/>
    </row>
    <row r="36" spans="1:113" ht="3.75" customHeight="1" x14ac:dyDescent="0.15">
      <c r="A36" s="258"/>
      <c r="C36" s="808"/>
      <c r="D36" s="843"/>
      <c r="E36" s="844"/>
      <c r="F36" s="844"/>
      <c r="G36" s="844"/>
      <c r="H36" s="844"/>
      <c r="I36" s="844"/>
      <c r="J36" s="845"/>
      <c r="K36" s="843"/>
      <c r="L36" s="844"/>
      <c r="M36" s="844"/>
      <c r="N36" s="844"/>
      <c r="O36" s="844"/>
      <c r="P36" s="844"/>
      <c r="Q36" s="845"/>
      <c r="R36" s="1014"/>
      <c r="S36" s="1015"/>
      <c r="T36" s="1015"/>
      <c r="U36" s="1015"/>
      <c r="V36" s="1015"/>
      <c r="W36" s="1015"/>
      <c r="X36" s="1016"/>
      <c r="Y36" s="551"/>
      <c r="Z36" s="552"/>
      <c r="AA36" s="552"/>
      <c r="AB36" s="553"/>
      <c r="AC36" s="552"/>
      <c r="AD36" s="552"/>
      <c r="AE36" s="554"/>
      <c r="AF36" s="836"/>
      <c r="AG36" s="836"/>
      <c r="AH36" s="836"/>
      <c r="AI36" s="836"/>
      <c r="AJ36" s="475"/>
      <c r="AK36" s="475"/>
      <c r="AM36" s="808"/>
      <c r="AN36" s="843"/>
      <c r="AO36" s="844"/>
      <c r="AP36" s="844"/>
      <c r="AQ36" s="844"/>
      <c r="AR36" s="844"/>
      <c r="AS36" s="844"/>
      <c r="AT36" s="845"/>
      <c r="AU36" s="843"/>
      <c r="AV36" s="844"/>
      <c r="AW36" s="844"/>
      <c r="AX36" s="844"/>
      <c r="AY36" s="844"/>
      <c r="AZ36" s="844"/>
      <c r="BA36" s="845"/>
      <c r="BB36" s="1078"/>
      <c r="BC36" s="1079"/>
      <c r="BD36" s="1079"/>
      <c r="BE36" s="1079"/>
      <c r="BF36" s="1079"/>
      <c r="BG36" s="1079"/>
      <c r="BH36" s="1080"/>
      <c r="BI36" s="1054"/>
      <c r="BJ36" s="1055"/>
      <c r="BK36" s="1055"/>
      <c r="BL36" s="1056"/>
      <c r="BM36" s="1055"/>
      <c r="BN36" s="1055"/>
      <c r="BO36" s="1055"/>
      <c r="BP36" s="1056"/>
      <c r="BQ36" s="836"/>
      <c r="BR36" s="836"/>
      <c r="BS36" s="475"/>
    </row>
    <row r="37" spans="1:113" x14ac:dyDescent="0.15">
      <c r="A37" s="258"/>
      <c r="C37" s="1030"/>
      <c r="D37" s="819"/>
      <c r="E37" s="819"/>
      <c r="F37" s="819"/>
      <c r="G37" s="463"/>
      <c r="H37" s="819"/>
      <c r="I37" s="819"/>
      <c r="J37" s="819"/>
      <c r="K37" s="819"/>
      <c r="L37" s="819"/>
      <c r="M37" s="819"/>
      <c r="N37" s="463"/>
      <c r="O37" s="819"/>
      <c r="P37" s="819"/>
      <c r="Q37" s="819"/>
      <c r="R37" s="819"/>
      <c r="S37" s="819"/>
      <c r="T37" s="819"/>
      <c r="U37" s="463"/>
      <c r="V37" s="819"/>
      <c r="W37" s="819"/>
      <c r="X37" s="819"/>
      <c r="Y37" s="1030"/>
      <c r="Z37" s="1030"/>
      <c r="AA37" s="1030"/>
      <c r="AB37" s="542"/>
      <c r="AC37" s="1030"/>
      <c r="AD37" s="1030"/>
      <c r="AE37" s="1030"/>
      <c r="AF37" s="1030"/>
      <c r="AG37" s="1030"/>
      <c r="AH37" s="1030"/>
      <c r="AI37" s="1030"/>
      <c r="AJ37" s="475"/>
      <c r="AK37" s="475"/>
      <c r="AM37" s="1081"/>
      <c r="AN37" s="838"/>
      <c r="AO37" s="838"/>
      <c r="AP37" s="838"/>
      <c r="AQ37" s="838"/>
      <c r="AR37" s="838"/>
      <c r="AS37" s="838"/>
      <c r="AT37" s="838"/>
      <c r="AU37" s="838"/>
      <c r="AV37" s="838"/>
      <c r="AW37" s="838"/>
      <c r="AX37" s="838"/>
      <c r="AY37" s="838"/>
      <c r="AZ37" s="838"/>
      <c r="BA37" s="838"/>
      <c r="BB37" s="838"/>
      <c r="BC37" s="838"/>
      <c r="BD37" s="838"/>
      <c r="BE37" s="838"/>
      <c r="BF37" s="838"/>
      <c r="BG37" s="838"/>
      <c r="BH37" s="838"/>
      <c r="BI37" s="1082"/>
      <c r="BJ37" s="1082"/>
      <c r="BK37" s="1082"/>
      <c r="BL37" s="1083"/>
      <c r="BM37" s="1083"/>
      <c r="BN37" s="1083"/>
      <c r="BO37" s="1083"/>
      <c r="BP37" s="1083"/>
      <c r="BQ37" s="1030"/>
      <c r="BR37" s="1030"/>
      <c r="BS37" s="475" t="str">
        <f>IF(OR(BQ37="",MOD(COUNT(AN37:BP37),2)=1),"",BQ37*10000+BR37*100+#REF!)</f>
        <v/>
      </c>
      <c r="BV37" s="1032" t="s">
        <v>93</v>
      </c>
      <c r="BW37" s="1032"/>
      <c r="BX37" s="1032"/>
      <c r="BY37" s="1032"/>
      <c r="BZ37" s="1032"/>
      <c r="CA37" s="1032"/>
      <c r="CB37" s="1032"/>
      <c r="CC37" s="1032"/>
      <c r="CD37" s="1032"/>
      <c r="CE37" s="1032"/>
      <c r="CF37" s="1032"/>
      <c r="CG37" s="1032"/>
      <c r="CH37" s="1032"/>
      <c r="CI37" s="1032"/>
      <c r="CJ37" s="1032"/>
      <c r="CK37" s="1032"/>
      <c r="CL37" s="1032"/>
      <c r="CM37" s="1032"/>
      <c r="CN37" s="1032"/>
      <c r="CO37" s="1032"/>
      <c r="CP37" s="1032"/>
      <c r="CQ37" s="1032"/>
      <c r="CR37" s="1032"/>
      <c r="CS37" s="1032"/>
      <c r="CT37" s="1032"/>
      <c r="CU37" s="1032"/>
      <c r="CV37" s="1032"/>
    </row>
    <row r="38" spans="1:113" x14ac:dyDescent="0.15">
      <c r="A38" s="258"/>
      <c r="C38" s="915"/>
      <c r="AF38" s="915"/>
      <c r="AG38" s="915"/>
      <c r="AH38" s="915"/>
      <c r="AI38" s="915"/>
      <c r="AJ38" s="475"/>
      <c r="AK38" s="475"/>
      <c r="AM38" s="1031"/>
      <c r="AN38" s="841"/>
      <c r="AO38" s="841"/>
      <c r="AP38" s="841"/>
      <c r="AQ38" s="841"/>
      <c r="AR38" s="841"/>
      <c r="AS38" s="841"/>
      <c r="AT38" s="841"/>
      <c r="AU38" s="841"/>
      <c r="AV38" s="841"/>
      <c r="AW38" s="841"/>
      <c r="AX38" s="841"/>
      <c r="AY38" s="841"/>
      <c r="AZ38" s="841"/>
      <c r="BA38" s="841"/>
      <c r="BB38" s="841"/>
      <c r="BC38" s="841"/>
      <c r="BD38" s="841"/>
      <c r="BE38" s="841"/>
      <c r="BF38" s="841"/>
      <c r="BG38" s="841"/>
      <c r="BH38" s="841"/>
      <c r="BI38" s="1084"/>
      <c r="BJ38" s="1084"/>
      <c r="BK38" s="1084"/>
      <c r="BL38" s="1084"/>
      <c r="BM38" s="1084"/>
      <c r="BN38" s="1084"/>
      <c r="BO38" s="1084"/>
      <c r="BP38" s="1084"/>
      <c r="BQ38" s="915"/>
      <c r="BR38" s="915"/>
      <c r="BS38" s="475"/>
      <c r="BV38" s="1032"/>
      <c r="BW38" s="1032"/>
      <c r="BX38" s="1032"/>
      <c r="BY38" s="1032"/>
      <c r="BZ38" s="1032"/>
      <c r="CA38" s="1032"/>
      <c r="CB38" s="1032"/>
      <c r="CC38" s="1032"/>
      <c r="CD38" s="1032"/>
      <c r="CE38" s="1032"/>
      <c r="CF38" s="1032"/>
      <c r="CG38" s="1032"/>
      <c r="CH38" s="1032"/>
      <c r="CI38" s="1032"/>
      <c r="CJ38" s="1032"/>
      <c r="CK38" s="1032"/>
      <c r="CL38" s="1032"/>
      <c r="CM38" s="1032"/>
      <c r="CN38" s="1032"/>
      <c r="CO38" s="1032"/>
      <c r="CP38" s="1032"/>
      <c r="CQ38" s="1032"/>
      <c r="CR38" s="1032"/>
      <c r="CS38" s="1032"/>
      <c r="CT38" s="1032"/>
      <c r="CU38" s="1032"/>
      <c r="CV38" s="1032"/>
    </row>
    <row r="39" spans="1:113" x14ac:dyDescent="0.15">
      <c r="A39" s="258"/>
      <c r="C39" s="915"/>
      <c r="AF39" s="915"/>
      <c r="AG39" s="915"/>
      <c r="AH39" s="915"/>
      <c r="AI39" s="915"/>
      <c r="AJ39" s="475"/>
      <c r="AK39" s="475"/>
      <c r="AM39" s="1031"/>
      <c r="AN39" s="841"/>
      <c r="AO39" s="841"/>
      <c r="AP39" s="841"/>
      <c r="AQ39" s="841"/>
      <c r="AR39" s="841"/>
      <c r="AS39" s="841"/>
      <c r="AT39" s="841"/>
      <c r="AU39" s="841"/>
      <c r="AV39" s="841"/>
      <c r="AW39" s="841"/>
      <c r="AX39" s="841"/>
      <c r="AY39" s="841"/>
      <c r="AZ39" s="841"/>
      <c r="BA39" s="841"/>
      <c r="BB39" s="841"/>
      <c r="BC39" s="841"/>
      <c r="BD39" s="841"/>
      <c r="BE39" s="841"/>
      <c r="BF39" s="841"/>
      <c r="BG39" s="841"/>
      <c r="BH39" s="841"/>
      <c r="BI39" s="1084"/>
      <c r="BJ39" s="1084"/>
      <c r="BK39" s="1084"/>
      <c r="BL39" s="1084"/>
      <c r="BM39" s="1084"/>
      <c r="BN39" s="1084"/>
      <c r="BO39" s="1084"/>
      <c r="BP39" s="1084"/>
      <c r="BQ39" s="915"/>
      <c r="BR39" s="915"/>
      <c r="BS39" s="475"/>
      <c r="BV39" s="1032"/>
      <c r="BW39" s="1032"/>
      <c r="BX39" s="1032"/>
      <c r="BY39" s="1032"/>
      <c r="BZ39" s="1032"/>
      <c r="CA39" s="1032"/>
      <c r="CB39" s="1032"/>
      <c r="CC39" s="1032"/>
      <c r="CD39" s="1032"/>
      <c r="CE39" s="1032"/>
      <c r="CF39" s="1032"/>
      <c r="CG39" s="1032"/>
      <c r="CH39" s="1032"/>
      <c r="CI39" s="1032"/>
      <c r="CJ39" s="1032"/>
      <c r="CK39" s="1032"/>
      <c r="CL39" s="1032"/>
      <c r="CM39" s="1032"/>
      <c r="CN39" s="1032"/>
      <c r="CO39" s="1032"/>
      <c r="CP39" s="1032"/>
      <c r="CQ39" s="1032"/>
      <c r="CR39" s="1032"/>
      <c r="CS39" s="1032"/>
      <c r="CT39" s="1032"/>
      <c r="CU39" s="1032"/>
      <c r="CV39" s="1032"/>
    </row>
    <row r="40" spans="1:113" ht="3.75" customHeight="1" x14ac:dyDescent="0.15">
      <c r="A40" s="258"/>
      <c r="C40" s="915"/>
      <c r="AF40" s="915"/>
      <c r="AG40" s="915"/>
      <c r="AH40" s="915"/>
      <c r="AI40" s="915"/>
      <c r="AJ40" s="475"/>
      <c r="AK40" s="475"/>
      <c r="AM40" s="1031"/>
      <c r="AN40" s="841"/>
      <c r="AO40" s="841"/>
      <c r="AP40" s="841"/>
      <c r="AQ40" s="841"/>
      <c r="AR40" s="841"/>
      <c r="AS40" s="841"/>
      <c r="AT40" s="841"/>
      <c r="AU40" s="841"/>
      <c r="AV40" s="841"/>
      <c r="AW40" s="841"/>
      <c r="AX40" s="841"/>
      <c r="AY40" s="841"/>
      <c r="AZ40" s="841"/>
      <c r="BA40" s="841"/>
      <c r="BB40" s="841"/>
      <c r="BC40" s="841"/>
      <c r="BD40" s="841"/>
      <c r="BE40" s="841"/>
      <c r="BF40" s="841"/>
      <c r="BG40" s="841"/>
      <c r="BH40" s="841"/>
      <c r="BI40" s="1084"/>
      <c r="BJ40" s="1084"/>
      <c r="BK40" s="1084"/>
      <c r="BL40" s="1084"/>
      <c r="BM40" s="1084"/>
      <c r="BN40" s="1084"/>
      <c r="BO40" s="1084"/>
      <c r="BP40" s="1084"/>
      <c r="BQ40" s="915"/>
      <c r="BR40" s="915"/>
      <c r="BS40" s="475"/>
    </row>
    <row r="42" spans="1:113" ht="43.5" customHeight="1" x14ac:dyDescent="0.15">
      <c r="A42" s="258"/>
      <c r="BV42" s="543" t="s">
        <v>146</v>
      </c>
      <c r="CT42" s="543" t="s">
        <v>147</v>
      </c>
    </row>
    <row r="43" spans="1:113" ht="22.5" customHeight="1" x14ac:dyDescent="0.15">
      <c r="A43" s="258"/>
      <c r="BY43" s="1033" t="s">
        <v>95</v>
      </c>
      <c r="BZ43" s="1033"/>
      <c r="CA43" s="1033"/>
      <c r="CB43" s="544" t="str">
        <f>IF(I3="","",I3)</f>
        <v/>
      </c>
      <c r="CW43" s="1033" t="s">
        <v>148</v>
      </c>
      <c r="CX43" s="1033"/>
      <c r="CY43" s="1033"/>
      <c r="CZ43" s="545" t="str">
        <f>IF(AP3="","",AP3)</f>
        <v/>
      </c>
    </row>
    <row r="44" spans="1:113" ht="3" customHeight="1" x14ac:dyDescent="0.15">
      <c r="A44" s="258"/>
      <c r="BY44" s="270"/>
      <c r="BZ44" s="270"/>
      <c r="CA44" s="270"/>
      <c r="CB44" s="544"/>
      <c r="CW44" s="270"/>
      <c r="CX44" s="270"/>
      <c r="CY44" s="270"/>
      <c r="CZ44" s="545"/>
    </row>
    <row r="45" spans="1:113" x14ac:dyDescent="0.15">
      <c r="A45" s="258"/>
      <c r="CE45" s="916"/>
      <c r="DC45" s="916"/>
    </row>
    <row r="46" spans="1:113" x14ac:dyDescent="0.15">
      <c r="CC46" s="1033" t="str">
        <f>IF(CC49="","",SUM(CC49:CD52))</f>
        <v/>
      </c>
      <c r="CD46" s="1033"/>
      <c r="CE46" s="916"/>
      <c r="CG46" s="1035" t="str">
        <f>IF(CG49="","",SUM(CG49:CH52))</f>
        <v/>
      </c>
      <c r="CH46" s="1035"/>
      <c r="DA46" s="1033" t="str">
        <f>IF(DA49="","",SUM(DA49:DB52))</f>
        <v/>
      </c>
      <c r="DB46" s="1033"/>
      <c r="DC46" s="916"/>
      <c r="DE46" s="1035" t="str">
        <f>IF(DE49="","",SUM(DE49:DF52))</f>
        <v/>
      </c>
      <c r="DF46" s="1035"/>
    </row>
    <row r="47" spans="1:113" s="546" customFormat="1" hidden="1" x14ac:dyDescent="0.15">
      <c r="A47" s="507"/>
      <c r="D47" s="507"/>
      <c r="E47" s="507"/>
      <c r="F47" s="489"/>
      <c r="G47" s="487"/>
      <c r="H47" s="490"/>
      <c r="I47" s="507"/>
      <c r="J47" s="507"/>
      <c r="K47" s="507"/>
      <c r="L47" s="507"/>
      <c r="M47" s="489"/>
      <c r="N47" s="487"/>
      <c r="O47" s="490"/>
      <c r="P47" s="507"/>
      <c r="Q47" s="507"/>
      <c r="R47" s="507"/>
      <c r="S47" s="507"/>
      <c r="T47" s="489"/>
      <c r="U47" s="487"/>
      <c r="V47" s="448"/>
      <c r="W47" s="507"/>
      <c r="X47" s="507"/>
      <c r="AB47" s="488"/>
      <c r="AN47" s="507"/>
      <c r="AO47" s="507"/>
      <c r="AP47" s="489"/>
      <c r="AQ47" s="487"/>
      <c r="AR47" s="490"/>
      <c r="AS47" s="507"/>
      <c r="AT47" s="507"/>
      <c r="AU47" s="507"/>
      <c r="AV47" s="507"/>
      <c r="AW47" s="489"/>
      <c r="AX47" s="487"/>
      <c r="AY47" s="490"/>
      <c r="AZ47" s="507"/>
      <c r="BA47" s="507"/>
      <c r="BB47" s="507"/>
      <c r="BC47" s="507"/>
      <c r="BD47" s="489"/>
      <c r="BE47" s="487"/>
      <c r="BF47" s="490"/>
      <c r="BG47" s="507"/>
      <c r="BH47" s="507"/>
      <c r="BI47" s="507"/>
      <c r="BJ47" s="507"/>
      <c r="BK47" s="489"/>
      <c r="BL47" s="487"/>
      <c r="BM47" s="487"/>
      <c r="BN47" s="490"/>
      <c r="BO47" s="507"/>
      <c r="BP47" s="507"/>
      <c r="BS47" s="258"/>
      <c r="CC47" s="1037" t="str">
        <f>IF(CC49="","",SUM(CC49:CD53))</f>
        <v/>
      </c>
      <c r="CD47" s="1037"/>
      <c r="CE47" s="916"/>
      <c r="CG47" s="1038" t="str">
        <f>IF(CG49="","",SUM(CG49:CH53))</f>
        <v/>
      </c>
      <c r="CH47" s="1038"/>
      <c r="DA47" s="1037" t="str">
        <f>IF(DA49="","",SUM(DA49:DB53))</f>
        <v/>
      </c>
      <c r="DB47" s="1037"/>
      <c r="DC47" s="916"/>
      <c r="DE47" s="1038" t="str">
        <f>IF(DE49="","",SUM(DE49:DF53))</f>
        <v/>
      </c>
      <c r="DF47" s="1038"/>
    </row>
    <row r="48" spans="1:113" ht="7.5" customHeight="1" thickBot="1" x14ac:dyDescent="0.2">
      <c r="BZ48" s="1036"/>
      <c r="CA48" s="1036"/>
      <c r="CB48" s="1036"/>
      <c r="CC48" s="1036"/>
      <c r="CD48" s="1036"/>
      <c r="CE48" s="1034"/>
      <c r="CF48" s="1036"/>
      <c r="CG48" s="1036"/>
      <c r="CH48" s="1036"/>
      <c r="CI48" s="1036"/>
      <c r="CJ48" s="1036"/>
      <c r="CK48" s="1036"/>
      <c r="CX48" s="1036"/>
      <c r="CY48" s="1036"/>
      <c r="CZ48" s="1036"/>
      <c r="DA48" s="1036"/>
      <c r="DB48" s="1036"/>
      <c r="DC48" s="1034"/>
      <c r="DD48" s="1036"/>
      <c r="DE48" s="1036"/>
      <c r="DF48" s="1036"/>
      <c r="DG48" s="1036"/>
      <c r="DH48" s="1036"/>
      <c r="DI48" s="1036"/>
    </row>
    <row r="49" spans="1:120" ht="14.25" customHeight="1" thickTop="1" x14ac:dyDescent="0.15">
      <c r="BW49" s="1040" t="str">
        <f>IF(BW55=CA55,"",IF(CA55&lt;BW55,BV63,CB63))</f>
        <v/>
      </c>
      <c r="BX49" s="1040"/>
      <c r="BY49" s="916"/>
      <c r="CC49" s="1033"/>
      <c r="CD49" s="1033"/>
      <c r="CE49" s="915" t="s">
        <v>92</v>
      </c>
      <c r="CF49" s="915"/>
      <c r="CG49" s="1035"/>
      <c r="CH49" s="1035"/>
      <c r="CL49" s="1041"/>
      <c r="CM49" s="1043" t="str">
        <f>IF(CI55=CM55,"",IF(CM55&lt;CI55,CH63,CN63))</f>
        <v/>
      </c>
      <c r="CN49" s="1043"/>
      <c r="CU49" s="1040" t="str">
        <f>IF(CU55=CY55,"",IF(CY55&lt;CU55,CT63,CZ63))</f>
        <v/>
      </c>
      <c r="CV49" s="1040"/>
      <c r="CW49" s="916"/>
      <c r="DA49" s="1033"/>
      <c r="DB49" s="1033"/>
      <c r="DC49" s="915" t="s">
        <v>92</v>
      </c>
      <c r="DD49" s="915"/>
      <c r="DE49" s="1035"/>
      <c r="DF49" s="1035"/>
      <c r="DJ49" s="1041"/>
      <c r="DK49" s="1043" t="str">
        <f>IF(DG55=DK55,"",IF(DK55&lt;DG55,DF63,DL63))</f>
        <v/>
      </c>
      <c r="DL49" s="1043"/>
    </row>
    <row r="50" spans="1:120" x14ac:dyDescent="0.15">
      <c r="BW50" s="1040"/>
      <c r="BX50" s="1040"/>
      <c r="BY50" s="916"/>
      <c r="CC50" s="1033"/>
      <c r="CD50" s="1033"/>
      <c r="CE50" s="915" t="s">
        <v>92</v>
      </c>
      <c r="CF50" s="915"/>
      <c r="CG50" s="1035"/>
      <c r="CH50" s="1035"/>
      <c r="CL50" s="1041"/>
      <c r="CM50" s="1043"/>
      <c r="CN50" s="1043"/>
      <c r="CU50" s="1040"/>
      <c r="CV50" s="1040"/>
      <c r="CW50" s="916"/>
      <c r="DA50" s="1033"/>
      <c r="DB50" s="1033"/>
      <c r="DC50" s="915" t="s">
        <v>92</v>
      </c>
      <c r="DD50" s="915"/>
      <c r="DE50" s="1035"/>
      <c r="DF50" s="1035"/>
      <c r="DJ50" s="1041"/>
      <c r="DK50" s="1043"/>
      <c r="DL50" s="1043"/>
    </row>
    <row r="51" spans="1:120" x14ac:dyDescent="0.15">
      <c r="A51" s="290" t="str">
        <f>IF(CC47=CG47,"",IF(BW49=BV63,CB63,BV63))</f>
        <v/>
      </c>
      <c r="BW51" s="1040"/>
      <c r="BX51" s="1040"/>
      <c r="BY51" s="916"/>
      <c r="CC51" s="805" t="s">
        <v>175</v>
      </c>
      <c r="CD51" s="805"/>
      <c r="CE51" s="805"/>
      <c r="CF51" s="805"/>
      <c r="CG51" s="805"/>
      <c r="CH51" s="805"/>
      <c r="CL51" s="1041"/>
      <c r="CM51" s="1043"/>
      <c r="CN51" s="1043"/>
      <c r="CU51" s="1040"/>
      <c r="CV51" s="1040"/>
      <c r="CW51" s="916"/>
      <c r="DA51" s="805" t="s">
        <v>176</v>
      </c>
      <c r="DB51" s="805"/>
      <c r="DC51" s="805"/>
      <c r="DD51" s="805"/>
      <c r="DE51" s="805"/>
      <c r="DF51" s="805"/>
      <c r="DJ51" s="1041"/>
      <c r="DK51" s="1043"/>
      <c r="DL51" s="1043"/>
    </row>
    <row r="52" spans="1:120" x14ac:dyDescent="0.15">
      <c r="A52" s="290" t="str">
        <f>IF(CC47=CG47,"",IF(CM49=CN63,CH63,CN63))</f>
        <v/>
      </c>
      <c r="BW52" s="1040"/>
      <c r="BX52" s="1040"/>
      <c r="BY52" s="916"/>
      <c r="CC52" s="1085">
        <v>0.58333333333333337</v>
      </c>
      <c r="CD52" s="1085"/>
      <c r="CE52" s="1085"/>
      <c r="CF52" s="1085"/>
      <c r="CG52" s="1085"/>
      <c r="CH52" s="1085"/>
      <c r="CL52" s="1041"/>
      <c r="CM52" s="1043"/>
      <c r="CN52" s="1043"/>
      <c r="CU52" s="1040"/>
      <c r="CV52" s="1040"/>
      <c r="CW52" s="916"/>
      <c r="DA52" s="1085">
        <v>0.54166666666666663</v>
      </c>
      <c r="DB52" s="1085"/>
      <c r="DC52" s="1085"/>
      <c r="DD52" s="1085"/>
      <c r="DE52" s="1085"/>
      <c r="DF52" s="1085"/>
      <c r="DJ52" s="1041"/>
      <c r="DK52" s="1043"/>
      <c r="DL52" s="1043"/>
    </row>
    <row r="53" spans="1:120" x14ac:dyDescent="0.15">
      <c r="BY53" s="916"/>
      <c r="CC53" s="1033"/>
      <c r="CD53" s="1033"/>
      <c r="CE53" s="915" t="str">
        <f>IF(CC53="","","PK")</f>
        <v/>
      </c>
      <c r="CF53" s="915"/>
      <c r="CG53" s="1035"/>
      <c r="CH53" s="1035"/>
      <c r="CL53" s="1041"/>
      <c r="CW53" s="916"/>
      <c r="DA53" s="1033"/>
      <c r="DB53" s="1033"/>
      <c r="DC53" s="915" t="str">
        <f>IF(DA53="","","PK")</f>
        <v/>
      </c>
      <c r="DD53" s="915"/>
      <c r="DE53" s="1035"/>
      <c r="DF53" s="1035"/>
      <c r="DJ53" s="1041"/>
    </row>
    <row r="54" spans="1:120" x14ac:dyDescent="0.15">
      <c r="BW54" s="1033" t="str">
        <f>IF(BW57="","",SUM(BW57:BX60))</f>
        <v/>
      </c>
      <c r="BX54" s="1033"/>
      <c r="BY54" s="916"/>
      <c r="CA54" s="1035" t="str">
        <f>IF(CA57="","",SUM(CA57:CB60))</f>
        <v/>
      </c>
      <c r="CB54" s="1035"/>
      <c r="CE54" s="915"/>
      <c r="CF54" s="915"/>
      <c r="CI54" s="1033" t="str">
        <f>IF(CI57="","",SUM(CI57:CJ60))</f>
        <v/>
      </c>
      <c r="CJ54" s="1033"/>
      <c r="CL54" s="1041"/>
      <c r="CM54" s="1035" t="str">
        <f>IF(CM57="","",SUM(CM57:CN60))</f>
        <v/>
      </c>
      <c r="CN54" s="1035"/>
      <c r="CU54" s="1033" t="str">
        <f>IF(CU57="","",SUM(CU57:CV60))</f>
        <v/>
      </c>
      <c r="CV54" s="1033"/>
      <c r="CW54" s="916"/>
      <c r="CY54" s="1035" t="str">
        <f>IF(CY57="","",SUM(CY57:CZ60))</f>
        <v/>
      </c>
      <c r="CZ54" s="1035"/>
      <c r="DC54" s="915"/>
      <c r="DD54" s="915"/>
      <c r="DG54" s="1033" t="str">
        <f>IF(DG57="","",SUM(DG57:DH60))</f>
        <v/>
      </c>
      <c r="DH54" s="1033"/>
      <c r="DJ54" s="1041"/>
      <c r="DK54" s="1035" t="str">
        <f>IF(DK57="","",SUM(DK57:DL60))</f>
        <v/>
      </c>
      <c r="DL54" s="1035"/>
    </row>
    <row r="55" spans="1:120" s="546" customFormat="1" hidden="1" x14ac:dyDescent="0.15">
      <c r="A55" s="507"/>
      <c r="D55" s="507"/>
      <c r="E55" s="507"/>
      <c r="F55" s="489"/>
      <c r="G55" s="487"/>
      <c r="H55" s="490"/>
      <c r="I55" s="507"/>
      <c r="J55" s="507"/>
      <c r="K55" s="507"/>
      <c r="L55" s="507"/>
      <c r="M55" s="489"/>
      <c r="N55" s="487"/>
      <c r="O55" s="490"/>
      <c r="P55" s="507"/>
      <c r="Q55" s="507"/>
      <c r="R55" s="507"/>
      <c r="S55" s="507"/>
      <c r="T55" s="489"/>
      <c r="U55" s="487"/>
      <c r="V55" s="448"/>
      <c r="W55" s="507"/>
      <c r="X55" s="507"/>
      <c r="AB55" s="488"/>
      <c r="AN55" s="507"/>
      <c r="AO55" s="507"/>
      <c r="AP55" s="489"/>
      <c r="AQ55" s="487"/>
      <c r="AR55" s="490"/>
      <c r="AS55" s="507"/>
      <c r="AT55" s="507"/>
      <c r="AU55" s="507"/>
      <c r="AV55" s="507"/>
      <c r="AW55" s="489"/>
      <c r="AX55" s="487"/>
      <c r="AY55" s="490"/>
      <c r="AZ55" s="507"/>
      <c r="BA55" s="507"/>
      <c r="BB55" s="507"/>
      <c r="BC55" s="507"/>
      <c r="BD55" s="489"/>
      <c r="BE55" s="487"/>
      <c r="BF55" s="490"/>
      <c r="BG55" s="507"/>
      <c r="BH55" s="507"/>
      <c r="BI55" s="507"/>
      <c r="BJ55" s="507"/>
      <c r="BK55" s="489"/>
      <c r="BL55" s="487"/>
      <c r="BM55" s="487"/>
      <c r="BN55" s="490"/>
      <c r="BO55" s="507"/>
      <c r="BP55" s="507"/>
      <c r="BS55" s="258"/>
      <c r="BW55" s="1037" t="str">
        <f>IF(BW57="","",SUM(BW57:BX61))</f>
        <v/>
      </c>
      <c r="BX55" s="1037"/>
      <c r="BY55" s="916"/>
      <c r="CA55" s="1038" t="str">
        <f>IF(CA57="","",SUM(CA57:CB61))</f>
        <v/>
      </c>
      <c r="CB55" s="1038"/>
      <c r="CI55" s="1037" t="str">
        <f>IF(CI57="","",SUM(CI57:CJ61))</f>
        <v/>
      </c>
      <c r="CJ55" s="1037"/>
      <c r="CL55" s="1041"/>
      <c r="CM55" s="1038" t="str">
        <f>IF(CM57="","",SUM(CM57:CN61))</f>
        <v/>
      </c>
      <c r="CN55" s="1038"/>
      <c r="CU55" s="1037" t="str">
        <f>IF(CU57="","",SUM(CU57:CV61))</f>
        <v/>
      </c>
      <c r="CV55" s="1037"/>
      <c r="CW55" s="916"/>
      <c r="CY55" s="1038" t="str">
        <f>IF(CY57="","",SUM(CY57:CZ61))</f>
        <v/>
      </c>
      <c r="CZ55" s="1038"/>
      <c r="DG55" s="1037" t="str">
        <f>IF(DG57="","",SUM(DG57:DH61))</f>
        <v/>
      </c>
      <c r="DH55" s="1037"/>
      <c r="DJ55" s="1041"/>
      <c r="DK55" s="1038" t="str">
        <f>IF(DK57="","",SUM(DK57:DL61))</f>
        <v/>
      </c>
      <c r="DL55" s="1038"/>
    </row>
    <row r="56" spans="1:120" ht="7.5" customHeight="1" thickBot="1" x14ac:dyDescent="0.2">
      <c r="BW56" s="1036"/>
      <c r="BX56" s="1036"/>
      <c r="BY56" s="1034"/>
      <c r="BZ56" s="1036"/>
      <c r="CA56" s="1036"/>
      <c r="CB56" s="1036"/>
      <c r="CI56" s="1036"/>
      <c r="CJ56" s="1036"/>
      <c r="CK56" s="1036"/>
      <c r="CL56" s="1042"/>
      <c r="CM56" s="1036"/>
      <c r="CN56" s="1036"/>
      <c r="CU56" s="1036"/>
      <c r="CV56" s="1036"/>
      <c r="CW56" s="1034"/>
      <c r="CX56" s="1036"/>
      <c r="CY56" s="1036"/>
      <c r="CZ56" s="1036"/>
      <c r="DG56" s="1036"/>
      <c r="DH56" s="1036"/>
      <c r="DI56" s="1036"/>
      <c r="DJ56" s="1042"/>
      <c r="DK56" s="1036"/>
      <c r="DL56" s="1036"/>
    </row>
    <row r="57" spans="1:120" ht="15" thickTop="1" x14ac:dyDescent="0.15">
      <c r="BV57" s="916"/>
      <c r="BW57" s="1033"/>
      <c r="BX57" s="1033"/>
      <c r="BY57" s="915" t="s">
        <v>92</v>
      </c>
      <c r="BZ57" s="915"/>
      <c r="CA57" s="1035"/>
      <c r="CB57" s="1035"/>
      <c r="CC57" s="1041"/>
      <c r="CH57" s="916"/>
      <c r="CI57" s="1033"/>
      <c r="CJ57" s="1033"/>
      <c r="CK57" s="915" t="s">
        <v>92</v>
      </c>
      <c r="CL57" s="915"/>
      <c r="CM57" s="1035"/>
      <c r="CN57" s="1035"/>
      <c r="CO57" s="1041"/>
      <c r="CT57" s="916"/>
      <c r="CU57" s="1033"/>
      <c r="CV57" s="1033"/>
      <c r="CW57" s="915" t="s">
        <v>92</v>
      </c>
      <c r="CX57" s="915"/>
      <c r="CY57" s="1035"/>
      <c r="CZ57" s="1035"/>
      <c r="DA57" s="1041"/>
      <c r="DF57" s="916"/>
      <c r="DG57" s="1033"/>
      <c r="DH57" s="1033"/>
      <c r="DI57" s="915" t="s">
        <v>92</v>
      </c>
      <c r="DJ57" s="915"/>
      <c r="DK57" s="1035"/>
      <c r="DL57" s="1035"/>
      <c r="DM57" s="1041"/>
    </row>
    <row r="58" spans="1:120" x14ac:dyDescent="0.15">
      <c r="BV58" s="916"/>
      <c r="BW58" s="1033"/>
      <c r="BX58" s="1033"/>
      <c r="BY58" s="915" t="s">
        <v>92</v>
      </c>
      <c r="BZ58" s="915"/>
      <c r="CA58" s="1035"/>
      <c r="CB58" s="1035"/>
      <c r="CC58" s="1041"/>
      <c r="CH58" s="916"/>
      <c r="CI58" s="1033"/>
      <c r="CJ58" s="1033"/>
      <c r="CK58" s="915" t="s">
        <v>92</v>
      </c>
      <c r="CL58" s="915"/>
      <c r="CM58" s="1035"/>
      <c r="CN58" s="1035"/>
      <c r="CO58" s="1041"/>
      <c r="CT58" s="916"/>
      <c r="CU58" s="1033"/>
      <c r="CV58" s="1033"/>
      <c r="CW58" s="915" t="s">
        <v>92</v>
      </c>
      <c r="CX58" s="915"/>
      <c r="CY58" s="1035"/>
      <c r="CZ58" s="1035"/>
      <c r="DA58" s="1041"/>
      <c r="DF58" s="916"/>
      <c r="DG58" s="1033"/>
      <c r="DH58" s="1033"/>
      <c r="DI58" s="915" t="s">
        <v>92</v>
      </c>
      <c r="DJ58" s="915"/>
      <c r="DK58" s="1035"/>
      <c r="DL58" s="1035"/>
      <c r="DM58" s="1041"/>
    </row>
    <row r="59" spans="1:120" x14ac:dyDescent="0.15">
      <c r="BV59" s="916"/>
      <c r="BW59" s="1052" t="s">
        <v>175</v>
      </c>
      <c r="BX59" s="805"/>
      <c r="BY59" s="805"/>
      <c r="BZ59" s="805"/>
      <c r="CA59" s="805"/>
      <c r="CB59" s="1053"/>
      <c r="CC59" s="1041"/>
      <c r="CH59" s="916"/>
      <c r="CI59" s="1052" t="s">
        <v>176</v>
      </c>
      <c r="CJ59" s="805"/>
      <c r="CK59" s="805"/>
      <c r="CL59" s="805"/>
      <c r="CM59" s="805"/>
      <c r="CN59" s="1053"/>
      <c r="CO59" s="1041"/>
      <c r="CT59" s="916"/>
      <c r="CU59" s="1052" t="s">
        <v>176</v>
      </c>
      <c r="CV59" s="805"/>
      <c r="CW59" s="805"/>
      <c r="CX59" s="805"/>
      <c r="CY59" s="805"/>
      <c r="CZ59" s="1053"/>
      <c r="DA59" s="1041"/>
      <c r="DF59" s="916"/>
      <c r="DG59" s="1052" t="s">
        <v>175</v>
      </c>
      <c r="DH59" s="805"/>
      <c r="DI59" s="805"/>
      <c r="DJ59" s="805"/>
      <c r="DK59" s="805"/>
      <c r="DL59" s="1053"/>
      <c r="DM59" s="1041"/>
    </row>
    <row r="60" spans="1:120" x14ac:dyDescent="0.15">
      <c r="BV60" s="916"/>
      <c r="BW60" s="1086">
        <v>0.44444444444444442</v>
      </c>
      <c r="BX60" s="1087"/>
      <c r="BY60" s="1087"/>
      <c r="BZ60" s="1087"/>
      <c r="CA60" s="1087"/>
      <c r="CB60" s="1088"/>
      <c r="CC60" s="1041"/>
      <c r="CH60" s="916"/>
      <c r="CI60" s="1086">
        <v>0.44444444444444442</v>
      </c>
      <c r="CJ60" s="1087"/>
      <c r="CK60" s="1087"/>
      <c r="CL60" s="1087"/>
      <c r="CM60" s="1087"/>
      <c r="CN60" s="1088"/>
      <c r="CO60" s="1041"/>
      <c r="CT60" s="916"/>
      <c r="CU60" s="1089">
        <v>0.375</v>
      </c>
      <c r="CV60" s="1085"/>
      <c r="CW60" s="1085"/>
      <c r="CX60" s="1085"/>
      <c r="CY60" s="1085"/>
      <c r="CZ60" s="1090"/>
      <c r="DA60" s="1041"/>
      <c r="DF60" s="916"/>
      <c r="DG60" s="1089">
        <v>0.375</v>
      </c>
      <c r="DH60" s="1085"/>
      <c r="DI60" s="1085"/>
      <c r="DJ60" s="1085"/>
      <c r="DK60" s="1085"/>
      <c r="DL60" s="1090"/>
      <c r="DM60" s="1041"/>
    </row>
    <row r="61" spans="1:120" x14ac:dyDescent="0.15">
      <c r="BV61" s="916"/>
      <c r="BW61" s="1033"/>
      <c r="BX61" s="1033"/>
      <c r="BY61" s="915" t="str">
        <f>IF(BW61="","","PK")</f>
        <v/>
      </c>
      <c r="BZ61" s="915"/>
      <c r="CA61" s="1035"/>
      <c r="CB61" s="1035"/>
      <c r="CC61" s="1041"/>
      <c r="CH61" s="916"/>
      <c r="CI61" s="1033"/>
      <c r="CJ61" s="1033"/>
      <c r="CK61" s="915" t="str">
        <f>IF(CI61="","","PK")</f>
        <v/>
      </c>
      <c r="CL61" s="915"/>
      <c r="CM61" s="1035"/>
      <c r="CN61" s="1035"/>
      <c r="CO61" s="1041"/>
      <c r="CT61" s="916"/>
      <c r="CU61" s="1033"/>
      <c r="CV61" s="1033"/>
      <c r="CW61" s="915" t="str">
        <f>IF(CU61="","","PK")</f>
        <v/>
      </c>
      <c r="CX61" s="915"/>
      <c r="CY61" s="1035"/>
      <c r="CZ61" s="1035"/>
      <c r="DA61" s="1041"/>
      <c r="DF61" s="916"/>
      <c r="DG61" s="1033"/>
      <c r="DH61" s="1033"/>
      <c r="DI61" s="915" t="str">
        <f>IF(DG61="","","PK")</f>
        <v/>
      </c>
      <c r="DJ61" s="915"/>
      <c r="DK61" s="1035"/>
      <c r="DL61" s="1035"/>
      <c r="DM61" s="1041"/>
    </row>
    <row r="62" spans="1:120" x14ac:dyDescent="0.15">
      <c r="BV62" s="916"/>
      <c r="BY62" s="915"/>
      <c r="BZ62" s="915"/>
      <c r="CC62" s="1041"/>
      <c r="CH62" s="916"/>
      <c r="CK62" s="915"/>
      <c r="CL62" s="915"/>
      <c r="CO62" s="1041"/>
      <c r="CT62" s="916"/>
      <c r="CW62" s="915"/>
      <c r="CX62" s="915"/>
      <c r="DA62" s="1041"/>
      <c r="DF62" s="916"/>
      <c r="DI62" s="915"/>
      <c r="DJ62" s="915"/>
      <c r="DM62" s="1041"/>
    </row>
    <row r="63" spans="1:120" ht="183.75" customHeight="1" x14ac:dyDescent="0.15">
      <c r="BV63" s="1044" t="str">
        <f>IF(ISERROR(MATCH(1,$AI$10:$AI$21,0)),"A1位(　　　　　)",INDEX($C$10:$C$21,MATCH(1,$AI$10:$AI$21,0),1))</f>
        <v>A1位(　　　　　)</v>
      </c>
      <c r="BW63" s="1044"/>
      <c r="BX63" s="547"/>
      <c r="BY63" s="547"/>
      <c r="BZ63" s="547"/>
      <c r="CA63" s="547"/>
      <c r="CB63" s="1044" t="str">
        <f>IF(ISERROR(MATCH(1,#REF!,0)),"D1位(　　　　　)",INDEX($AM$25:$AM$40,MATCH(1,#REF!,0),1))</f>
        <v>D1位(　　　　　)</v>
      </c>
      <c r="CC63" s="1044"/>
      <c r="CD63" s="547"/>
      <c r="CE63" s="547"/>
      <c r="CF63" s="547"/>
      <c r="CG63" s="547"/>
      <c r="CH63" s="1044" t="str">
        <f>IF(ISERROR(MATCH(1,#REF!,0)),"C1位(　　　　　)",INDEX($AM$10:$AM$21,MATCH(1,#REF!,0),1))</f>
        <v>C1位(　　　　　)</v>
      </c>
      <c r="CI63" s="1044"/>
      <c r="CJ63" s="547"/>
      <c r="CK63" s="547"/>
      <c r="CL63" s="547"/>
      <c r="CM63" s="547"/>
      <c r="CN63" s="1044" t="str">
        <f>IF(ISERROR(MATCH(1,$AI$25:$AI$40,0)),"B1位(　　　　　)",INDEX($C$25:$C$40,MATCH(1,$AI$25:$AI$40,0),1))</f>
        <v>B1位(　　　　　)</v>
      </c>
      <c r="CO63" s="1044"/>
      <c r="CP63" s="547"/>
      <c r="CQ63" s="547"/>
      <c r="CR63" s="547"/>
      <c r="CS63" s="547"/>
      <c r="CT63" s="1044" t="str">
        <f>IF(ISERROR(MATCH(2,$AI$10:$AI$21,0)),"A2位(　　　　　)",INDEX($C$10:$C$21,MATCH(2,$AI$10:$AI$21,0),1))</f>
        <v>A2位(　　　　　)</v>
      </c>
      <c r="CU63" s="1044"/>
      <c r="CV63" s="547"/>
      <c r="CW63" s="547"/>
      <c r="CX63" s="547"/>
      <c r="CY63" s="547"/>
      <c r="CZ63" s="1044" t="str">
        <f>IF(ISERROR(MATCH(2,#REF!,0)),"D2位(　　　　　)",INDEX($AM$25:$AM$40,MATCH(2,#REF!,0),1))</f>
        <v>D2位(　　　　　)</v>
      </c>
      <c r="DA63" s="1044"/>
      <c r="DB63" s="547"/>
      <c r="DC63" s="547"/>
      <c r="DD63" s="547"/>
      <c r="DE63" s="547"/>
      <c r="DF63" s="1044" t="str">
        <f>IF(ISERROR(MATCH(2,#REF!,0)),"C2位(　　　　　)",INDEX($AM$10:$AM$21,MATCH(2,#REF!,0),1))</f>
        <v>C2位(　　　　　)</v>
      </c>
      <c r="DG63" s="1044"/>
      <c r="DH63" s="547"/>
      <c r="DI63" s="547"/>
      <c r="DJ63" s="547"/>
      <c r="DK63" s="547"/>
      <c r="DL63" s="1044" t="str">
        <f>IF(ISERROR(MATCH(2,$AI$25:$AI$40,0)),"B2位(　　　　　)",INDEX($C$25:$C$40,MATCH(2,$AI$25:$AI$40,0),1))</f>
        <v>B2位(　　　　　)</v>
      </c>
      <c r="DM63" s="1044"/>
      <c r="DN63" s="475"/>
      <c r="DO63" s="475"/>
      <c r="DP63" s="475"/>
    </row>
  </sheetData>
  <mergeCells count="299">
    <mergeCell ref="CW62:CX62"/>
    <mergeCell ref="DI62:DJ62"/>
    <mergeCell ref="CM61:CN61"/>
    <mergeCell ref="CU61:CV61"/>
    <mergeCell ref="DF63:DG63"/>
    <mergeCell ref="DL63:DM63"/>
    <mergeCell ref="BI24:BL24"/>
    <mergeCell ref="BM24:BP24"/>
    <mergeCell ref="BI25:BL28"/>
    <mergeCell ref="BM25:BP28"/>
    <mergeCell ref="BI29:BL32"/>
    <mergeCell ref="BM29:BP32"/>
    <mergeCell ref="BI33:BL36"/>
    <mergeCell ref="BM33:BP36"/>
    <mergeCell ref="BV63:BW63"/>
    <mergeCell ref="CB63:CC63"/>
    <mergeCell ref="CH63:CI63"/>
    <mergeCell ref="CN63:CO63"/>
    <mergeCell ref="CT63:CU63"/>
    <mergeCell ref="CZ63:DA63"/>
    <mergeCell ref="CY61:CZ61"/>
    <mergeCell ref="DG61:DH61"/>
    <mergeCell ref="DI61:DJ61"/>
    <mergeCell ref="DK61:DL61"/>
    <mergeCell ref="BY62:BZ62"/>
    <mergeCell ref="CK62:CL62"/>
    <mergeCell ref="DM57:DM62"/>
    <mergeCell ref="BW58:BX58"/>
    <mergeCell ref="BY58:BZ58"/>
    <mergeCell ref="CA58:CB58"/>
    <mergeCell ref="CI58:CJ58"/>
    <mergeCell ref="CK58:CL58"/>
    <mergeCell ref="CM58:CN58"/>
    <mergeCell ref="CU58:CV58"/>
    <mergeCell ref="CW58:CX58"/>
    <mergeCell ref="CW57:CX57"/>
    <mergeCell ref="CY57:CZ57"/>
    <mergeCell ref="DA57:DA62"/>
    <mergeCell ref="DF57:DF62"/>
    <mergeCell ref="DG57:DH57"/>
    <mergeCell ref="DI57:DJ57"/>
    <mergeCell ref="CY58:CZ58"/>
    <mergeCell ref="DG58:DH58"/>
    <mergeCell ref="DI58:DJ58"/>
    <mergeCell ref="CW61:CX61"/>
    <mergeCell ref="CI57:CJ57"/>
    <mergeCell ref="CK57:CL57"/>
    <mergeCell ref="CM57:CN57"/>
    <mergeCell ref="CO57:CO62"/>
    <mergeCell ref="DK58:DL58"/>
    <mergeCell ref="DG56:DI56"/>
    <mergeCell ref="DK56:DL56"/>
    <mergeCell ref="BV57:BV62"/>
    <mergeCell ref="BW57:BX57"/>
    <mergeCell ref="BY57:BZ57"/>
    <mergeCell ref="CA57:CB57"/>
    <mergeCell ref="CC57:CC62"/>
    <mergeCell ref="CH57:CH62"/>
    <mergeCell ref="BW61:BX61"/>
    <mergeCell ref="BY61:BZ61"/>
    <mergeCell ref="CA61:CB61"/>
    <mergeCell ref="DK57:DL57"/>
    <mergeCell ref="BW59:CB59"/>
    <mergeCell ref="CI59:CN59"/>
    <mergeCell ref="CU59:CZ59"/>
    <mergeCell ref="DG59:DL59"/>
    <mergeCell ref="BW60:CB60"/>
    <mergeCell ref="CI60:CN60"/>
    <mergeCell ref="CU60:CZ60"/>
    <mergeCell ref="DG60:DL60"/>
    <mergeCell ref="CT57:CT62"/>
    <mergeCell ref="CU57:CV57"/>
    <mergeCell ref="CI61:CJ61"/>
    <mergeCell ref="CK61:CL61"/>
    <mergeCell ref="DG54:DH54"/>
    <mergeCell ref="DK54:DL54"/>
    <mergeCell ref="BW55:BX55"/>
    <mergeCell ref="CA55:CB55"/>
    <mergeCell ref="CI55:CJ55"/>
    <mergeCell ref="CM55:CN55"/>
    <mergeCell ref="CU55:CV55"/>
    <mergeCell ref="CY55:CZ55"/>
    <mergeCell ref="BW54:BX54"/>
    <mergeCell ref="CA54:CB54"/>
    <mergeCell ref="CE54:CF54"/>
    <mergeCell ref="CI54:CJ54"/>
    <mergeCell ref="CM54:CN54"/>
    <mergeCell ref="CU54:CV54"/>
    <mergeCell ref="DJ49:DJ56"/>
    <mergeCell ref="DK49:DL52"/>
    <mergeCell ref="CC50:CD50"/>
    <mergeCell ref="CE50:CF50"/>
    <mergeCell ref="CG50:CH50"/>
    <mergeCell ref="DA50:DB50"/>
    <mergeCell ref="DC50:DD50"/>
    <mergeCell ref="DE50:DF50"/>
    <mergeCell ref="DG55:DH55"/>
    <mergeCell ref="DK55:DL55"/>
    <mergeCell ref="DA51:DF51"/>
    <mergeCell ref="CM49:CN52"/>
    <mergeCell ref="CU49:CV52"/>
    <mergeCell ref="CW49:CW56"/>
    <mergeCell ref="DA49:DB49"/>
    <mergeCell ref="DC49:DD49"/>
    <mergeCell ref="DE49:DF49"/>
    <mergeCell ref="DA52:DF52"/>
    <mergeCell ref="DA53:DB53"/>
    <mergeCell ref="DC53:DD53"/>
    <mergeCell ref="DE53:DF53"/>
    <mergeCell ref="CY54:CZ54"/>
    <mergeCell ref="DC54:DD54"/>
    <mergeCell ref="CM56:CN56"/>
    <mergeCell ref="CU56:CV56"/>
    <mergeCell ref="CX56:CZ56"/>
    <mergeCell ref="BW49:BX52"/>
    <mergeCell ref="BY49:BY56"/>
    <mergeCell ref="CC49:CD49"/>
    <mergeCell ref="CE49:CF49"/>
    <mergeCell ref="CG49:CH49"/>
    <mergeCell ref="CL49:CL56"/>
    <mergeCell ref="CC52:CH52"/>
    <mergeCell ref="CC53:CD53"/>
    <mergeCell ref="CE53:CF53"/>
    <mergeCell ref="CG53:CH53"/>
    <mergeCell ref="CC51:CH51"/>
    <mergeCell ref="BW56:BX56"/>
    <mergeCell ref="BZ56:CB56"/>
    <mergeCell ref="CI56:CK56"/>
    <mergeCell ref="DE46:DF46"/>
    <mergeCell ref="CC47:CD47"/>
    <mergeCell ref="CG47:CH47"/>
    <mergeCell ref="DA47:DB47"/>
    <mergeCell ref="DE47:DF47"/>
    <mergeCell ref="BZ48:CD48"/>
    <mergeCell ref="CF48:CK48"/>
    <mergeCell ref="CX48:DB48"/>
    <mergeCell ref="DD48:DI48"/>
    <mergeCell ref="BY43:CA43"/>
    <mergeCell ref="CW43:CY43"/>
    <mergeCell ref="CE45:CE48"/>
    <mergeCell ref="DC45:DC48"/>
    <mergeCell ref="CC46:CD46"/>
    <mergeCell ref="CG46:CH46"/>
    <mergeCell ref="DA46:DB46"/>
    <mergeCell ref="BI37:BP40"/>
    <mergeCell ref="BQ37:BQ40"/>
    <mergeCell ref="BR37:BR40"/>
    <mergeCell ref="BV37:CV39"/>
    <mergeCell ref="AN37:AT40"/>
    <mergeCell ref="AU37:BA40"/>
    <mergeCell ref="BB37:BH40"/>
    <mergeCell ref="R37:T37"/>
    <mergeCell ref="V37:X37"/>
    <mergeCell ref="Y37:AA37"/>
    <mergeCell ref="AC37:AE37"/>
    <mergeCell ref="AF37:AF40"/>
    <mergeCell ref="AG37:AG40"/>
    <mergeCell ref="BQ33:BQ36"/>
    <mergeCell ref="BR33:BR36"/>
    <mergeCell ref="C37:C40"/>
    <mergeCell ref="D37:F37"/>
    <mergeCell ref="H37:J37"/>
    <mergeCell ref="K37:M37"/>
    <mergeCell ref="O37:Q37"/>
    <mergeCell ref="AH33:AH36"/>
    <mergeCell ref="AI33:AI36"/>
    <mergeCell ref="AM33:AM36"/>
    <mergeCell ref="AN33:AT36"/>
    <mergeCell ref="AU33:BA36"/>
    <mergeCell ref="BB33:BH36"/>
    <mergeCell ref="C33:C36"/>
    <mergeCell ref="D33:J36"/>
    <mergeCell ref="K33:Q36"/>
    <mergeCell ref="R33:X36"/>
    <mergeCell ref="Y33:AA33"/>
    <mergeCell ref="AC33:AE33"/>
    <mergeCell ref="AF33:AF36"/>
    <mergeCell ref="AG33:AG36"/>
    <mergeCell ref="AH37:AH40"/>
    <mergeCell ref="AI37:AI40"/>
    <mergeCell ref="AM37:AM40"/>
    <mergeCell ref="BQ25:BQ28"/>
    <mergeCell ref="BR25:BR28"/>
    <mergeCell ref="C29:C32"/>
    <mergeCell ref="D29:J32"/>
    <mergeCell ref="K29:Q32"/>
    <mergeCell ref="R29:X32"/>
    <mergeCell ref="Y29:AA29"/>
    <mergeCell ref="AH25:AH28"/>
    <mergeCell ref="AI25:AI28"/>
    <mergeCell ref="AM25:AM28"/>
    <mergeCell ref="AN25:AT28"/>
    <mergeCell ref="AU25:BA28"/>
    <mergeCell ref="BB25:BH28"/>
    <mergeCell ref="AN29:AT32"/>
    <mergeCell ref="AU29:BA32"/>
    <mergeCell ref="BB29:BH32"/>
    <mergeCell ref="BQ29:BQ32"/>
    <mergeCell ref="BR29:BR32"/>
    <mergeCell ref="AC29:AE29"/>
    <mergeCell ref="AF29:AF32"/>
    <mergeCell ref="AG29:AG32"/>
    <mergeCell ref="AH29:AH32"/>
    <mergeCell ref="AI29:AI32"/>
    <mergeCell ref="AM29:AM32"/>
    <mergeCell ref="BB24:BH24"/>
    <mergeCell ref="C25:C28"/>
    <mergeCell ref="D25:J28"/>
    <mergeCell ref="K25:Q28"/>
    <mergeCell ref="R25:X28"/>
    <mergeCell ref="Y25:AA25"/>
    <mergeCell ref="AC25:AE25"/>
    <mergeCell ref="AF25:AF28"/>
    <mergeCell ref="AG25:AG28"/>
    <mergeCell ref="D24:J24"/>
    <mergeCell ref="K24:Q24"/>
    <mergeCell ref="R24:X24"/>
    <mergeCell ref="Y24:AE24"/>
    <mergeCell ref="AN24:AT24"/>
    <mergeCell ref="AU24:BA24"/>
    <mergeCell ref="AU18:BA21"/>
    <mergeCell ref="BB18:BH21"/>
    <mergeCell ref="BI18:BL21"/>
    <mergeCell ref="BM18:BP21"/>
    <mergeCell ref="BQ18:BQ21"/>
    <mergeCell ref="BR18:BR21"/>
    <mergeCell ref="AF18:AF21"/>
    <mergeCell ref="AG18:AG21"/>
    <mergeCell ref="AH18:AH21"/>
    <mergeCell ref="AI18:AI21"/>
    <mergeCell ref="AM18:AM21"/>
    <mergeCell ref="AN18:AT21"/>
    <mergeCell ref="C18:C21"/>
    <mergeCell ref="D18:J21"/>
    <mergeCell ref="K18:Q21"/>
    <mergeCell ref="R18:X21"/>
    <mergeCell ref="Y18:AA18"/>
    <mergeCell ref="AC18:AE18"/>
    <mergeCell ref="AI14:AI17"/>
    <mergeCell ref="AM14:AM17"/>
    <mergeCell ref="AN14:AT17"/>
    <mergeCell ref="C14:C17"/>
    <mergeCell ref="D14:J17"/>
    <mergeCell ref="K14:Q17"/>
    <mergeCell ref="R14:X17"/>
    <mergeCell ref="Y14:AA14"/>
    <mergeCell ref="AC14:AE14"/>
    <mergeCell ref="AF14:AF17"/>
    <mergeCell ref="AG14:AG17"/>
    <mergeCell ref="AH14:AH17"/>
    <mergeCell ref="BQ10:BQ13"/>
    <mergeCell ref="BR10:BR13"/>
    <mergeCell ref="AF10:AF13"/>
    <mergeCell ref="AG10:AG13"/>
    <mergeCell ref="AH10:AH13"/>
    <mergeCell ref="AI10:AI13"/>
    <mergeCell ref="AM10:AM13"/>
    <mergeCell ref="AN10:AT13"/>
    <mergeCell ref="BM14:BP17"/>
    <mergeCell ref="BQ14:BQ17"/>
    <mergeCell ref="BR14:BR17"/>
    <mergeCell ref="AU14:BA17"/>
    <mergeCell ref="BB14:BH17"/>
    <mergeCell ref="BI14:BL17"/>
    <mergeCell ref="BI9:BL9"/>
    <mergeCell ref="BM9:BP9"/>
    <mergeCell ref="C10:C13"/>
    <mergeCell ref="D10:J13"/>
    <mergeCell ref="K10:Q13"/>
    <mergeCell ref="R10:X13"/>
    <mergeCell ref="Y10:AA10"/>
    <mergeCell ref="AC10:AE10"/>
    <mergeCell ref="AU10:BA13"/>
    <mergeCell ref="BB10:BH13"/>
    <mergeCell ref="BI10:BL13"/>
    <mergeCell ref="BM10:BP13"/>
    <mergeCell ref="I6:AG6"/>
    <mergeCell ref="AH6:AI6"/>
    <mergeCell ref="D9:J9"/>
    <mergeCell ref="K9:Q9"/>
    <mergeCell ref="R9:X9"/>
    <mergeCell ref="Y9:AE9"/>
    <mergeCell ref="AN9:AT9"/>
    <mergeCell ref="AU9:BA9"/>
    <mergeCell ref="BB9:BH9"/>
    <mergeCell ref="CL1:CM1"/>
    <mergeCell ref="F4:H4"/>
    <mergeCell ref="I4:AG4"/>
    <mergeCell ref="AH4:AI4"/>
    <mergeCell ref="F5:H5"/>
    <mergeCell ref="I5:AG5"/>
    <mergeCell ref="AH5:AI5"/>
    <mergeCell ref="C1:BR1"/>
    <mergeCell ref="F3:H3"/>
    <mergeCell ref="I3:AG3"/>
    <mergeCell ref="AH3:AI3"/>
    <mergeCell ref="AK3:AM3"/>
    <mergeCell ref="AP3:BJ3"/>
    <mergeCell ref="BK3:BP3"/>
  </mergeCells>
  <phoneticPr fontId="2"/>
  <conditionalFormatting sqref="BV57:BV62">
    <cfRule type="expression" dxfId="141" priority="32" stopIfTrue="1">
      <formula>$BW$55&lt;=$CA$55</formula>
    </cfRule>
  </conditionalFormatting>
  <conditionalFormatting sqref="BW56:BX56">
    <cfRule type="expression" dxfId="140" priority="29" stopIfTrue="1">
      <formula>$BW$55&lt;=$CA$55</formula>
    </cfRule>
  </conditionalFormatting>
  <conditionalFormatting sqref="BY49:BY56">
    <cfRule type="expression" dxfId="139" priority="25" stopIfTrue="1">
      <formula>$BW$55=$CA$55</formula>
    </cfRule>
    <cfRule type="expression" dxfId="138" priority="26" stopIfTrue="1">
      <formula>$BW$55&lt;$CA$55</formula>
    </cfRule>
  </conditionalFormatting>
  <conditionalFormatting sqref="BZ56:CB56">
    <cfRule type="expression" dxfId="137" priority="28" stopIfTrue="1">
      <formula>$CA$55&lt;=$BW$55</formula>
    </cfRule>
  </conditionalFormatting>
  <conditionalFormatting sqref="BZ48:CD48">
    <cfRule type="expression" dxfId="136" priority="19" stopIfTrue="1">
      <formula>$CC$47&lt;=$CG$47</formula>
    </cfRule>
  </conditionalFormatting>
  <conditionalFormatting sqref="CC57:CC62">
    <cfRule type="expression" dxfId="135" priority="27" stopIfTrue="1">
      <formula>$CA$55&lt;=$BW$55</formula>
    </cfRule>
  </conditionalFormatting>
  <conditionalFormatting sqref="CE45:CE48">
    <cfRule type="expression" dxfId="134" priority="16" stopIfTrue="1">
      <formula>$CC$47=$CG$47</formula>
    </cfRule>
    <cfRule type="expression" dxfId="133" priority="17" stopIfTrue="1">
      <formula>$CC$47&lt;$CG$47</formula>
    </cfRule>
  </conditionalFormatting>
  <conditionalFormatting sqref="CF48:CK48">
    <cfRule type="expression" dxfId="132" priority="18" stopIfTrue="1">
      <formula>$CG$47&lt;=$CC$47</formula>
    </cfRule>
  </conditionalFormatting>
  <conditionalFormatting sqref="CH57:CH62">
    <cfRule type="expression" dxfId="131" priority="31" stopIfTrue="1">
      <formula>$CI$55&lt;=$CM$55</formula>
    </cfRule>
  </conditionalFormatting>
  <conditionalFormatting sqref="CI56:CK56">
    <cfRule type="expression" dxfId="130" priority="24" stopIfTrue="1">
      <formula>$CI$55&lt;=$CM$55</formula>
    </cfRule>
  </conditionalFormatting>
  <conditionalFormatting sqref="CL49:CL56">
    <cfRule type="expression" dxfId="129" priority="20" stopIfTrue="1">
      <formula>$CM$55=$CI$55</formula>
    </cfRule>
    <cfRule type="expression" dxfId="128" priority="21" stopIfTrue="1">
      <formula>$CM$55&lt;$CI$55</formula>
    </cfRule>
  </conditionalFormatting>
  <conditionalFormatting sqref="CM56:CN56">
    <cfRule type="expression" dxfId="127" priority="23" stopIfTrue="1">
      <formula>$CM$55&lt;=$CI$55</formula>
    </cfRule>
  </conditionalFormatting>
  <conditionalFormatting sqref="CO57:CO62">
    <cfRule type="expression" dxfId="126" priority="22" stopIfTrue="1">
      <formula>$CM$55&lt;=$CI$55</formula>
    </cfRule>
  </conditionalFormatting>
  <conditionalFormatting sqref="CT57:CT62">
    <cfRule type="expression" dxfId="125" priority="30" stopIfTrue="1">
      <formula>$CU$55&lt;=$CY$55</formula>
    </cfRule>
  </conditionalFormatting>
  <conditionalFormatting sqref="CU56:CV56">
    <cfRule type="expression" dxfId="124" priority="14" stopIfTrue="1">
      <formula>$CU$55&lt;=$CY$55</formula>
    </cfRule>
  </conditionalFormatting>
  <conditionalFormatting sqref="CW49:CW56">
    <cfRule type="expression" dxfId="123" priority="10" stopIfTrue="1">
      <formula>$CU$55=$CY$55</formula>
    </cfRule>
    <cfRule type="expression" dxfId="122" priority="11" stopIfTrue="1">
      <formula>$CU$55&lt;$CY$55</formula>
    </cfRule>
  </conditionalFormatting>
  <conditionalFormatting sqref="CX56:CZ56">
    <cfRule type="expression" dxfId="121" priority="13" stopIfTrue="1">
      <formula>$CY$55&lt;=$CU$55</formula>
    </cfRule>
  </conditionalFormatting>
  <conditionalFormatting sqref="CX48:DB48">
    <cfRule type="expression" dxfId="120" priority="4" stopIfTrue="1">
      <formula>$DA$47&lt;=$DE$47</formula>
    </cfRule>
  </conditionalFormatting>
  <conditionalFormatting sqref="DA57:DA62">
    <cfRule type="expression" dxfId="119" priority="12" stopIfTrue="1">
      <formula>$CY$55&lt;=$CU$55</formula>
    </cfRule>
  </conditionalFormatting>
  <conditionalFormatting sqref="DC45:DC48">
    <cfRule type="expression" dxfId="118" priority="1" stopIfTrue="1">
      <formula>$DA$47=$DE$47</formula>
    </cfRule>
    <cfRule type="expression" dxfId="117" priority="2" stopIfTrue="1">
      <formula>$DA$47&lt;$DE$47</formula>
    </cfRule>
  </conditionalFormatting>
  <conditionalFormatting sqref="DD48:DI48">
    <cfRule type="expression" dxfId="116" priority="3" stopIfTrue="1">
      <formula>$DE$47&lt;=$DA$47</formula>
    </cfRule>
  </conditionalFormatting>
  <conditionalFormatting sqref="DF57:DF62">
    <cfRule type="expression" dxfId="115" priority="15" stopIfTrue="1">
      <formula>$DG$55&lt;=$DK$55</formula>
    </cfRule>
  </conditionalFormatting>
  <conditionalFormatting sqref="DG56:DI56">
    <cfRule type="expression" dxfId="114" priority="9" stopIfTrue="1">
      <formula>$DG$55&lt;=$DK$55</formula>
    </cfRule>
  </conditionalFormatting>
  <conditionalFormatting sqref="DJ49:DJ56">
    <cfRule type="expression" dxfId="113" priority="5" stopIfTrue="1">
      <formula>$DK$55=$DG$55</formula>
    </cfRule>
    <cfRule type="expression" dxfId="112" priority="6" stopIfTrue="1">
      <formula>$DK$55&lt;$DG$55</formula>
    </cfRule>
  </conditionalFormatting>
  <conditionalFormatting sqref="DK56:DL56">
    <cfRule type="expression" dxfId="111" priority="8" stopIfTrue="1">
      <formula>$DK$55&lt;=$DG$55</formula>
    </cfRule>
  </conditionalFormatting>
  <conditionalFormatting sqref="DM57:DM62">
    <cfRule type="expression" dxfId="110" priority="7" stopIfTrue="1">
      <formula>$DK$55&lt;=$DG$55</formula>
    </cfRule>
  </conditionalFormatting>
  <printOptions horizontalCentered="1"/>
  <pageMargins left="0.39370078740157483" right="0.39370078740157483" top="0.59055118110236227" bottom="0.59055118110236227" header="0.31496062992125984" footer="0.31496062992125984"/>
  <pageSetup paperSize="9" scale="69"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sheetPr>
  <dimension ref="B1:J19"/>
  <sheetViews>
    <sheetView showGridLines="0" zoomScaleNormal="100" workbookViewId="0">
      <selection activeCell="B10" sqref="B10"/>
    </sheetView>
  </sheetViews>
  <sheetFormatPr defaultColWidth="9" defaultRowHeight="14.25" x14ac:dyDescent="0.2"/>
  <cols>
    <col min="1" max="1" width="2.375" style="303" customWidth="1"/>
    <col min="2" max="2" width="8.375" style="303" customWidth="1"/>
    <col min="3" max="3" width="8.5" style="303" bestFit="1" customWidth="1"/>
    <col min="4" max="4" width="9.5" style="303" bestFit="1" customWidth="1"/>
    <col min="5" max="5" width="12" style="303" customWidth="1"/>
    <col min="6" max="6" width="25" style="303" bestFit="1" customWidth="1"/>
    <col min="7" max="7" width="10.25" style="303" bestFit="1" customWidth="1"/>
    <col min="8" max="8" width="9" style="303"/>
    <col min="9" max="9" width="25" style="303" bestFit="1" customWidth="1"/>
    <col min="10" max="16384" width="9" style="303"/>
  </cols>
  <sheetData>
    <row r="1" spans="2:10" s="298" customFormat="1" ht="15" thickBot="1" x14ac:dyDescent="0.25"/>
    <row r="2" spans="2:10" s="298" customFormat="1" ht="15" hidden="1" thickBot="1" x14ac:dyDescent="0.25">
      <c r="D2" s="298">
        <v>2</v>
      </c>
      <c r="E2" s="298">
        <v>3</v>
      </c>
      <c r="F2" s="298">
        <v>4</v>
      </c>
    </row>
    <row r="3" spans="2:10" ht="15" thickBot="1" x14ac:dyDescent="0.25">
      <c r="B3" s="299" t="s">
        <v>2</v>
      </c>
      <c r="C3" s="300" t="s">
        <v>3</v>
      </c>
      <c r="D3" s="301" t="s">
        <v>4</v>
      </c>
      <c r="E3" s="1091" t="s">
        <v>5</v>
      </c>
      <c r="F3" s="1092"/>
      <c r="G3" s="301" t="s">
        <v>188</v>
      </c>
      <c r="H3" s="302" t="s">
        <v>91</v>
      </c>
    </row>
    <row r="4" spans="2:10" ht="15" thickTop="1" x14ac:dyDescent="0.2">
      <c r="B4" s="304">
        <v>1</v>
      </c>
      <c r="C4" s="435" t="str">
        <f>IF('北(22)'!A3="","",'北(22)'!A3)</f>
        <v>学院附属</v>
      </c>
      <c r="D4" s="306" t="str">
        <f>IF($C4="","",IF(VLOOKUP($C4,予選学校名!$C$3:$F$32,D$2,FALSE)="","",VLOOKUP($C4,予選学校名!$C$3:$F$32,D$2,FALSE)))</f>
        <v>金沢市</v>
      </c>
      <c r="E4" s="306" t="str">
        <f>IF($C4="","",IF(VLOOKUP($C4,予選学校名!$C$3:$F$32,E$2,FALSE)="","",VLOOKUP($C4,予選学校名!$C$3:$F$32,E$2,FALSE)))</f>
        <v/>
      </c>
      <c r="F4" s="306" t="str">
        <f>IF($C4="","",IF(VLOOKUP($C4,予選学校名!$C$3:$F$32,F$2,FALSE)="","",VLOOKUP($C4,予選学校名!$C$3:$F$32,F$2,FALSE)))</f>
        <v>金沢学院大学附属中学校</v>
      </c>
      <c r="G4" s="306" t="s">
        <v>189</v>
      </c>
      <c r="H4" s="307" t="s">
        <v>108</v>
      </c>
      <c r="I4" s="303" t="str">
        <f>IF(E4="",F4,E4&amp;"立"&amp;C4&amp;"中学校")</f>
        <v>金沢学院大学附属中学校</v>
      </c>
      <c r="J4" s="303" t="str">
        <f>G4&amp;H4</f>
        <v>北加賀１位</v>
      </c>
    </row>
    <row r="5" spans="2:10" x14ac:dyDescent="0.2">
      <c r="B5" s="308">
        <v>9</v>
      </c>
      <c r="C5" s="305" t="str">
        <f>IF('北(22)'!A4="","",'北(22)'!A4)</f>
        <v>星稜</v>
      </c>
      <c r="D5" s="306" t="str">
        <f>IF($C5="","",IF(VLOOKUP($C5,予選学校名!$C$3:$F$32,D$2,FALSE)="","",VLOOKUP($C5,予選学校名!$C$3:$F$32,D$2,FALSE)))</f>
        <v>金沢市</v>
      </c>
      <c r="E5" s="306" t="str">
        <f>IF($C5="","",IF(VLOOKUP($C5,予選学校名!$C$3:$F$32,E$2,FALSE)="","",VLOOKUP($C5,予選学校名!$C$3:$F$32,E$2,FALSE)))</f>
        <v/>
      </c>
      <c r="F5" s="306" t="str">
        <f>IF($C5="","",IF(VLOOKUP($C5,予選学校名!$C$3:$F$32,F$2,FALSE)="","",VLOOKUP($C5,予選学校名!$C$3:$F$32,F$2,FALSE)))</f>
        <v>星稜中学校</v>
      </c>
      <c r="G5" s="309" t="s">
        <v>189</v>
      </c>
      <c r="H5" s="310" t="s">
        <v>110</v>
      </c>
      <c r="I5" s="303" t="str">
        <f t="shared" ref="I5:I19" si="0">IF(E5="",F5,E5&amp;"立"&amp;C5&amp;"中学校")</f>
        <v>星稜中学校</v>
      </c>
      <c r="J5" s="303" t="str">
        <f t="shared" ref="J5:J12" si="1">G5&amp;H5</f>
        <v>北加賀２位</v>
      </c>
    </row>
    <row r="6" spans="2:10" x14ac:dyDescent="0.2">
      <c r="B6" s="308">
        <v>8</v>
      </c>
      <c r="C6" s="305" t="str">
        <f>IF('北(22)'!A5="","",'北(22)'!A5)</f>
        <v>兼六</v>
      </c>
      <c r="D6" s="306" t="str">
        <f>IF($C6="","",IF(VLOOKUP($C6,予選学校名!$C$3:$F$32,D$2,FALSE)="","",VLOOKUP($C6,予選学校名!$C$3:$F$32,D$2,FALSE)))</f>
        <v>金沢市</v>
      </c>
      <c r="E6" s="306" t="str">
        <f>IF($C6="","",IF(VLOOKUP($C6,予選学校名!$C$3:$F$32,E$2,FALSE)="","",VLOOKUP($C6,予選学校名!$C$3:$F$32,E$2,FALSE)))</f>
        <v>金沢市</v>
      </c>
      <c r="F6" s="306" t="str">
        <f>IF($C6="","",IF(VLOOKUP($C6,予選学校名!$C$3:$F$32,F$2,FALSE)="","",VLOOKUP($C6,予選学校名!$C$3:$F$32,F$2,FALSE)))</f>
        <v/>
      </c>
      <c r="G6" s="309" t="s">
        <v>189</v>
      </c>
      <c r="H6" s="310" t="s">
        <v>111</v>
      </c>
      <c r="I6" s="303" t="str">
        <f t="shared" si="0"/>
        <v>金沢市立兼六中学校</v>
      </c>
      <c r="J6" s="303" t="str">
        <f t="shared" si="1"/>
        <v>北加賀３位</v>
      </c>
    </row>
    <row r="7" spans="2:10" x14ac:dyDescent="0.2">
      <c r="B7" s="308">
        <v>3</v>
      </c>
      <c r="C7" s="305" t="str">
        <f>IF('北(22)'!A6="","",'北(22)'!A6)</f>
        <v>津幡南</v>
      </c>
      <c r="D7" s="306" t="str">
        <f>IF($C7="","",IF(VLOOKUP($C7,予選学校名!$C$3:$F$32,D$2,FALSE)="","",VLOOKUP($C7,予選学校名!$C$3:$F$32,D$2,FALSE)))</f>
        <v>河北郡</v>
      </c>
      <c r="E7" s="306" t="str">
        <f>IF($C7="","",IF(VLOOKUP($C7,予選学校名!$C$3:$F$32,E$2,FALSE)="","",VLOOKUP($C7,予選学校名!$C$3:$F$32,E$2,FALSE)))</f>
        <v>津幡町</v>
      </c>
      <c r="F7" s="306" t="str">
        <f>IF($C7="","",IF(VLOOKUP($C7,予選学校名!$C$3:$F$32,F$2,FALSE)="","",VLOOKUP($C7,予選学校名!$C$3:$F$32,F$2,FALSE)))</f>
        <v/>
      </c>
      <c r="G7" s="309" t="s">
        <v>189</v>
      </c>
      <c r="H7" s="310" t="s">
        <v>111</v>
      </c>
      <c r="I7" s="303" t="str">
        <f t="shared" si="0"/>
        <v>津幡町立津幡南中学校</v>
      </c>
      <c r="J7" s="303" t="str">
        <f t="shared" si="1"/>
        <v>北加賀３位</v>
      </c>
    </row>
    <row r="8" spans="2:10" x14ac:dyDescent="0.2">
      <c r="B8" s="308">
        <v>7</v>
      </c>
      <c r="C8" s="305" t="str">
        <f>IF('北(22)'!A7="","",'北(22)'!A7)</f>
        <v>清泉</v>
      </c>
      <c r="D8" s="306" t="str">
        <f>IF($C8="","",IF(VLOOKUP($C8,予選学校名!$C$3:$F$32,D$2,FALSE)="","",VLOOKUP($C8,予選学校名!$C$3:$F$32,D$2,FALSE)))</f>
        <v>金沢市</v>
      </c>
      <c r="E8" s="306" t="str">
        <f>IF($C8="","",IF(VLOOKUP($C8,予選学校名!$C$3:$F$32,E$2,FALSE)="","",VLOOKUP($C8,予選学校名!$C$3:$F$32,E$2,FALSE)))</f>
        <v>金沢市</v>
      </c>
      <c r="F8" s="306" t="str">
        <f>IF($C8="","",IF(VLOOKUP($C8,予選学校名!$C$3:$F$32,F$2,FALSE)="","",VLOOKUP($C8,予選学校名!$C$3:$F$32,F$2,FALSE)))</f>
        <v/>
      </c>
      <c r="G8" s="309" t="s">
        <v>189</v>
      </c>
      <c r="H8" s="310" t="s">
        <v>109</v>
      </c>
      <c r="I8" s="303" t="str">
        <f t="shared" si="0"/>
        <v>金沢市立清泉中学校</v>
      </c>
      <c r="J8" s="303" t="str">
        <f t="shared" si="1"/>
        <v>北加賀代表</v>
      </c>
    </row>
    <row r="9" spans="2:10" x14ac:dyDescent="0.2">
      <c r="B9" s="308">
        <v>15</v>
      </c>
      <c r="C9" s="305" t="str">
        <f>IF('北(22)'!A8="","",'北(22)'!A8)</f>
        <v>野田</v>
      </c>
      <c r="D9" s="306" t="str">
        <f>IF($C9="","",IF(VLOOKUP($C9,予選学校名!$C$3:$F$32,D$2,FALSE)="","",VLOOKUP($C9,予選学校名!$C$3:$F$32,D$2,FALSE)))</f>
        <v>金沢市</v>
      </c>
      <c r="E9" s="306" t="str">
        <f>IF($C9="","",IF(VLOOKUP($C9,予選学校名!$C$3:$F$32,E$2,FALSE)="","",VLOOKUP($C9,予選学校名!$C$3:$F$32,E$2,FALSE)))</f>
        <v>金沢市</v>
      </c>
      <c r="F9" s="306" t="str">
        <f>IF($C9="","",IF(VLOOKUP($C9,予選学校名!$C$3:$F$32,F$2,FALSE)="","",VLOOKUP($C9,予選学校名!$C$3:$F$32,F$2,FALSE)))</f>
        <v/>
      </c>
      <c r="G9" s="309" t="s">
        <v>189</v>
      </c>
      <c r="H9" s="310" t="s">
        <v>109</v>
      </c>
      <c r="I9" s="303" t="str">
        <f t="shared" si="0"/>
        <v>金沢市立野田中学校</v>
      </c>
      <c r="J9" s="303" t="str">
        <f t="shared" si="1"/>
        <v>北加賀代表</v>
      </c>
    </row>
    <row r="10" spans="2:10" x14ac:dyDescent="0.2">
      <c r="B10" s="308">
        <v>6</v>
      </c>
      <c r="C10" s="305" t="str">
        <f>IF('北(22)'!A9="","",'北(22)'!A9)</f>
        <v>浅野川</v>
      </c>
      <c r="D10" s="306" t="str">
        <f>IF($C10="","",IF(VLOOKUP($C10,予選学校名!$C$3:$F$32,D$2,FALSE)="","",VLOOKUP($C10,予選学校名!$C$3:$F$32,D$2,FALSE)))</f>
        <v>金沢市</v>
      </c>
      <c r="E10" s="306" t="str">
        <f>IF($C10="","",IF(VLOOKUP($C10,予選学校名!$C$3:$F$32,E$2,FALSE)="","",VLOOKUP($C10,予選学校名!$C$3:$F$32,E$2,FALSE)))</f>
        <v>金沢市</v>
      </c>
      <c r="F10" s="306" t="str">
        <f>IF($C10="","",IF(VLOOKUP($C10,予選学校名!$C$3:$F$32,F$2,FALSE)="","",VLOOKUP($C10,予選学校名!$C$3:$F$32,F$2,FALSE)))</f>
        <v/>
      </c>
      <c r="G10" s="309" t="s">
        <v>189</v>
      </c>
      <c r="H10" s="310" t="s">
        <v>109</v>
      </c>
      <c r="I10" s="303" t="str">
        <f t="shared" si="0"/>
        <v>金沢市立浅野川中学校</v>
      </c>
      <c r="J10" s="303" t="str">
        <f t="shared" si="1"/>
        <v>北加賀代表</v>
      </c>
    </row>
    <row r="11" spans="2:10" x14ac:dyDescent="0.2">
      <c r="B11" s="311">
        <v>11</v>
      </c>
      <c r="C11" s="312" t="str">
        <f>IF('北(22)'!A10="","",'北(22)'!A10)</f>
        <v>西南部</v>
      </c>
      <c r="D11" s="313" t="str">
        <f>IF($C11="","",IF(VLOOKUP($C11,予選学校名!$C$3:$F$32,D$2,FALSE)="","",VLOOKUP($C11,予選学校名!$C$3:$F$32,D$2,FALSE)))</f>
        <v>金沢市</v>
      </c>
      <c r="E11" s="313" t="str">
        <f>IF($C11="","",IF(VLOOKUP($C11,予選学校名!$C$3:$F$32,E$2,FALSE)="","",VLOOKUP($C11,予選学校名!$C$3:$F$32,E$2,FALSE)))</f>
        <v>金沢市</v>
      </c>
      <c r="F11" s="313" t="str">
        <f>IF($C11="","",IF(VLOOKUP($C11,予選学校名!$C$3:$F$32,F$2,FALSE)="","",VLOOKUP($C11,予選学校名!$C$3:$F$32,F$2,FALSE)))</f>
        <v/>
      </c>
      <c r="G11" s="314" t="s">
        <v>189</v>
      </c>
      <c r="H11" s="315" t="s">
        <v>109</v>
      </c>
      <c r="I11" s="303" t="str">
        <f t="shared" si="0"/>
        <v>金沢市立西南部中学校</v>
      </c>
      <c r="J11" s="303" t="str">
        <f t="shared" si="1"/>
        <v>北加賀代表</v>
      </c>
    </row>
    <row r="12" spans="2:10" ht="15" thickBot="1" x14ac:dyDescent="0.25">
      <c r="B12" s="316">
        <v>2</v>
      </c>
      <c r="C12" s="317" t="str">
        <f>IF('北(22)'!A11="","",'北(22)'!A11)</f>
        <v>紫錦台</v>
      </c>
      <c r="D12" s="318" t="str">
        <f>IF($C12="","",IF(VLOOKUP($C12,予選学校名!$C$3:$F$32,D$2,FALSE)="","",VLOOKUP($C12,予選学校名!$C$3:$F$32,D$2,FALSE)))</f>
        <v>金沢市</v>
      </c>
      <c r="E12" s="318" t="str">
        <f>IF($C12="","",IF(VLOOKUP($C12,予選学校名!$C$3:$F$32,E$2,FALSE)="","",VLOOKUP($C12,予選学校名!$C$3:$F$32,E$2,FALSE)))</f>
        <v>金沢市</v>
      </c>
      <c r="F12" s="318" t="str">
        <f>IF($C12="","",IF(VLOOKUP($C12,予選学校名!$C$3:$F$32,F$2,FALSE)="","",VLOOKUP($C12,予選学校名!$C$3:$F$32,F$2,FALSE)))</f>
        <v/>
      </c>
      <c r="G12" s="318" t="s">
        <v>189</v>
      </c>
      <c r="H12" s="319" t="s">
        <v>109</v>
      </c>
      <c r="I12" s="303" t="str">
        <f t="shared" si="0"/>
        <v>金沢市立紫錦台中学校</v>
      </c>
      <c r="J12" s="303" t="str">
        <f t="shared" si="1"/>
        <v>北加賀代表</v>
      </c>
    </row>
    <row r="13" spans="2:10" ht="15" thickTop="1" x14ac:dyDescent="0.2">
      <c r="B13" s="320">
        <v>16</v>
      </c>
      <c r="C13" s="436" t="str">
        <f>IF('南(12)'!A2="","",'南(12)'!A2)</f>
        <v>松任</v>
      </c>
      <c r="D13" s="437" t="str">
        <f>IF($C13="","",IF(VLOOKUP($C13,予選学校名!$I$3:$L$18,D$2,FALSE)="","",VLOOKUP($C13,予選学校名!$I$3:$L$18,D$2,FALSE)))</f>
        <v>白山市</v>
      </c>
      <c r="E13" s="437" t="str">
        <f>IF($C13="","",IF(VLOOKUP($C13,予選学校名!$I$3:$L$18,E$2,FALSE)="","",VLOOKUP($C13,予選学校名!$I$3:$L$18,E$2,FALSE)))</f>
        <v>白山市</v>
      </c>
      <c r="F13" s="437" t="str">
        <f>IF($C13="","",IF(VLOOKUP($C13,予選学校名!$I$3:$L$18,F$2,FALSE)="","",VLOOKUP($C13,予選学校名!$I$3:$L$18,F$2,FALSE)))</f>
        <v/>
      </c>
      <c r="G13" s="321" t="s">
        <v>190</v>
      </c>
      <c r="H13" s="322" t="s">
        <v>108</v>
      </c>
      <c r="I13" s="303" t="str">
        <f t="shared" si="0"/>
        <v>白山市立松任中学校</v>
      </c>
      <c r="J13" s="303" t="str">
        <f t="shared" ref="J13:J19" si="2">G13&amp;H13</f>
        <v>南加賀１位</v>
      </c>
    </row>
    <row r="14" spans="2:10" x14ac:dyDescent="0.2">
      <c r="B14" s="308">
        <v>5</v>
      </c>
      <c r="C14" s="438" t="str">
        <f>IF('南(12)'!A3="","",'南(12)'!A3)</f>
        <v>野々市</v>
      </c>
      <c r="D14" s="439" t="str">
        <f>IF($C14="","",IF(VLOOKUP($C14,予選学校名!$I$3:$L$18,D$2,FALSE)="","",VLOOKUP($C14,予選学校名!$I$3:$L$18,D$2,FALSE)))</f>
        <v>野々市市</v>
      </c>
      <c r="E14" s="439" t="str">
        <f>IF($C14="","",IF(VLOOKUP($C14,予選学校名!$I$3:$L$18,E$2,FALSE)="","",VLOOKUP($C14,予選学校名!$I$3:$L$18,E$2,FALSE)))</f>
        <v>野々市市</v>
      </c>
      <c r="F14" s="439" t="str">
        <f>IF($C14="","",IF(VLOOKUP($C14,予選学校名!$I$3:$L$18,F$2,FALSE)="","",VLOOKUP($C14,予選学校名!$I$3:$L$18,F$2,FALSE)))</f>
        <v/>
      </c>
      <c r="G14" s="309" t="s">
        <v>190</v>
      </c>
      <c r="H14" s="310" t="s">
        <v>110</v>
      </c>
      <c r="I14" s="303" t="str">
        <f t="shared" si="0"/>
        <v>野々市市立野々市中学校</v>
      </c>
      <c r="J14" s="303" t="str">
        <f t="shared" si="2"/>
        <v>南加賀２位</v>
      </c>
    </row>
    <row r="15" spans="2:10" x14ac:dyDescent="0.2">
      <c r="B15" s="308">
        <v>14</v>
      </c>
      <c r="C15" s="438" t="str">
        <f>IF('南(12)'!A4="","",'南(12)'!A4)</f>
        <v>布水</v>
      </c>
      <c r="D15" s="439" t="str">
        <f>IF($C15="","",IF(VLOOKUP($C15,予選学校名!$I$3:$L$18,D$2,FALSE)="","",VLOOKUP($C15,予選学校名!$I$3:$L$18,D$2,FALSE)))</f>
        <v>野々市市</v>
      </c>
      <c r="E15" s="439" t="str">
        <f>IF($C15="","",IF(VLOOKUP($C15,予選学校名!$I$3:$L$18,E$2,FALSE)="","",VLOOKUP($C15,予選学校名!$I$3:$L$18,E$2,FALSE)))</f>
        <v>野々市市</v>
      </c>
      <c r="F15" s="439" t="str">
        <f>IF($C15="","",IF(VLOOKUP($C15,予選学校名!$I$3:$L$18,F$2,FALSE)="","",VLOOKUP($C15,予選学校名!$I$3:$L$18,F$2,FALSE)))</f>
        <v/>
      </c>
      <c r="G15" s="309" t="s">
        <v>190</v>
      </c>
      <c r="H15" s="310" t="s">
        <v>111</v>
      </c>
      <c r="I15" s="303" t="str">
        <f t="shared" si="0"/>
        <v>野々市市立布水中学校</v>
      </c>
      <c r="J15" s="303" t="str">
        <f t="shared" si="2"/>
        <v>南加賀３位</v>
      </c>
    </row>
    <row r="16" spans="2:10" x14ac:dyDescent="0.2">
      <c r="B16" s="308">
        <v>13</v>
      </c>
      <c r="C16" s="438" t="str">
        <f>IF('南(12)'!A5="","",'南(12)'!A5)</f>
        <v>北星</v>
      </c>
      <c r="D16" s="439" t="str">
        <f>IF($C16="","",IF(VLOOKUP($C16,予選学校名!$I$3:$L$18,D$2,FALSE)="","",VLOOKUP($C16,予選学校名!$I$3:$L$18,D$2,FALSE)))</f>
        <v>白山市</v>
      </c>
      <c r="E16" s="439" t="str">
        <f>IF($C16="","",IF(VLOOKUP($C16,予選学校名!$I$3:$L$18,E$2,FALSE)="","",VLOOKUP($C16,予選学校名!$I$3:$L$18,E$2,FALSE)))</f>
        <v>白山市</v>
      </c>
      <c r="F16" s="439" t="str">
        <f>IF($C16="","",IF(VLOOKUP($C16,予選学校名!$I$3:$L$18,F$2,FALSE)="","",VLOOKUP($C16,予選学校名!$I$3:$L$18,F$2,FALSE)))</f>
        <v/>
      </c>
      <c r="G16" s="309" t="s">
        <v>190</v>
      </c>
      <c r="H16" s="310" t="s">
        <v>111</v>
      </c>
      <c r="I16" s="303" t="str">
        <f t="shared" si="0"/>
        <v>白山市立北星中学校</v>
      </c>
      <c r="J16" s="303" t="str">
        <f t="shared" si="2"/>
        <v>南加賀３位</v>
      </c>
    </row>
    <row r="17" spans="2:10" ht="15" thickBot="1" x14ac:dyDescent="0.25">
      <c r="B17" s="316">
        <v>4</v>
      </c>
      <c r="C17" s="440" t="str">
        <f>IF('南(12)'!A6="","",'南(12)'!A6)</f>
        <v>北辰</v>
      </c>
      <c r="D17" s="441" t="str">
        <f>IF($C17="","",IF(VLOOKUP($C17,予選学校名!$I$3:$L$18,D$2,FALSE)="","",VLOOKUP($C17,予選学校名!$I$3:$L$18,D$2,FALSE)))</f>
        <v>白山市</v>
      </c>
      <c r="E17" s="441" t="str">
        <f>IF($C17="","",IF(VLOOKUP($C17,予選学校名!$I$3:$L$18,E$2,FALSE)="","",VLOOKUP($C17,予選学校名!$I$3:$L$18,E$2,FALSE)))</f>
        <v>白山市</v>
      </c>
      <c r="F17" s="441" t="str">
        <f>IF($C17="","",IF(VLOOKUP($C17,予選学校名!$I$3:$L$18,F$2,FALSE)="","",VLOOKUP($C17,予選学校名!$I$3:$L$18,F$2,FALSE)))</f>
        <v/>
      </c>
      <c r="G17" s="318" t="s">
        <v>190</v>
      </c>
      <c r="H17" s="319" t="s">
        <v>109</v>
      </c>
      <c r="I17" s="303" t="str">
        <f t="shared" si="0"/>
        <v>白山市立北辰中学校</v>
      </c>
      <c r="J17" s="303" t="str">
        <f t="shared" si="2"/>
        <v>南加賀代表</v>
      </c>
    </row>
    <row r="18" spans="2:10" ht="15" thickTop="1" x14ac:dyDescent="0.2">
      <c r="B18" s="304">
        <v>12</v>
      </c>
      <c r="C18" s="442" t="str">
        <f>IF('能登(5)'!AT3="","",'能登(5)'!AT3)</f>
        <v>中能登</v>
      </c>
      <c r="D18" s="439" t="str">
        <f>IF($C18="","",IF(VLOOKUP($C18,予選学校名!$I$22:$L$32,D$2,FALSE)="","",VLOOKUP($C18,予選学校名!$I$22:$L$32,D$2,FALSE)))</f>
        <v>鹿島郡</v>
      </c>
      <c r="E18" s="439" t="str">
        <f>IF($C18="","",IF(VLOOKUP($C18,予選学校名!$I$22:$L$32,E$2,FALSE)="","",VLOOKUP($C18,予選学校名!$I$22:$L$32,E$2,FALSE)))</f>
        <v>中能登町</v>
      </c>
      <c r="F18" s="439" t="str">
        <f>IF($C18="","",IF(VLOOKUP($C18,予選学校名!$I$22:$L$32,F$2,FALSE)="","",VLOOKUP($C18,予選学校名!$I$22:$L$32,F$2,FALSE)))</f>
        <v/>
      </c>
      <c r="G18" s="306" t="s">
        <v>191</v>
      </c>
      <c r="H18" s="307" t="s">
        <v>108</v>
      </c>
      <c r="I18" s="303" t="str">
        <f t="shared" si="0"/>
        <v>中能登町立中能登中学校</v>
      </c>
      <c r="J18" s="303" t="str">
        <f t="shared" si="2"/>
        <v>能登地区１位</v>
      </c>
    </row>
    <row r="19" spans="2:10" ht="15" thickBot="1" x14ac:dyDescent="0.25">
      <c r="B19" s="323">
        <v>10</v>
      </c>
      <c r="C19" s="443" t="str">
        <f>IF('能登(5)'!AT4="","",'能登(5)'!AT4)</f>
        <v>輪島</v>
      </c>
      <c r="D19" s="444" t="str">
        <f>IF($C19="","",IF(VLOOKUP($C19,予選学校名!$I$22:$L$32,D$2,FALSE)="","",VLOOKUP($C19,予選学校名!$I$22:$L$32,D$2,FALSE)))</f>
        <v>輪島市</v>
      </c>
      <c r="E19" s="444" t="str">
        <f>IF($C19="","",IF(VLOOKUP($C19,予選学校名!$I$22:$L$32,E$2,FALSE)="","",VLOOKUP($C19,予選学校名!$I$22:$L$32,E$2,FALSE)))</f>
        <v>輪島市</v>
      </c>
      <c r="F19" s="444" t="str">
        <f>IF($C19="","",IF(VLOOKUP($C19,予選学校名!$I$22:$L$32,F$2,FALSE)="","",VLOOKUP($C19,予選学校名!$I$22:$L$32,F$2,FALSE)))</f>
        <v/>
      </c>
      <c r="G19" s="324" t="s">
        <v>191</v>
      </c>
      <c r="H19" s="325" t="s">
        <v>110</v>
      </c>
      <c r="I19" s="303" t="str">
        <f t="shared" si="0"/>
        <v>輪島市立輪島中学校</v>
      </c>
      <c r="J19" s="303" t="str">
        <f t="shared" si="2"/>
        <v>能登地区２位</v>
      </c>
    </row>
  </sheetData>
  <customSheetViews>
    <customSheetView guid="{707C167D-1A80-466C-A9D0-D4070F8B83C9}" showGridLines="0" hiddenRows="1" showRuler="0">
      <selection activeCell="E24" sqref="E24"/>
      <pageMargins left="0" right="0" top="0" bottom="0" header="0" footer="0"/>
      <pageSetup paperSize="9" orientation="portrait" r:id="rId1"/>
      <headerFooter alignWithMargins="0"/>
    </customSheetView>
  </customSheetViews>
  <mergeCells count="1">
    <mergeCell ref="E3:F3"/>
  </mergeCells>
  <phoneticPr fontId="2"/>
  <pageMargins left="0.78700000000000003" right="0.78700000000000003" top="0.98399999999999999" bottom="0.98399999999999999" header="0.51200000000000001" footer="0.51200000000000001"/>
  <pageSetup paperSize="9" orientation="portrait"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pageSetUpPr fitToPage="1"/>
  </sheetPr>
  <dimension ref="A1:BY82"/>
  <sheetViews>
    <sheetView showGridLines="0" tabSelected="1" zoomScale="160" zoomScaleNormal="160" zoomScaleSheetLayoutView="100" workbookViewId="0">
      <selection activeCell="BS32" sqref="BS32"/>
    </sheetView>
  </sheetViews>
  <sheetFormatPr defaultColWidth="9" defaultRowHeight="14.25" x14ac:dyDescent="0.15"/>
  <cols>
    <col min="1" max="1" width="6.75" style="290" bestFit="1" customWidth="1"/>
    <col min="2" max="3" width="1.875" style="290" customWidth="1"/>
    <col min="4" max="5" width="1" style="290" customWidth="1"/>
    <col min="6" max="7" width="1.875" style="290" customWidth="1"/>
    <col min="8" max="9" width="1" style="290" customWidth="1"/>
    <col min="10" max="11" width="1.875" style="290" customWidth="1"/>
    <col min="12" max="13" width="1" style="290" customWidth="1"/>
    <col min="14" max="15" width="1.875" style="290" customWidth="1"/>
    <col min="16" max="17" width="1" style="290" customWidth="1"/>
    <col min="18" max="19" width="1.875" style="290" customWidth="1"/>
    <col min="20" max="21" width="1" style="290" customWidth="1"/>
    <col min="22" max="23" width="1.875" style="290" customWidth="1"/>
    <col min="24" max="25" width="1" style="290" customWidth="1"/>
    <col min="26" max="27" width="1.875" style="290" customWidth="1"/>
    <col min="28" max="29" width="1" style="290" customWidth="1"/>
    <col min="30" max="31" width="1.875" style="290" customWidth="1"/>
    <col min="32" max="33" width="1" style="290" customWidth="1"/>
    <col min="34" max="35" width="1.875" style="290" customWidth="1"/>
    <col min="36" max="37" width="1" style="290" customWidth="1"/>
    <col min="38" max="39" width="1.875" style="290" customWidth="1"/>
    <col min="40" max="41" width="1" style="290" customWidth="1"/>
    <col min="42" max="43" width="1.875" style="290" customWidth="1"/>
    <col min="44" max="45" width="1" style="290" customWidth="1"/>
    <col min="46" max="47" width="1.875" style="290" customWidth="1"/>
    <col min="48" max="49" width="1" style="290" customWidth="1"/>
    <col min="50" max="51" width="1.875" style="290" customWidth="1"/>
    <col min="52" max="53" width="1" style="290" customWidth="1"/>
    <col min="54" max="55" width="1.875" style="290" customWidth="1"/>
    <col min="56" max="57" width="1" style="290" customWidth="1"/>
    <col min="58" max="59" width="1.875" style="290" customWidth="1"/>
    <col min="60" max="61" width="1" style="290" customWidth="1"/>
    <col min="62" max="65" width="1.875" style="290" customWidth="1"/>
    <col min="66" max="66" width="4" style="290" customWidth="1"/>
    <col min="67" max="67" width="2.875" style="290" customWidth="1"/>
    <col min="68" max="68" width="4.5" style="290" bestFit="1" customWidth="1"/>
    <col min="69" max="69" width="2" style="290" bestFit="1" customWidth="1"/>
    <col min="70" max="77" width="3" style="290" bestFit="1" customWidth="1"/>
    <col min="78" max="80" width="4" style="290" bestFit="1" customWidth="1"/>
    <col min="81" max="16384" width="9" style="290"/>
  </cols>
  <sheetData>
    <row r="1" spans="1:77" ht="19.5" x14ac:dyDescent="0.15">
      <c r="A1" s="1115" t="str">
        <f ca="1">"令和"&amp;IF(YEAR(NOW())=2019,"元",YEAR(NOW())-2018)&amp;"年度 第"&amp;YEAR(NOW())-1999+37&amp;"回 石川県中学校サッカー大会 "&amp;IF(W8="","会場および試合開始時刻","試合結果")</f>
        <v>令和6年度 第62回 石川県中学校サッカー大会 会場および試合開始時刻</v>
      </c>
      <c r="B1" s="1115"/>
      <c r="C1" s="1115"/>
      <c r="D1" s="1115"/>
      <c r="E1" s="1115"/>
      <c r="F1" s="1115"/>
      <c r="G1" s="1115"/>
      <c r="H1" s="1115"/>
      <c r="I1" s="1115"/>
      <c r="J1" s="1115"/>
      <c r="K1" s="1115"/>
      <c r="L1" s="1115"/>
      <c r="M1" s="1115"/>
      <c r="N1" s="1115"/>
      <c r="O1" s="1115"/>
      <c r="P1" s="1115"/>
      <c r="Q1" s="1115"/>
      <c r="R1" s="1115"/>
      <c r="S1" s="1115"/>
      <c r="T1" s="1115"/>
      <c r="U1" s="1115"/>
      <c r="V1" s="1115"/>
      <c r="W1" s="1115"/>
      <c r="X1" s="1115"/>
      <c r="Y1" s="1115"/>
      <c r="Z1" s="1115"/>
      <c r="AA1" s="1115"/>
      <c r="AB1" s="1115"/>
      <c r="AC1" s="1115"/>
      <c r="AD1" s="1115"/>
      <c r="AE1" s="1115"/>
      <c r="AF1" s="1115"/>
      <c r="AG1" s="1115"/>
      <c r="AH1" s="1115"/>
      <c r="AI1" s="1115"/>
      <c r="AJ1" s="1115"/>
      <c r="AK1" s="1115"/>
      <c r="AL1" s="1115"/>
      <c r="AM1" s="1115"/>
      <c r="AN1" s="1115"/>
      <c r="AO1" s="1115"/>
      <c r="AP1" s="1115"/>
      <c r="AQ1" s="1115"/>
      <c r="AR1" s="1115"/>
      <c r="AS1" s="1115"/>
      <c r="AT1" s="1115"/>
      <c r="AU1" s="1115"/>
      <c r="AV1" s="1115"/>
      <c r="AW1" s="1115"/>
      <c r="AX1" s="1115"/>
      <c r="AY1" s="1115"/>
      <c r="AZ1" s="1115"/>
      <c r="BA1" s="1115"/>
      <c r="BB1" s="1115"/>
      <c r="BC1" s="1115"/>
      <c r="BD1" s="1115"/>
      <c r="BE1" s="1115"/>
      <c r="BF1" s="1115"/>
      <c r="BG1" s="1115"/>
      <c r="BH1" s="1115"/>
      <c r="BI1" s="1115"/>
      <c r="BJ1" s="1115"/>
      <c r="BK1" s="1115"/>
    </row>
    <row r="2" spans="1:77" ht="9" customHeight="1" x14ac:dyDescent="0.15"/>
    <row r="3" spans="1:77" ht="15.75" customHeight="1" x14ac:dyDescent="0.15">
      <c r="B3" s="848" t="s">
        <v>192</v>
      </c>
      <c r="C3" s="848"/>
      <c r="D3" s="848"/>
      <c r="E3" s="848"/>
      <c r="F3" s="848"/>
      <c r="G3" s="557" t="str">
        <f>IF(AE12&gt;AH12,N14,AX14)</f>
        <v/>
      </c>
      <c r="H3" s="1116" t="str">
        <f>IF($W$8="","",INDEX($B$72:$BK$75,2,MATCH(G3,$B$72:$BK$72,0)))</f>
        <v/>
      </c>
      <c r="I3" s="1116"/>
      <c r="J3" s="1116"/>
      <c r="K3" s="1116"/>
      <c r="L3" s="1116"/>
      <c r="M3" s="1116"/>
      <c r="N3" s="1116"/>
      <c r="O3" s="1116"/>
      <c r="P3" s="1116"/>
      <c r="Q3" s="1116"/>
      <c r="R3" s="1116"/>
      <c r="S3" s="1116"/>
      <c r="T3" s="1116"/>
      <c r="U3" s="1116"/>
      <c r="V3" s="1116"/>
      <c r="W3" s="1116"/>
      <c r="X3" s="558"/>
      <c r="Y3" s="1117" t="str">
        <f>IF($W$8="","","("&amp;INDEX(県体学校名!$C$4:$J$19,MATCH(G3,県体学校名!$C$4:$C$19,0),2)&amp;")")</f>
        <v/>
      </c>
      <c r="Z3" s="1117"/>
      <c r="AA3" s="1117"/>
      <c r="AB3" s="1117"/>
      <c r="AC3" s="1117"/>
      <c r="AD3" s="1117"/>
      <c r="AE3" s="848" t="str">
        <f ca="1">IF(H3="","",IF(YEAR(NOW())=2024,"【全国大会出場(石川県開催)】","【北信越大会出場("&amp;CHOOSE(MOD(YEAR(NOW()),5),"富山","長野","石川","新潟","福井")&amp;"県開催)】"))</f>
        <v/>
      </c>
      <c r="AF3" s="848"/>
      <c r="AG3" s="848"/>
      <c r="AH3" s="848"/>
      <c r="AI3" s="848"/>
      <c r="AJ3" s="848"/>
      <c r="AK3" s="848"/>
      <c r="AL3" s="848"/>
      <c r="AM3" s="848"/>
      <c r="AN3" s="848"/>
      <c r="AO3" s="848"/>
      <c r="AP3" s="848"/>
      <c r="AQ3" s="848"/>
      <c r="AR3" s="848"/>
      <c r="AS3" s="848"/>
      <c r="AT3" s="848"/>
      <c r="AU3" s="848"/>
      <c r="AV3" s="848"/>
      <c r="AW3" s="848"/>
      <c r="AX3" s="848"/>
      <c r="AY3" s="848"/>
      <c r="AZ3" s="509"/>
      <c r="BA3" s="509"/>
      <c r="BB3" s="509"/>
      <c r="BC3" s="509"/>
      <c r="BD3" s="509"/>
      <c r="BE3" s="509"/>
      <c r="BF3" s="509"/>
      <c r="BG3" s="509"/>
      <c r="BH3" s="509"/>
      <c r="BK3" s="557"/>
    </row>
    <row r="4" spans="1:77" ht="15.75" customHeight="1" x14ac:dyDescent="0.15">
      <c r="B4" s="848" t="s">
        <v>193</v>
      </c>
      <c r="C4" s="848"/>
      <c r="D4" s="848"/>
      <c r="E4" s="848"/>
      <c r="F4" s="848"/>
      <c r="G4" s="557" t="str">
        <f>IF(AE12&lt;AH12,N14,AX14)</f>
        <v/>
      </c>
      <c r="H4" s="1116" t="str">
        <f>IF($W$8="","",INDEX($B$72:$BK$75,2,MATCH(G4,$B$72:$BK$72,0)))</f>
        <v/>
      </c>
      <c r="I4" s="1116"/>
      <c r="J4" s="1116"/>
      <c r="K4" s="1116"/>
      <c r="L4" s="1116"/>
      <c r="M4" s="1116"/>
      <c r="N4" s="1116"/>
      <c r="O4" s="1116"/>
      <c r="P4" s="1116"/>
      <c r="Q4" s="1116"/>
      <c r="R4" s="1116"/>
      <c r="S4" s="1116"/>
      <c r="T4" s="1116"/>
      <c r="U4" s="1116"/>
      <c r="V4" s="1116"/>
      <c r="W4" s="1116"/>
      <c r="X4" s="558"/>
      <c r="Y4" s="1117" t="str">
        <f>IF($W$8="","","("&amp;INDEX(県体学校名!$C$4:$J$19,MATCH(G4,県体学校名!$C$4:$C$19,0),2)&amp;")")</f>
        <v/>
      </c>
      <c r="Z4" s="1117"/>
      <c r="AA4" s="1117"/>
      <c r="AB4" s="1117"/>
      <c r="AC4" s="1117"/>
      <c r="AD4" s="1117"/>
      <c r="AE4" s="848" t="str">
        <f ca="1">IF(H4="","","【北信越大会出場("&amp;CHOOSE(MOD(YEAR(NOW()),5),"富山","長野","石川","新潟","福井")&amp;"県開催)】")</f>
        <v/>
      </c>
      <c r="AF4" s="848"/>
      <c r="AG4" s="848"/>
      <c r="AH4" s="848"/>
      <c r="AI4" s="848"/>
      <c r="AJ4" s="848"/>
      <c r="AK4" s="848"/>
      <c r="AL4" s="848"/>
      <c r="AM4" s="848"/>
      <c r="AN4" s="848"/>
      <c r="AO4" s="848"/>
      <c r="AP4" s="848"/>
      <c r="AQ4" s="848"/>
      <c r="AR4" s="848"/>
      <c r="AS4" s="848"/>
      <c r="AT4" s="848"/>
      <c r="AU4" s="848"/>
      <c r="AV4" s="848"/>
      <c r="AW4" s="848"/>
      <c r="AX4" s="848"/>
      <c r="AY4" s="848"/>
      <c r="AZ4" s="509"/>
      <c r="BA4" s="509"/>
      <c r="BB4" s="559"/>
      <c r="BC4" s="559"/>
      <c r="BD4" s="559"/>
      <c r="BE4" s="559"/>
      <c r="BF4" s="559"/>
      <c r="BG4" s="559"/>
      <c r="BH4" s="559"/>
      <c r="BI4" s="560"/>
      <c r="BJ4" s="560"/>
      <c r="BK4" s="560"/>
      <c r="BL4" s="560"/>
      <c r="BM4" s="560"/>
      <c r="BN4" s="560"/>
      <c r="BP4" s="451" t="s">
        <v>717</v>
      </c>
    </row>
    <row r="5" spans="1:77" ht="15.75" customHeight="1" x14ac:dyDescent="0.15">
      <c r="B5" s="848" t="s">
        <v>194</v>
      </c>
      <c r="C5" s="848"/>
      <c r="D5" s="848"/>
      <c r="E5" s="848"/>
      <c r="F5" s="848"/>
      <c r="G5" s="557" t="str">
        <f>IF(BF8="",IF(OR(G3=F28,G3=Z28),IF(O26&gt;R26,Z28,F28),IF(AU26&gt;AX26,BF28,AL28)),BF8)</f>
        <v/>
      </c>
      <c r="H5" s="1116" t="str">
        <f>IF($W$8="","",INDEX($B$72:$BK$75,2,MATCH(G5,$B$72:$BK$72,0)))</f>
        <v/>
      </c>
      <c r="I5" s="1116"/>
      <c r="J5" s="1116"/>
      <c r="K5" s="1116"/>
      <c r="L5" s="1116"/>
      <c r="M5" s="1116"/>
      <c r="N5" s="1116"/>
      <c r="O5" s="1116"/>
      <c r="P5" s="1116"/>
      <c r="Q5" s="1116"/>
      <c r="R5" s="1116"/>
      <c r="S5" s="1116"/>
      <c r="T5" s="1116"/>
      <c r="U5" s="1116"/>
      <c r="V5" s="1116"/>
      <c r="W5" s="1116"/>
      <c r="X5" s="558"/>
      <c r="Y5" s="1117" t="str">
        <f>IF($W$8="","","("&amp;INDEX(県体学校名!$C$4:$J$19,MATCH(G5,県体学校名!$C$4:$C$19,0),2)&amp;")")</f>
        <v/>
      </c>
      <c r="Z5" s="1117"/>
      <c r="AA5" s="1117"/>
      <c r="AB5" s="1117"/>
      <c r="AC5" s="1117"/>
      <c r="AD5" s="1117"/>
      <c r="AE5" s="848" t="str">
        <f ca="1">IF(OR(BP5="",H5=""),"","【北信越大会出場("&amp;CHOOSE(MOD(YEAR(NOW()),5),"富山","長野","石川","新潟","福井")&amp;"県開催)】")</f>
        <v/>
      </c>
      <c r="AF5" s="848"/>
      <c r="AG5" s="848"/>
      <c r="AH5" s="848"/>
      <c r="AI5" s="848"/>
      <c r="AJ5" s="848"/>
      <c r="AK5" s="848"/>
      <c r="AL5" s="848"/>
      <c r="AM5" s="848"/>
      <c r="AN5" s="848"/>
      <c r="AO5" s="848"/>
      <c r="AP5" s="848"/>
      <c r="AQ5" s="848"/>
      <c r="AR5" s="848"/>
      <c r="AS5" s="848"/>
      <c r="AT5" s="848"/>
      <c r="AU5" s="848"/>
      <c r="AV5" s="848"/>
      <c r="AW5" s="848"/>
      <c r="AX5" s="848"/>
      <c r="AY5" s="848"/>
      <c r="AZ5" s="509"/>
      <c r="BA5" s="509"/>
      <c r="BB5" s="559"/>
      <c r="BC5" s="559"/>
      <c r="BD5" s="559"/>
      <c r="BE5" s="559"/>
      <c r="BF5" s="559"/>
      <c r="BG5" s="559"/>
      <c r="BH5" s="559"/>
      <c r="BI5" s="560"/>
      <c r="BJ5" s="560"/>
      <c r="BK5" s="560"/>
      <c r="BL5" s="560"/>
      <c r="BM5" s="560"/>
      <c r="BN5" s="560"/>
      <c r="BP5" s="561">
        <v>1</v>
      </c>
    </row>
    <row r="6" spans="1:77" ht="15.75" customHeight="1" x14ac:dyDescent="0.15">
      <c r="D6" s="1118"/>
      <c r="E6" s="1118"/>
      <c r="F6" s="1118"/>
      <c r="G6" s="557" t="str">
        <f>IF(BF8="",IF(OR(G3=F28,G3=Z28),IF(AU26&gt;AX26,BF28,AL28),IF(O26&gt;R26,Z28,F28)),IF(BF8=BC22,BJ22,BC22))</f>
        <v/>
      </c>
      <c r="H6" s="1116" t="str">
        <f>IF($W$8="","",INDEX($B$72:$BK$75,2,MATCH(G6,$B$72:$BK$72,0)))</f>
        <v/>
      </c>
      <c r="I6" s="1116"/>
      <c r="J6" s="1116"/>
      <c r="K6" s="1116"/>
      <c r="L6" s="1116"/>
      <c r="M6" s="1116"/>
      <c r="N6" s="1116"/>
      <c r="O6" s="1116"/>
      <c r="P6" s="1116"/>
      <c r="Q6" s="1116"/>
      <c r="R6" s="1116"/>
      <c r="S6" s="1116"/>
      <c r="T6" s="1116"/>
      <c r="U6" s="1116"/>
      <c r="V6" s="1116"/>
      <c r="W6" s="1116"/>
      <c r="X6" s="558"/>
      <c r="Y6" s="1117" t="str">
        <f>IF($W$8="","","("&amp;INDEX(県体学校名!$C$4:$J$19,MATCH(G6,県体学校名!$C$4:$C$19,0),2)&amp;")")</f>
        <v/>
      </c>
      <c r="Z6" s="1117"/>
      <c r="AA6" s="1117"/>
      <c r="AB6" s="1117"/>
      <c r="AC6" s="1117"/>
      <c r="AD6" s="1117"/>
      <c r="AT6" s="509"/>
      <c r="AU6" s="509"/>
      <c r="AV6" s="509"/>
      <c r="AW6" s="509"/>
      <c r="AX6" s="509"/>
      <c r="AY6" s="509"/>
      <c r="AZ6" s="509"/>
      <c r="BA6" s="509"/>
      <c r="BB6" s="559"/>
      <c r="BC6" s="1119" t="s">
        <v>113</v>
      </c>
      <c r="BD6" s="1119"/>
      <c r="BE6" s="1119"/>
      <c r="BF6" s="1119"/>
      <c r="BG6" s="1119"/>
      <c r="BH6" s="1119"/>
      <c r="BI6" s="1119"/>
      <c r="BJ6" s="1119"/>
      <c r="BK6" s="560"/>
      <c r="BL6" s="560"/>
      <c r="BM6" s="560"/>
      <c r="BN6" s="560"/>
    </row>
    <row r="7" spans="1:77" ht="9.75" customHeight="1" x14ac:dyDescent="0.15">
      <c r="BB7" s="560"/>
      <c r="BC7" s="1119"/>
      <c r="BD7" s="1119"/>
      <c r="BE7" s="1119"/>
      <c r="BF7" s="1119"/>
      <c r="BG7" s="1119"/>
      <c r="BH7" s="1119"/>
      <c r="BI7" s="1119"/>
      <c r="BJ7" s="1119"/>
      <c r="BK7" s="560"/>
      <c r="BL7" s="560"/>
      <c r="BM7" s="560"/>
      <c r="BN7" s="560"/>
      <c r="BP7" s="509">
        <f ca="1">YEAR(NOW())</f>
        <v>2024</v>
      </c>
      <c r="BQ7" s="509">
        <v>7</v>
      </c>
      <c r="BR7" s="509">
        <v>12</v>
      </c>
      <c r="BS7" s="509">
        <v>13</v>
      </c>
      <c r="BT7" s="509">
        <v>14</v>
      </c>
      <c r="BU7" s="509">
        <v>15</v>
      </c>
      <c r="BV7" s="509">
        <v>16</v>
      </c>
      <c r="BW7" s="509">
        <v>17</v>
      </c>
      <c r="BX7" s="509">
        <v>18</v>
      </c>
      <c r="BY7" s="509">
        <v>19</v>
      </c>
    </row>
    <row r="8" spans="1:77" ht="9.75" customHeight="1" x14ac:dyDescent="0.15">
      <c r="R8" s="883" t="s">
        <v>95</v>
      </c>
      <c r="S8" s="883"/>
      <c r="T8" s="883"/>
      <c r="U8" s="883"/>
      <c r="V8" s="883"/>
      <c r="W8" s="1121" t="str">
        <f>IF(OR(AE12=AH12,AE15=""),"",INDEX($B$72:$BK$75,2,MATCH(IF(AE12&gt;AH12,N14,AX14),$B$72:$BK$72,0)))</f>
        <v/>
      </c>
      <c r="X8" s="1121"/>
      <c r="Y8" s="1121"/>
      <c r="Z8" s="1121"/>
      <c r="AA8" s="1121"/>
      <c r="AB8" s="1121"/>
      <c r="AC8" s="1121"/>
      <c r="AD8" s="1121"/>
      <c r="AE8" s="1121"/>
      <c r="AF8" s="1121"/>
      <c r="AG8" s="1121"/>
      <c r="AH8" s="1121"/>
      <c r="AI8" s="1121"/>
      <c r="AJ8" s="1121"/>
      <c r="AK8" s="1121"/>
      <c r="AL8" s="1121"/>
      <c r="AM8" s="1121"/>
      <c r="AN8" s="1121"/>
      <c r="AO8" s="1121"/>
      <c r="AP8" s="1121"/>
      <c r="AQ8" s="1129" t="str">
        <f>IF(W8="","","("&amp;INDEX(県体学校名!$C$4:$J$19,MATCH(IF(AE12&gt;AH12,N14,AX14),県体学校名!$C$4:$C$19,0),2)&amp;")")</f>
        <v/>
      </c>
      <c r="AR8" s="1129"/>
      <c r="AS8" s="1129"/>
      <c r="AT8" s="1129"/>
      <c r="AU8" s="1129"/>
      <c r="AV8" s="1129"/>
      <c r="AW8" s="1129"/>
      <c r="AX8" s="1129"/>
      <c r="AY8" s="1129"/>
      <c r="BB8" s="560"/>
      <c r="BC8" s="560"/>
      <c r="BD8" s="560"/>
      <c r="BE8" s="560"/>
      <c r="BF8" s="1119" t="str">
        <f>IF(BG15="","",IF(BG12&gt;BJ12,BC22,BJ22))</f>
        <v/>
      </c>
      <c r="BG8" s="1119"/>
      <c r="BH8" s="1119"/>
      <c r="BI8" s="1119"/>
      <c r="BJ8" s="1119"/>
      <c r="BK8" s="1119"/>
      <c r="BL8" s="560"/>
      <c r="BM8" s="560"/>
      <c r="BN8" s="560"/>
      <c r="BP8" s="509"/>
      <c r="BQ8" s="509"/>
      <c r="BR8" s="509" t="str">
        <f t="shared" ref="BR8:BY8" ca="1" si="0">CHOOSE(WEEKDAY(DATE($BP$7,$BQ$7,BR7)),"","○","","","","","","")</f>
        <v/>
      </c>
      <c r="BS8" s="509" t="str">
        <f t="shared" ca="1" si="0"/>
        <v/>
      </c>
      <c r="BT8" s="509" t="str">
        <f t="shared" ca="1" si="0"/>
        <v/>
      </c>
      <c r="BU8" s="509" t="str">
        <f t="shared" ca="1" si="0"/>
        <v>○</v>
      </c>
      <c r="BV8" s="509" t="str">
        <f t="shared" ca="1" si="0"/>
        <v/>
      </c>
      <c r="BW8" s="509" t="str">
        <f t="shared" ca="1" si="0"/>
        <v/>
      </c>
      <c r="BX8" s="509" t="str">
        <f t="shared" ca="1" si="0"/>
        <v/>
      </c>
      <c r="BY8" s="509" t="str">
        <f t="shared" ca="1" si="0"/>
        <v/>
      </c>
    </row>
    <row r="9" spans="1:77" ht="9.75" customHeight="1" x14ac:dyDescent="0.15">
      <c r="R9" s="883"/>
      <c r="S9" s="883"/>
      <c r="T9" s="883"/>
      <c r="U9" s="883"/>
      <c r="V9" s="883"/>
      <c r="W9" s="1121"/>
      <c r="X9" s="1121"/>
      <c r="Y9" s="1121"/>
      <c r="Z9" s="1121"/>
      <c r="AA9" s="1121"/>
      <c r="AB9" s="1121"/>
      <c r="AC9" s="1121"/>
      <c r="AD9" s="1121"/>
      <c r="AE9" s="1121"/>
      <c r="AF9" s="1121"/>
      <c r="AG9" s="1121"/>
      <c r="AH9" s="1121"/>
      <c r="AI9" s="1121"/>
      <c r="AJ9" s="1121"/>
      <c r="AK9" s="1121"/>
      <c r="AL9" s="1121"/>
      <c r="AM9" s="1121"/>
      <c r="AN9" s="1121"/>
      <c r="AO9" s="1121"/>
      <c r="AP9" s="1121"/>
      <c r="AQ9" s="1129"/>
      <c r="AR9" s="1129"/>
      <c r="AS9" s="1129"/>
      <c r="AT9" s="1129"/>
      <c r="AU9" s="1129"/>
      <c r="AV9" s="1129"/>
      <c r="AW9" s="1129"/>
      <c r="AX9" s="1129"/>
      <c r="AY9" s="1129"/>
      <c r="BB9" s="560"/>
      <c r="BC9" s="560"/>
      <c r="BD9" s="560"/>
      <c r="BE9" s="560"/>
      <c r="BF9" s="1119"/>
      <c r="BG9" s="1119"/>
      <c r="BH9" s="1119"/>
      <c r="BI9" s="1119"/>
      <c r="BJ9" s="1119"/>
      <c r="BK9" s="1119"/>
      <c r="BL9" s="560"/>
      <c r="BM9" s="560"/>
      <c r="BN9" s="560"/>
    </row>
    <row r="10" spans="1:77" s="509" customFormat="1" ht="5.25" customHeight="1" x14ac:dyDescent="0.15">
      <c r="AF10" s="1112"/>
      <c r="AL10" s="805" t="str">
        <f ca="1">IF(W8="","","【"&amp;INDEX(歴代優勝校!$D$2:$D$101,YEAR(NOW())-1962,1)&amp;"】")</f>
        <v/>
      </c>
      <c r="AM10" s="805"/>
      <c r="AN10" s="805"/>
      <c r="AO10" s="805"/>
      <c r="AP10" s="805"/>
      <c r="AQ10" s="805"/>
      <c r="AR10" s="805"/>
      <c r="AS10" s="805"/>
      <c r="AT10" s="805"/>
      <c r="AU10" s="805"/>
      <c r="AV10" s="805"/>
      <c r="AW10" s="805"/>
      <c r="AX10" s="805"/>
      <c r="AY10" s="805"/>
      <c r="AZ10" s="290"/>
      <c r="BA10" s="290"/>
      <c r="BB10" s="560"/>
      <c r="BC10" s="560"/>
      <c r="BD10" s="559"/>
      <c r="BE10" s="559"/>
      <c r="BF10" s="559"/>
      <c r="BG10" s="559"/>
      <c r="BH10" s="1127"/>
      <c r="BI10" s="559"/>
      <c r="BJ10" s="559"/>
      <c r="BK10" s="559"/>
      <c r="BL10" s="559"/>
      <c r="BM10" s="559"/>
      <c r="BN10" s="559"/>
    </row>
    <row r="11" spans="1:77" s="509" customFormat="1" ht="9.75" customHeight="1" x14ac:dyDescent="0.15">
      <c r="A11" s="516"/>
      <c r="AD11" s="1103" t="str">
        <f>IF(AE15="","",SUM(AE15:AE17))</f>
        <v/>
      </c>
      <c r="AE11" s="1103"/>
      <c r="AF11" s="1112"/>
      <c r="AH11" s="1109" t="str">
        <f>IF(AH15="","",SUM(AH15:AH17))</f>
        <v/>
      </c>
      <c r="AI11" s="1109"/>
      <c r="AL11" s="805"/>
      <c r="AM11" s="805"/>
      <c r="AN11" s="805"/>
      <c r="AO11" s="805"/>
      <c r="AP11" s="805"/>
      <c r="AQ11" s="805"/>
      <c r="AR11" s="805"/>
      <c r="AS11" s="805"/>
      <c r="AT11" s="805"/>
      <c r="AU11" s="805"/>
      <c r="AV11" s="805"/>
      <c r="AW11" s="805"/>
      <c r="AX11" s="805"/>
      <c r="AY11" s="805"/>
      <c r="AZ11" s="290"/>
      <c r="BA11" s="290"/>
      <c r="BB11" s="560"/>
      <c r="BC11" s="560"/>
      <c r="BD11" s="559"/>
      <c r="BE11" s="559"/>
      <c r="BF11" s="1128" t="str">
        <f>IF(BG15="","",SUM(BG15:BG18))</f>
        <v/>
      </c>
      <c r="BG11" s="1128"/>
      <c r="BH11" s="1127"/>
      <c r="BI11" s="559"/>
      <c r="BJ11" s="1120" t="str">
        <f>IF(BJ15="","",SUM(BJ15:BJ18))</f>
        <v/>
      </c>
      <c r="BK11" s="1120"/>
      <c r="BL11" s="559"/>
      <c r="BM11" s="559"/>
      <c r="BN11" s="559"/>
      <c r="BP11" s="563" t="s">
        <v>687</v>
      </c>
    </row>
    <row r="12" spans="1:77" s="564" customFormat="1" ht="10.5" hidden="1" customHeight="1" x14ac:dyDescent="0.15">
      <c r="AE12" s="564">
        <f>SUM(AE15:AE21)</f>
        <v>0</v>
      </c>
      <c r="AF12" s="1112"/>
      <c r="AH12" s="565">
        <f>SUM(AH15:AH21)</f>
        <v>0</v>
      </c>
      <c r="BB12" s="559"/>
      <c r="BC12" s="559"/>
      <c r="BD12" s="559"/>
      <c r="BE12" s="559"/>
      <c r="BF12" s="559"/>
      <c r="BG12" s="559">
        <f>SUM(BG15:BG20)</f>
        <v>0</v>
      </c>
      <c r="BH12" s="1127"/>
      <c r="BI12" s="559"/>
      <c r="BJ12" s="559">
        <f>SUM(BJ15:BJ20)</f>
        <v>0</v>
      </c>
      <c r="BK12" s="559"/>
      <c r="BL12" s="559"/>
      <c r="BM12" s="559"/>
      <c r="BN12" s="559"/>
    </row>
    <row r="13" spans="1:77" s="509" customFormat="1" ht="3.75" customHeight="1" thickBot="1" x14ac:dyDescent="0.2">
      <c r="Q13" s="1108"/>
      <c r="R13" s="1108"/>
      <c r="S13" s="1108"/>
      <c r="T13" s="1108"/>
      <c r="U13" s="1108"/>
      <c r="V13" s="1108"/>
      <c r="W13" s="1108"/>
      <c r="X13" s="1108"/>
      <c r="Y13" s="1108"/>
      <c r="Z13" s="1108"/>
      <c r="AA13" s="1108"/>
      <c r="AB13" s="1108"/>
      <c r="AC13" s="1108"/>
      <c r="AD13" s="1108"/>
      <c r="AE13" s="1108"/>
      <c r="AF13" s="1113"/>
      <c r="AG13" s="1108"/>
      <c r="AH13" s="1108"/>
      <c r="AI13" s="1108"/>
      <c r="AJ13" s="1108"/>
      <c r="AK13" s="1108"/>
      <c r="AL13" s="1108"/>
      <c r="AM13" s="1108"/>
      <c r="AN13" s="1108"/>
      <c r="AO13" s="1108"/>
      <c r="AP13" s="1108"/>
      <c r="AQ13" s="1108"/>
      <c r="AR13" s="1108"/>
      <c r="AS13" s="1108"/>
      <c r="AT13" s="1108"/>
      <c r="AU13" s="1108"/>
      <c r="AV13" s="1108"/>
      <c r="BB13" s="559"/>
      <c r="BC13" s="559"/>
      <c r="BD13" s="559"/>
      <c r="BE13" s="559"/>
      <c r="BF13" s="1122"/>
      <c r="BG13" s="1122"/>
      <c r="BH13" s="1122"/>
      <c r="BI13" s="1123"/>
      <c r="BJ13" s="1122"/>
      <c r="BK13" s="1122"/>
      <c r="BL13" s="559"/>
      <c r="BM13" s="559"/>
      <c r="BN13" s="559"/>
    </row>
    <row r="14" spans="1:77" s="509" customFormat="1" ht="3.75" customHeight="1" thickTop="1" x14ac:dyDescent="0.15">
      <c r="N14" s="1114" t="str">
        <f>IF(OR(O26=R26,O29=""),"",IF(O26&gt;R26,F28,Z28))</f>
        <v/>
      </c>
      <c r="O14" s="1114"/>
      <c r="P14" s="1112"/>
      <c r="AW14" s="1106"/>
      <c r="AX14" s="1126" t="str">
        <f>IF(OR(AX26=AU26,AU29=""),"",IF(AX26&gt;AU26,BF28,AL28))</f>
        <v/>
      </c>
      <c r="AY14" s="1126"/>
      <c r="BB14" s="559"/>
      <c r="BC14" s="559"/>
      <c r="BD14" s="559"/>
      <c r="BE14" s="1124"/>
      <c r="BF14" s="559"/>
      <c r="BG14" s="559"/>
      <c r="BH14" s="559"/>
      <c r="BI14" s="559"/>
      <c r="BJ14" s="559"/>
      <c r="BK14" s="559"/>
      <c r="BL14" s="1125"/>
      <c r="BM14" s="559"/>
      <c r="BN14" s="559"/>
    </row>
    <row r="15" spans="1:77" s="509" customFormat="1" ht="9.75" customHeight="1" x14ac:dyDescent="0.15">
      <c r="A15" s="582"/>
      <c r="N15" s="1114"/>
      <c r="O15" s="1114"/>
      <c r="P15" s="1112"/>
      <c r="AE15" s="566"/>
      <c r="AF15" s="847" t="s">
        <v>92</v>
      </c>
      <c r="AG15" s="847"/>
      <c r="AH15" s="567"/>
      <c r="AW15" s="1106"/>
      <c r="AX15" s="1126"/>
      <c r="AY15" s="1126"/>
      <c r="BB15" s="559"/>
      <c r="BC15" s="559"/>
      <c r="BD15" s="559"/>
      <c r="BE15" s="1124"/>
      <c r="BH15" s="847" t="s">
        <v>92</v>
      </c>
      <c r="BI15" s="847"/>
      <c r="BJ15" s="562"/>
      <c r="BL15" s="1125"/>
      <c r="BM15" s="559"/>
      <c r="BN15" s="559"/>
      <c r="BP15" s="496" t="s">
        <v>198</v>
      </c>
      <c r="BQ15" s="568" t="s">
        <v>706</v>
      </c>
    </row>
    <row r="16" spans="1:77" s="509" customFormat="1" ht="9.75" customHeight="1" x14ac:dyDescent="0.15">
      <c r="A16" s="509" t="s">
        <v>195</v>
      </c>
      <c r="N16" s="1114"/>
      <c r="O16" s="1114"/>
      <c r="P16" s="1112"/>
      <c r="AE16" s="566"/>
      <c r="AF16" s="847" t="s">
        <v>92</v>
      </c>
      <c r="AG16" s="847"/>
      <c r="AH16" s="567"/>
      <c r="AW16" s="1106"/>
      <c r="AX16" s="1126"/>
      <c r="AY16" s="1126"/>
      <c r="BB16" s="559"/>
      <c r="BC16" s="559"/>
      <c r="BD16" s="559"/>
      <c r="BE16" s="1124"/>
      <c r="BH16" s="847" t="s">
        <v>92</v>
      </c>
      <c r="BI16" s="847"/>
      <c r="BJ16" s="562"/>
      <c r="BL16" s="1125"/>
      <c r="BM16" s="559"/>
      <c r="BN16" s="559"/>
      <c r="BP16" s="496" t="s">
        <v>200</v>
      </c>
      <c r="BQ16" s="568" t="s">
        <v>689</v>
      </c>
    </row>
    <row r="17" spans="1:69" s="509" customFormat="1" ht="9.75" customHeight="1" x14ac:dyDescent="0.15">
      <c r="N17" s="1114"/>
      <c r="O17" s="1114"/>
      <c r="P17" s="1112"/>
      <c r="AE17" s="566"/>
      <c r="AF17" s="847" t="str">
        <f>IF(AE17="","","－")</f>
        <v/>
      </c>
      <c r="AG17" s="847"/>
      <c r="AH17" s="567"/>
      <c r="AW17" s="1106"/>
      <c r="AX17" s="1126"/>
      <c r="AY17" s="1126"/>
      <c r="BB17" s="559"/>
      <c r="BC17" s="559"/>
      <c r="BD17" s="559"/>
      <c r="BE17" s="1124"/>
      <c r="BH17" s="847" t="str">
        <f>IF(BG17="","","－")</f>
        <v/>
      </c>
      <c r="BI17" s="847"/>
      <c r="BJ17" s="562"/>
      <c r="BL17" s="1125"/>
      <c r="BM17" s="559"/>
      <c r="BN17" s="559"/>
      <c r="BP17" s="496" t="s">
        <v>199</v>
      </c>
      <c r="BQ17" s="568" t="s">
        <v>690</v>
      </c>
    </row>
    <row r="18" spans="1:69" s="509" customFormat="1" ht="9.75" customHeight="1" x14ac:dyDescent="0.15">
      <c r="A18" s="591">
        <f ca="1">DATE(BP7,BQ7,INDEX($BR$7:$BY$7,1,MATCH("○",$BR$8:$BY$8,0)))</f>
        <v>45488</v>
      </c>
      <c r="B18" s="583" t="str">
        <f ca="1">"("&amp;CHOOSE(WEEKDAY(A18),"日","月","火","水","木","金","土")&amp;")"</f>
        <v>(月)</v>
      </c>
      <c r="C18" s="584"/>
      <c r="D18" s="584"/>
      <c r="F18" s="586"/>
      <c r="N18" s="1114"/>
      <c r="O18" s="1114"/>
      <c r="P18" s="1112"/>
      <c r="AE18" s="566"/>
      <c r="AF18" s="847" t="str">
        <f>IF(AE18="","","－")</f>
        <v/>
      </c>
      <c r="AG18" s="847"/>
      <c r="AH18" s="567"/>
      <c r="AW18" s="1106"/>
      <c r="AX18" s="1126"/>
      <c r="AY18" s="1126"/>
      <c r="BB18" s="559"/>
      <c r="BC18" s="559"/>
      <c r="BD18" s="559"/>
      <c r="BE18" s="1124"/>
      <c r="BH18" s="847" t="str">
        <f>IF(BG18="","","－")</f>
        <v/>
      </c>
      <c r="BI18" s="847"/>
      <c r="BJ18" s="562"/>
      <c r="BL18" s="1125"/>
      <c r="BM18" s="559"/>
      <c r="BN18" s="559"/>
      <c r="BP18" s="496" t="s">
        <v>201</v>
      </c>
      <c r="BQ18" s="568" t="s">
        <v>684</v>
      </c>
    </row>
    <row r="19" spans="1:69" s="509" customFormat="1" ht="9.75" customHeight="1" x14ac:dyDescent="0.15">
      <c r="A19" s="582"/>
      <c r="N19" s="1114"/>
      <c r="O19" s="1114"/>
      <c r="P19" s="1112"/>
      <c r="AE19" s="847" t="str">
        <f>IF(AF20="－","PK","")</f>
        <v/>
      </c>
      <c r="AF19" s="847"/>
      <c r="AG19" s="847"/>
      <c r="AH19" s="847"/>
      <c r="AW19" s="1106"/>
      <c r="AX19" s="1126"/>
      <c r="AY19" s="1126"/>
      <c r="BB19" s="559"/>
      <c r="BC19" s="559"/>
      <c r="BD19" s="559"/>
      <c r="BE19" s="1124"/>
      <c r="BG19" s="847" t="str">
        <f>IF(BH20="－","PK","")</f>
        <v/>
      </c>
      <c r="BH19" s="847"/>
      <c r="BI19" s="847"/>
      <c r="BJ19" s="847"/>
      <c r="BL19" s="1125"/>
      <c r="BM19" s="559"/>
      <c r="BN19" s="559"/>
      <c r="BP19" s="496" t="s">
        <v>688</v>
      </c>
      <c r="BQ19" s="568" t="s">
        <v>685</v>
      </c>
    </row>
    <row r="20" spans="1:69" s="509" customFormat="1" ht="9.75" customHeight="1" x14ac:dyDescent="0.15">
      <c r="A20" s="582"/>
      <c r="B20" s="562"/>
      <c r="C20" s="562"/>
      <c r="D20" s="562"/>
      <c r="E20" s="562"/>
      <c r="F20" s="562"/>
      <c r="G20" s="562"/>
      <c r="H20" s="562"/>
      <c r="I20" s="562"/>
      <c r="J20" s="562"/>
      <c r="K20" s="562"/>
      <c r="L20" s="562"/>
      <c r="M20" s="562"/>
      <c r="N20" s="562"/>
      <c r="O20" s="562"/>
      <c r="P20" s="1112"/>
      <c r="AE20" s="566"/>
      <c r="AF20" s="847" t="str">
        <f>IF(AE20="","","－")</f>
        <v/>
      </c>
      <c r="AG20" s="847"/>
      <c r="AH20" s="567"/>
      <c r="AW20" s="1106"/>
      <c r="BB20" s="559"/>
      <c r="BC20" s="559"/>
      <c r="BD20" s="559"/>
      <c r="BE20" s="1124"/>
      <c r="BG20" s="566"/>
      <c r="BH20" s="847" t="str">
        <f>IF(BG20="","","－")</f>
        <v/>
      </c>
      <c r="BI20" s="847"/>
      <c r="BJ20" s="567"/>
      <c r="BL20" s="1125"/>
      <c r="BM20" s="559"/>
      <c r="BN20" s="559"/>
      <c r="BP20" s="496" t="s">
        <v>705</v>
      </c>
      <c r="BQ20" s="568" t="s">
        <v>686</v>
      </c>
    </row>
    <row r="21" spans="1:69" s="509" customFormat="1" ht="9.75" customHeight="1" x14ac:dyDescent="0.15">
      <c r="P21" s="1112"/>
      <c r="AD21" s="1103" t="s">
        <v>198</v>
      </c>
      <c r="AE21" s="1103"/>
      <c r="AG21" s="1130">
        <v>0.39583333333333331</v>
      </c>
      <c r="AH21" s="1130"/>
      <c r="AI21" s="1130"/>
      <c r="AW21" s="1106"/>
      <c r="BB21" s="559"/>
      <c r="BC21" s="559"/>
      <c r="BD21" s="559"/>
      <c r="BE21" s="1124"/>
      <c r="BF21" s="1133">
        <v>0.52083333333333337</v>
      </c>
      <c r="BG21" s="1094"/>
      <c r="BH21" s="1094"/>
      <c r="BI21" s="1094"/>
      <c r="BJ21" s="1094"/>
      <c r="BK21" s="1134"/>
      <c r="BL21" s="1125"/>
      <c r="BM21" s="559"/>
      <c r="BN21" s="559"/>
    </row>
    <row r="22" spans="1:69" s="509" customFormat="1" ht="9.75" customHeight="1" x14ac:dyDescent="0.15">
      <c r="P22" s="1112"/>
      <c r="AE22" s="847" t="s">
        <v>744</v>
      </c>
      <c r="AF22" s="847"/>
      <c r="AG22" s="847"/>
      <c r="AH22" s="847"/>
      <c r="AW22" s="1106"/>
      <c r="BB22" s="559"/>
      <c r="BC22" s="1131" t="str">
        <f>IF(N14="","",IF(O26&lt;R26,F28,Z28))</f>
        <v/>
      </c>
      <c r="BD22" s="1131"/>
      <c r="BE22" s="1131"/>
      <c r="BF22" s="1131"/>
      <c r="BG22" s="1131"/>
      <c r="BH22" s="847" t="s">
        <v>198</v>
      </c>
      <c r="BI22" s="847"/>
      <c r="BJ22" s="1131" t="str">
        <f>IF(AX14="","",IF(AU26&lt;AX26,AL28,BF28))</f>
        <v/>
      </c>
      <c r="BK22" s="1131"/>
      <c r="BL22" s="1131"/>
      <c r="BM22" s="1131"/>
      <c r="BN22" s="559"/>
      <c r="BP22" s="585">
        <f ca="1">DATE(BP7,BQ7,INDEX($BR$7:$BY$7,1,MATCH("○",$BR$8:$BY$8,0)))</f>
        <v>45488</v>
      </c>
    </row>
    <row r="23" spans="1:69" s="509" customFormat="1" ht="13.5" customHeight="1" thickBot="1" x14ac:dyDescent="0.2">
      <c r="P23" s="1112"/>
      <c r="AW23" s="1106"/>
      <c r="BB23" s="559"/>
      <c r="BC23" s="599"/>
      <c r="BD23" s="600"/>
      <c r="BE23" s="600"/>
      <c r="BF23" s="600"/>
      <c r="BG23" s="1132" t="s">
        <v>745</v>
      </c>
      <c r="BH23" s="1132"/>
      <c r="BI23" s="1132"/>
      <c r="BJ23" s="1132"/>
      <c r="BK23" s="599"/>
      <c r="BL23" s="599"/>
      <c r="BM23" s="599"/>
      <c r="BN23" s="559"/>
    </row>
    <row r="24" spans="1:69" s="509" customFormat="1" ht="5.25" customHeight="1" x14ac:dyDescent="0.15">
      <c r="A24" s="587"/>
      <c r="B24" s="588"/>
      <c r="C24" s="587"/>
      <c r="D24" s="587"/>
      <c r="E24" s="587"/>
      <c r="F24" s="587"/>
      <c r="G24" s="587"/>
      <c r="H24" s="587"/>
      <c r="I24" s="587"/>
      <c r="J24" s="587"/>
      <c r="K24" s="587"/>
      <c r="L24" s="587"/>
      <c r="M24" s="587"/>
      <c r="N24" s="587"/>
      <c r="O24" s="587"/>
      <c r="P24" s="1112"/>
      <c r="R24" s="587"/>
      <c r="S24" s="587"/>
      <c r="T24" s="587"/>
      <c r="U24" s="587"/>
      <c r="V24" s="587"/>
      <c r="W24" s="587"/>
      <c r="X24" s="587"/>
      <c r="Y24" s="587"/>
      <c r="Z24" s="587"/>
      <c r="AA24" s="587"/>
      <c r="AB24" s="587"/>
      <c r="AC24" s="587"/>
      <c r="AD24" s="587"/>
      <c r="AE24" s="587"/>
      <c r="AF24" s="587"/>
      <c r="AG24" s="587"/>
      <c r="AH24" s="587"/>
      <c r="AI24" s="587"/>
      <c r="AJ24" s="587"/>
      <c r="AK24" s="587"/>
      <c r="AL24" s="587"/>
      <c r="AM24" s="587"/>
      <c r="AN24" s="587"/>
      <c r="AO24" s="587"/>
      <c r="AP24" s="587"/>
      <c r="AQ24" s="587"/>
      <c r="AR24" s="587"/>
      <c r="AS24" s="587"/>
      <c r="AT24" s="587"/>
      <c r="AU24" s="587"/>
      <c r="AW24" s="1106"/>
      <c r="AX24" s="587"/>
      <c r="AY24" s="587"/>
      <c r="AZ24" s="587"/>
      <c r="BA24" s="587"/>
      <c r="BB24" s="587"/>
      <c r="BC24" s="589"/>
      <c r="BD24" s="589"/>
      <c r="BE24" s="589"/>
      <c r="BF24" s="589"/>
      <c r="BG24" s="589"/>
      <c r="BH24" s="587"/>
      <c r="BI24" s="587"/>
      <c r="BJ24" s="589"/>
      <c r="BK24" s="589"/>
      <c r="BL24" s="589"/>
      <c r="BM24" s="570"/>
    </row>
    <row r="25" spans="1:69" s="509" customFormat="1" ht="9.75" customHeight="1" x14ac:dyDescent="0.15">
      <c r="N25" s="1103" t="str">
        <f>IF(O29="","",SUM(O29:O32))</f>
        <v/>
      </c>
      <c r="O25" s="1103"/>
      <c r="P25" s="1112"/>
      <c r="R25" s="1109" t="str">
        <f>IF(R29="","",SUM(R29:R32))</f>
        <v/>
      </c>
      <c r="S25" s="1109"/>
      <c r="AT25" s="1103" t="str">
        <f>IF(AU29="","",SUM(AU29:AU32))</f>
        <v/>
      </c>
      <c r="AU25" s="1103"/>
      <c r="AW25" s="1106"/>
      <c r="AX25" s="1109" t="str">
        <f>IF(AX29="","",SUM(AX29:AX32))</f>
        <v/>
      </c>
      <c r="AY25" s="1109"/>
    </row>
    <row r="26" spans="1:69" s="564" customFormat="1" ht="10.5" hidden="1" x14ac:dyDescent="0.15">
      <c r="O26" s="564">
        <f>SUM(O29:O34)</f>
        <v>0</v>
      </c>
      <c r="P26" s="1112"/>
      <c r="R26" s="565">
        <f>SUM(R29:R34)</f>
        <v>0</v>
      </c>
      <c r="AF26" s="1111"/>
      <c r="AG26" s="1111"/>
      <c r="AU26" s="564">
        <f>SUM(AU29:AU34)</f>
        <v>0</v>
      </c>
      <c r="AW26" s="1106"/>
      <c r="AX26" s="565">
        <f>SUM(AX29:AX34)</f>
        <v>0</v>
      </c>
    </row>
    <row r="27" spans="1:69" s="509" customFormat="1" ht="3.75" customHeight="1" thickBot="1" x14ac:dyDescent="0.2">
      <c r="I27" s="1108"/>
      <c r="J27" s="1108"/>
      <c r="K27" s="1108"/>
      <c r="L27" s="1108"/>
      <c r="M27" s="1108"/>
      <c r="N27" s="1108"/>
      <c r="O27" s="1108"/>
      <c r="P27" s="1113"/>
      <c r="Q27" s="1108"/>
      <c r="R27" s="1108"/>
      <c r="S27" s="1108"/>
      <c r="T27" s="1108"/>
      <c r="U27" s="1108"/>
      <c r="V27" s="1108"/>
      <c r="W27" s="1108"/>
      <c r="X27" s="1108"/>
      <c r="AF27" s="847"/>
      <c r="AG27" s="847"/>
      <c r="AO27" s="1108"/>
      <c r="AP27" s="1108"/>
      <c r="AQ27" s="1108"/>
      <c r="AR27" s="1108"/>
      <c r="AS27" s="1108"/>
      <c r="AT27" s="1108"/>
      <c r="AU27" s="1108"/>
      <c r="AV27" s="1108"/>
      <c r="AW27" s="1110"/>
      <c r="AX27" s="1108"/>
      <c r="AY27" s="1108"/>
      <c r="AZ27" s="1108"/>
      <c r="BA27" s="1108"/>
      <c r="BB27" s="1108"/>
      <c r="BC27" s="1108"/>
      <c r="BD27" s="1108"/>
    </row>
    <row r="28" spans="1:69" s="509" customFormat="1" ht="3.75" customHeight="1" thickTop="1" x14ac:dyDescent="0.15">
      <c r="D28" s="571" t="str">
        <f>IF(OR(F42="",I39=F39),"",IF(I39&gt;F39,N41,C41))</f>
        <v/>
      </c>
      <c r="F28" s="1114" t="str">
        <f>IF(OR(G39=J39,G42=""),"",IF(G39&gt;J39,B41,N41))</f>
        <v/>
      </c>
      <c r="G28" s="1114"/>
      <c r="H28" s="1112"/>
      <c r="Y28" s="1106"/>
      <c r="Z28" s="1126" t="str">
        <f>IF(OR(Z39=W39,W42=""),"",IF(Z39&gt;W39,AD41,R41))</f>
        <v/>
      </c>
      <c r="AA28" s="1126"/>
      <c r="AL28" s="1114" t="str">
        <f>IF(OR(AM39=AP39,AM42=""),"",IF(AM39&gt;AP39,AH41,AT41))</f>
        <v/>
      </c>
      <c r="AM28" s="1114"/>
      <c r="AN28" s="1112"/>
      <c r="BE28" s="1106"/>
      <c r="BF28" s="1126" t="str">
        <f>IF(OR(BF39=BC39,BC42=""),"",IF(BF39&gt;BC39,BJ41,AX41))</f>
        <v/>
      </c>
      <c r="BG28" s="1126"/>
    </row>
    <row r="29" spans="1:69" s="509" customFormat="1" ht="9.75" customHeight="1" x14ac:dyDescent="0.15">
      <c r="D29" s="571"/>
      <c r="F29" s="1114"/>
      <c r="G29" s="1114"/>
      <c r="H29" s="1112"/>
      <c r="O29" s="566"/>
      <c r="P29" s="847" t="s">
        <v>92</v>
      </c>
      <c r="Q29" s="847"/>
      <c r="R29" s="567"/>
      <c r="Y29" s="1106"/>
      <c r="Z29" s="1126"/>
      <c r="AA29" s="1126"/>
      <c r="AL29" s="1114"/>
      <c r="AM29" s="1114"/>
      <c r="AN29" s="1112"/>
      <c r="AU29" s="566"/>
      <c r="AV29" s="847" t="s">
        <v>92</v>
      </c>
      <c r="AW29" s="847"/>
      <c r="AX29" s="567"/>
      <c r="BE29" s="1106"/>
      <c r="BF29" s="1126"/>
      <c r="BG29" s="1126"/>
    </row>
    <row r="30" spans="1:69" s="509" customFormat="1" ht="9.75" customHeight="1" x14ac:dyDescent="0.15">
      <c r="D30" s="571"/>
      <c r="F30" s="1114"/>
      <c r="G30" s="1114"/>
      <c r="H30" s="1112"/>
      <c r="O30" s="566"/>
      <c r="P30" s="847" t="s">
        <v>92</v>
      </c>
      <c r="Q30" s="847"/>
      <c r="R30" s="567"/>
      <c r="Y30" s="1106"/>
      <c r="Z30" s="1126"/>
      <c r="AA30" s="1126"/>
      <c r="AL30" s="1114"/>
      <c r="AM30" s="1114"/>
      <c r="AN30" s="1112"/>
      <c r="AU30" s="566"/>
      <c r="AV30" s="847" t="s">
        <v>92</v>
      </c>
      <c r="AW30" s="847"/>
      <c r="AX30" s="567"/>
      <c r="BE30" s="1106"/>
      <c r="BF30" s="1126"/>
      <c r="BG30" s="1126"/>
    </row>
    <row r="31" spans="1:69" s="509" customFormat="1" ht="9.75" customHeight="1" x14ac:dyDescent="0.15">
      <c r="A31" s="509" t="s">
        <v>196</v>
      </c>
      <c r="D31" s="571"/>
      <c r="F31" s="1114"/>
      <c r="G31" s="1114"/>
      <c r="H31" s="1112"/>
      <c r="O31" s="566"/>
      <c r="P31" s="847" t="str">
        <f>IF(O31="","","－")</f>
        <v/>
      </c>
      <c r="Q31" s="847"/>
      <c r="R31" s="567"/>
      <c r="Y31" s="1106"/>
      <c r="Z31" s="1126"/>
      <c r="AA31" s="1126"/>
      <c r="AL31" s="1114"/>
      <c r="AM31" s="1114"/>
      <c r="AN31" s="1112"/>
      <c r="AU31" s="566"/>
      <c r="AV31" s="847" t="str">
        <f>IF(AU31="","","－")</f>
        <v/>
      </c>
      <c r="AW31" s="847"/>
      <c r="AX31" s="567"/>
      <c r="BE31" s="1106"/>
      <c r="BF31" s="1126"/>
      <c r="BG31" s="1126"/>
    </row>
    <row r="32" spans="1:69" s="509" customFormat="1" ht="9.75" customHeight="1" x14ac:dyDescent="0.15">
      <c r="F32" s="1114"/>
      <c r="G32" s="1114"/>
      <c r="H32" s="1112"/>
      <c r="O32" s="566"/>
      <c r="P32" s="847" t="str">
        <f>IF(O32="","","－")</f>
        <v/>
      </c>
      <c r="Q32" s="847"/>
      <c r="R32" s="567"/>
      <c r="Y32" s="1106"/>
      <c r="Z32" s="1126"/>
      <c r="AA32" s="1126"/>
      <c r="AL32" s="1114"/>
      <c r="AM32" s="1114"/>
      <c r="AN32" s="1112"/>
      <c r="AU32" s="566"/>
      <c r="AV32" s="847" t="str">
        <f>IF(AU32="","","－")</f>
        <v/>
      </c>
      <c r="AW32" s="847"/>
      <c r="AX32" s="567"/>
      <c r="BE32" s="1106"/>
      <c r="BF32" s="1126"/>
      <c r="BG32" s="1126"/>
    </row>
    <row r="33" spans="1:63" s="509" customFormat="1" ht="9.75" customHeight="1" x14ac:dyDescent="0.15">
      <c r="A33" s="592">
        <f ca="1">A18-1</f>
        <v>45487</v>
      </c>
      <c r="B33" s="590" t="str">
        <f ca="1">"("&amp;CHOOSE(WEEKDAY(A33),"日","月","火","水","木","金","土")&amp;")"</f>
        <v>(日)</v>
      </c>
      <c r="F33" s="1114"/>
      <c r="G33" s="1114"/>
      <c r="H33" s="1112"/>
      <c r="O33" s="847" t="str">
        <f>IF(P34="－","PK","")</f>
        <v/>
      </c>
      <c r="P33" s="847"/>
      <c r="Q33" s="847"/>
      <c r="R33" s="847"/>
      <c r="Y33" s="1106"/>
      <c r="Z33" s="1126"/>
      <c r="AA33" s="1126"/>
      <c r="AL33" s="1114"/>
      <c r="AM33" s="1114"/>
      <c r="AN33" s="1112"/>
      <c r="AU33" s="847" t="str">
        <f>IF(AV34="－","PK","")</f>
        <v/>
      </c>
      <c r="AV33" s="847"/>
      <c r="AW33" s="847"/>
      <c r="AX33" s="847"/>
      <c r="BE33" s="1106"/>
      <c r="BF33" s="1126"/>
      <c r="BG33" s="1126"/>
    </row>
    <row r="34" spans="1:63" s="509" customFormat="1" ht="9.75" customHeight="1" x14ac:dyDescent="0.15">
      <c r="H34" s="1112"/>
      <c r="O34" s="566"/>
      <c r="P34" s="847" t="str">
        <f>IF(O34="","","－")</f>
        <v/>
      </c>
      <c r="Q34" s="847"/>
      <c r="R34" s="567"/>
      <c r="Y34" s="1106"/>
      <c r="AN34" s="1112"/>
      <c r="AU34" s="566"/>
      <c r="AV34" s="847" t="str">
        <f>IF(AU34="","","－")</f>
        <v/>
      </c>
      <c r="AW34" s="847"/>
      <c r="AX34" s="567"/>
      <c r="BE34" s="1106"/>
    </row>
    <row r="35" spans="1:63" s="509" customFormat="1" ht="9.75" customHeight="1" x14ac:dyDescent="0.15">
      <c r="H35" s="1112"/>
      <c r="N35" s="1103" t="s">
        <v>200</v>
      </c>
      <c r="O35" s="1103"/>
      <c r="Q35" s="1130">
        <v>0.60416666666666663</v>
      </c>
      <c r="R35" s="1130"/>
      <c r="S35" s="1130"/>
      <c r="Y35" s="1106"/>
      <c r="AN35" s="1112"/>
      <c r="AT35" s="1103" t="s">
        <v>199</v>
      </c>
      <c r="AU35" s="1103"/>
      <c r="AW35" s="1130">
        <v>0.60416666666666663</v>
      </c>
      <c r="AX35" s="1130"/>
      <c r="AY35" s="1130"/>
      <c r="BE35" s="1106"/>
    </row>
    <row r="36" spans="1:63" s="509" customFormat="1" ht="9.75" customHeight="1" x14ac:dyDescent="0.15">
      <c r="H36" s="1112"/>
      <c r="O36" s="847" t="s">
        <v>742</v>
      </c>
      <c r="P36" s="847"/>
      <c r="Q36" s="847"/>
      <c r="R36" s="847"/>
      <c r="Y36" s="1106"/>
      <c r="AN36" s="1112"/>
      <c r="AU36" s="847" t="s">
        <v>743</v>
      </c>
      <c r="AV36" s="847"/>
      <c r="AW36" s="847"/>
      <c r="AX36" s="847"/>
      <c r="BE36" s="1106"/>
    </row>
    <row r="37" spans="1:63" s="509" customFormat="1" ht="9.75" hidden="1" customHeight="1" x14ac:dyDescent="0.15">
      <c r="H37" s="1112"/>
      <c r="P37" s="847"/>
      <c r="Q37" s="847"/>
      <c r="R37" s="562"/>
      <c r="Y37" s="1106"/>
      <c r="AN37" s="1112"/>
      <c r="AV37" s="847"/>
      <c r="AW37" s="847"/>
      <c r="AX37" s="562"/>
      <c r="BE37" s="1106"/>
    </row>
    <row r="38" spans="1:63" s="509" customFormat="1" ht="9.75" customHeight="1" x14ac:dyDescent="0.15">
      <c r="D38" s="516"/>
      <c r="F38" s="1103" t="str">
        <f>IF(G42="","",SUM(G42:G45))</f>
        <v/>
      </c>
      <c r="G38" s="1103"/>
      <c r="H38" s="1112"/>
      <c r="J38" s="1109" t="str">
        <f>IF(J42="","",SUM(J42:J45))</f>
        <v/>
      </c>
      <c r="K38" s="1109"/>
      <c r="P38" s="496"/>
      <c r="Q38" s="496"/>
      <c r="V38" s="1103" t="str">
        <f>IF(W42="","",SUM(W42:W45))</f>
        <v/>
      </c>
      <c r="W38" s="1103"/>
      <c r="Y38" s="1106"/>
      <c r="Z38" s="1109" t="str">
        <f>IF(Z42="","",SUM(Z42:Z45))</f>
        <v/>
      </c>
      <c r="AA38" s="1109"/>
      <c r="AL38" s="1103" t="str">
        <f>IF(AM42="","",SUM(AM42:AM45))</f>
        <v/>
      </c>
      <c r="AM38" s="1103"/>
      <c r="AN38" s="1112"/>
      <c r="AP38" s="1109" t="str">
        <f>IF(AP42="","",SUM(AP42:AP45))</f>
        <v/>
      </c>
      <c r="AQ38" s="1109"/>
      <c r="AV38" s="496"/>
      <c r="AW38" s="496"/>
      <c r="BB38" s="1103" t="str">
        <f>IF(BC42="","",SUM(BC42:BC45))</f>
        <v/>
      </c>
      <c r="BC38" s="1103"/>
      <c r="BE38" s="1106"/>
      <c r="BF38" s="1109" t="str">
        <f>IF(BF42="","",SUM(BF42:BF45))</f>
        <v/>
      </c>
      <c r="BG38" s="1109"/>
    </row>
    <row r="39" spans="1:63" s="564" customFormat="1" ht="10.5" hidden="1" customHeight="1" x14ac:dyDescent="0.15">
      <c r="G39" s="564">
        <f>SUM(G42:G47)</f>
        <v>0</v>
      </c>
      <c r="H39" s="1112"/>
      <c r="J39" s="565">
        <f>SUM(J42:J47)</f>
        <v>0</v>
      </c>
      <c r="P39" s="1111"/>
      <c r="Q39" s="1111"/>
      <c r="W39" s="564">
        <f>SUM(W42:W47)</f>
        <v>0</v>
      </c>
      <c r="Y39" s="1106"/>
      <c r="Z39" s="565">
        <f>SUM(Z42:Z47)</f>
        <v>0</v>
      </c>
      <c r="AM39" s="564">
        <f>SUM(AM42:AM47)</f>
        <v>0</v>
      </c>
      <c r="AN39" s="1112"/>
      <c r="AP39" s="565">
        <f>SUM(AP42:AP47)</f>
        <v>0</v>
      </c>
      <c r="AV39" s="1111"/>
      <c r="AW39" s="1111"/>
      <c r="BC39" s="564">
        <f>SUM(BC42:BC47)</f>
        <v>0</v>
      </c>
      <c r="BE39" s="1106"/>
      <c r="BF39" s="565">
        <f>SUM(BF42:BF47)</f>
        <v>0</v>
      </c>
    </row>
    <row r="40" spans="1:63" s="509" customFormat="1" ht="3.75" customHeight="1" thickBot="1" x14ac:dyDescent="0.2">
      <c r="E40" s="1108"/>
      <c r="F40" s="1108"/>
      <c r="G40" s="1108"/>
      <c r="H40" s="1113"/>
      <c r="I40" s="1108"/>
      <c r="J40" s="1108"/>
      <c r="K40" s="1108"/>
      <c r="L40" s="1108"/>
      <c r="P40" s="847"/>
      <c r="Q40" s="847"/>
      <c r="U40" s="1108"/>
      <c r="V40" s="1108"/>
      <c r="W40" s="1108"/>
      <c r="X40" s="1108"/>
      <c r="Y40" s="1110"/>
      <c r="Z40" s="1108"/>
      <c r="AA40" s="1108"/>
      <c r="AB40" s="1108"/>
      <c r="AK40" s="1108"/>
      <c r="AL40" s="1108"/>
      <c r="AM40" s="1108"/>
      <c r="AN40" s="1113"/>
      <c r="AO40" s="1108"/>
      <c r="AP40" s="1108"/>
      <c r="AQ40" s="1108"/>
      <c r="AR40" s="1108"/>
      <c r="AV40" s="847"/>
      <c r="AW40" s="847"/>
      <c r="BA40" s="1108"/>
      <c r="BB40" s="1108"/>
      <c r="BC40" s="1108"/>
      <c r="BD40" s="1108"/>
      <c r="BE40" s="1110"/>
      <c r="BF40" s="1108"/>
      <c r="BG40" s="1108"/>
      <c r="BH40" s="1108"/>
    </row>
    <row r="41" spans="1:63" s="509" customFormat="1" ht="3.75" customHeight="1" thickTop="1" x14ac:dyDescent="0.15">
      <c r="B41" s="1114" t="str">
        <f>IF(OR(C52=F52,C55=""),"",IF(C52&gt;F52,B72,F72))</f>
        <v/>
      </c>
      <c r="C41" s="1114"/>
      <c r="D41" s="1112"/>
      <c r="M41" s="1106"/>
      <c r="N41" s="1126" t="str">
        <f>IF(OR(N52=K52,K55=""),"",IF(N52&gt;K52,N72,J72))</f>
        <v/>
      </c>
      <c r="O41" s="1126"/>
      <c r="R41" s="1114" t="str">
        <f>IF(OR(S52=V52,S55=""),"",IF(S52&gt;V52,R72,V72))</f>
        <v/>
      </c>
      <c r="S41" s="1114"/>
      <c r="T41" s="1112"/>
      <c r="AC41" s="1106"/>
      <c r="AD41" s="1126" t="str">
        <f>IF(OR(AD52=AA52,AA55=""),"",IF(AD52&gt;AA52,AD72,Z72))</f>
        <v/>
      </c>
      <c r="AE41" s="1126"/>
      <c r="AH41" s="1114" t="str">
        <f>IF(OR(AI52=AL52,AI55=""),"",IF(AI52&gt;AL52,AH72,AL72))</f>
        <v/>
      </c>
      <c r="AI41" s="1114"/>
      <c r="AJ41" s="1112"/>
      <c r="AS41" s="1106"/>
      <c r="AT41" s="1126" t="str">
        <f>IF(OR(AT52=AQ52,AQ55=""),"",IF(AT52&gt;AQ52,AT72,AP72))</f>
        <v/>
      </c>
      <c r="AU41" s="1126"/>
      <c r="AX41" s="1114" t="str">
        <f>IF(OR(AY52=BB52,AY55=""),"",IF(AY52&gt;BB52,AX72,BB72))</f>
        <v/>
      </c>
      <c r="AY41" s="1114"/>
      <c r="AZ41" s="1112"/>
      <c r="BI41" s="1106"/>
      <c r="BJ41" s="1126" t="str">
        <f>IF(OR(BJ52=BG52,BG55=""),"",IF(BJ52&gt;BG52,BJ72,BF72))</f>
        <v/>
      </c>
      <c r="BK41" s="1126"/>
    </row>
    <row r="42" spans="1:63" s="509" customFormat="1" ht="9.75" customHeight="1" x14ac:dyDescent="0.15">
      <c r="B42" s="1114"/>
      <c r="C42" s="1114"/>
      <c r="D42" s="1112"/>
      <c r="G42" s="566"/>
      <c r="H42" s="847" t="s">
        <v>92</v>
      </c>
      <c r="I42" s="847"/>
      <c r="J42" s="567"/>
      <c r="M42" s="1106"/>
      <c r="N42" s="1126"/>
      <c r="O42" s="1126"/>
      <c r="R42" s="1114"/>
      <c r="S42" s="1114"/>
      <c r="T42" s="1112"/>
      <c r="W42" s="566"/>
      <c r="X42" s="847" t="s">
        <v>92</v>
      </c>
      <c r="Y42" s="847"/>
      <c r="Z42" s="567"/>
      <c r="AC42" s="1106"/>
      <c r="AD42" s="1126"/>
      <c r="AE42" s="1126"/>
      <c r="AH42" s="1114"/>
      <c r="AI42" s="1114"/>
      <c r="AJ42" s="1112"/>
      <c r="AM42" s="566"/>
      <c r="AN42" s="847" t="s">
        <v>92</v>
      </c>
      <c r="AO42" s="847"/>
      <c r="AP42" s="567"/>
      <c r="AS42" s="1106"/>
      <c r="AT42" s="1126"/>
      <c r="AU42" s="1126"/>
      <c r="AX42" s="1114"/>
      <c r="AY42" s="1114"/>
      <c r="AZ42" s="1112"/>
      <c r="BC42" s="566"/>
      <c r="BD42" s="847" t="s">
        <v>92</v>
      </c>
      <c r="BE42" s="847"/>
      <c r="BF42" s="567"/>
      <c r="BI42" s="1106"/>
      <c r="BJ42" s="1126"/>
      <c r="BK42" s="1126"/>
    </row>
    <row r="43" spans="1:63" s="509" customFormat="1" ht="9.75" customHeight="1" x14ac:dyDescent="0.15">
      <c r="B43" s="1114"/>
      <c r="C43" s="1114"/>
      <c r="D43" s="1112"/>
      <c r="G43" s="566"/>
      <c r="H43" s="847" t="s">
        <v>92</v>
      </c>
      <c r="I43" s="847"/>
      <c r="J43" s="567"/>
      <c r="M43" s="1106"/>
      <c r="N43" s="1126"/>
      <c r="O43" s="1126"/>
      <c r="R43" s="1114"/>
      <c r="S43" s="1114"/>
      <c r="T43" s="1112"/>
      <c r="W43" s="566"/>
      <c r="X43" s="847" t="s">
        <v>92</v>
      </c>
      <c r="Y43" s="847"/>
      <c r="Z43" s="567"/>
      <c r="AC43" s="1106"/>
      <c r="AD43" s="1126"/>
      <c r="AE43" s="1126"/>
      <c r="AH43" s="1114"/>
      <c r="AI43" s="1114"/>
      <c r="AJ43" s="1112"/>
      <c r="AM43" s="566"/>
      <c r="AN43" s="847" t="s">
        <v>92</v>
      </c>
      <c r="AO43" s="847"/>
      <c r="AP43" s="567"/>
      <c r="AS43" s="1106"/>
      <c r="AT43" s="1126"/>
      <c r="AU43" s="1126"/>
      <c r="AX43" s="1114"/>
      <c r="AY43" s="1114"/>
      <c r="AZ43" s="1112"/>
      <c r="BC43" s="566"/>
      <c r="BD43" s="847" t="s">
        <v>92</v>
      </c>
      <c r="BE43" s="847"/>
      <c r="BF43" s="567"/>
      <c r="BI43" s="1106"/>
      <c r="BJ43" s="1126"/>
      <c r="BK43" s="1126"/>
    </row>
    <row r="44" spans="1:63" s="509" customFormat="1" ht="9.75" customHeight="1" x14ac:dyDescent="0.15">
      <c r="A44" s="569"/>
      <c r="B44" s="1114"/>
      <c r="C44" s="1114"/>
      <c r="D44" s="1112"/>
      <c r="G44" s="566"/>
      <c r="H44" s="847" t="str">
        <f>IF(G44="","","－")</f>
        <v/>
      </c>
      <c r="I44" s="847"/>
      <c r="J44" s="567"/>
      <c r="M44" s="1106"/>
      <c r="N44" s="1126"/>
      <c r="O44" s="1126"/>
      <c r="R44" s="1114"/>
      <c r="S44" s="1114"/>
      <c r="T44" s="1112"/>
      <c r="W44" s="566"/>
      <c r="X44" s="847" t="str">
        <f>IF(W44="","","－")</f>
        <v/>
      </c>
      <c r="Y44" s="847"/>
      <c r="Z44" s="567"/>
      <c r="AC44" s="1106"/>
      <c r="AD44" s="1126"/>
      <c r="AE44" s="1126"/>
      <c r="AH44" s="1114"/>
      <c r="AI44" s="1114"/>
      <c r="AJ44" s="1112"/>
      <c r="AM44" s="566"/>
      <c r="AN44" s="847" t="str">
        <f>IF(AM44="","","－")</f>
        <v/>
      </c>
      <c r="AO44" s="847"/>
      <c r="AP44" s="567"/>
      <c r="AS44" s="1106"/>
      <c r="AT44" s="1126"/>
      <c r="AU44" s="1126"/>
      <c r="AX44" s="1114"/>
      <c r="AY44" s="1114"/>
      <c r="AZ44" s="1112"/>
      <c r="BC44" s="566"/>
      <c r="BD44" s="847" t="str">
        <f>IF(BC44="","","－")</f>
        <v/>
      </c>
      <c r="BE44" s="847"/>
      <c r="BF44" s="567"/>
      <c r="BI44" s="1106"/>
      <c r="BJ44" s="1126"/>
      <c r="BK44" s="1126"/>
    </row>
    <row r="45" spans="1:63" s="509" customFormat="1" ht="9.75" customHeight="1" x14ac:dyDescent="0.15">
      <c r="B45" s="1114"/>
      <c r="C45" s="1114"/>
      <c r="D45" s="1112"/>
      <c r="G45" s="566"/>
      <c r="H45" s="847" t="str">
        <f>IF(G45="","","－")</f>
        <v/>
      </c>
      <c r="I45" s="847"/>
      <c r="J45" s="567"/>
      <c r="M45" s="1106"/>
      <c r="N45" s="1126"/>
      <c r="O45" s="1126"/>
      <c r="R45" s="1114"/>
      <c r="S45" s="1114"/>
      <c r="T45" s="1112"/>
      <c r="W45" s="566"/>
      <c r="X45" s="847" t="str">
        <f>IF(W45="","","－")</f>
        <v/>
      </c>
      <c r="Y45" s="847"/>
      <c r="Z45" s="567"/>
      <c r="AC45" s="1106"/>
      <c r="AD45" s="1126"/>
      <c r="AE45" s="1126"/>
      <c r="AH45" s="1114"/>
      <c r="AI45" s="1114"/>
      <c r="AJ45" s="1112"/>
      <c r="AM45" s="566"/>
      <c r="AN45" s="847" t="str">
        <f>IF(AM45="","","－")</f>
        <v/>
      </c>
      <c r="AO45" s="847"/>
      <c r="AP45" s="567"/>
      <c r="AS45" s="1106"/>
      <c r="AT45" s="1126"/>
      <c r="AU45" s="1126"/>
      <c r="AX45" s="1114"/>
      <c r="AY45" s="1114"/>
      <c r="AZ45" s="1112"/>
      <c r="BC45" s="566"/>
      <c r="BD45" s="847" t="str">
        <f>IF(BC45="","","－")</f>
        <v/>
      </c>
      <c r="BE45" s="847"/>
      <c r="BF45" s="567"/>
      <c r="BI45" s="1106"/>
      <c r="BJ45" s="1126"/>
      <c r="BK45" s="1126"/>
    </row>
    <row r="46" spans="1:63" s="509" customFormat="1" ht="9.75" customHeight="1" x14ac:dyDescent="0.15">
      <c r="B46" s="1114"/>
      <c r="C46" s="1114"/>
      <c r="D46" s="1112"/>
      <c r="G46" s="847" t="str">
        <f>IF(H47="－","PK","")</f>
        <v/>
      </c>
      <c r="H46" s="847"/>
      <c r="I46" s="847"/>
      <c r="J46" s="847"/>
      <c r="M46" s="1106"/>
      <c r="N46" s="1126"/>
      <c r="O46" s="1126"/>
      <c r="R46" s="1114"/>
      <c r="S46" s="1114"/>
      <c r="T46" s="1112"/>
      <c r="W46" s="847" t="str">
        <f>IF(X47="－","PK","")</f>
        <v/>
      </c>
      <c r="X46" s="847"/>
      <c r="Y46" s="847"/>
      <c r="Z46" s="847"/>
      <c r="AC46" s="1106"/>
      <c r="AD46" s="1126"/>
      <c r="AE46" s="1126"/>
      <c r="AH46" s="1114"/>
      <c r="AI46" s="1114"/>
      <c r="AJ46" s="1112"/>
      <c r="AM46" s="847" t="str">
        <f>IF(AN47="－","PK","")</f>
        <v/>
      </c>
      <c r="AN46" s="847"/>
      <c r="AO46" s="847"/>
      <c r="AP46" s="847"/>
      <c r="AS46" s="1106"/>
      <c r="AT46" s="1126"/>
      <c r="AU46" s="1126"/>
      <c r="AX46" s="1114"/>
      <c r="AY46" s="1114"/>
      <c r="AZ46" s="1112"/>
      <c r="BC46" s="847" t="str">
        <f>IF(BD47="－","PK","")</f>
        <v/>
      </c>
      <c r="BD46" s="847"/>
      <c r="BE46" s="847"/>
      <c r="BF46" s="847"/>
      <c r="BI46" s="1106"/>
      <c r="BJ46" s="1126"/>
      <c r="BK46" s="1126"/>
    </row>
    <row r="47" spans="1:63" s="509" customFormat="1" ht="9.75" customHeight="1" x14ac:dyDescent="0.15">
      <c r="D47" s="1112"/>
      <c r="G47" s="566"/>
      <c r="H47" s="847" t="str">
        <f>IF(G47="","","－")</f>
        <v/>
      </c>
      <c r="I47" s="847"/>
      <c r="J47" s="567"/>
      <c r="M47" s="1106"/>
      <c r="T47" s="1112"/>
      <c r="W47" s="566"/>
      <c r="X47" s="847" t="str">
        <f>IF(W47="","","－")</f>
        <v/>
      </c>
      <c r="Y47" s="847"/>
      <c r="Z47" s="567"/>
      <c r="AC47" s="1106"/>
      <c r="AJ47" s="1112"/>
      <c r="AM47" s="566"/>
      <c r="AN47" s="847" t="str">
        <f>IF(AM47="","","－")</f>
        <v/>
      </c>
      <c r="AO47" s="847"/>
      <c r="AP47" s="567"/>
      <c r="AS47" s="1106"/>
      <c r="AZ47" s="1112"/>
      <c r="BC47" s="566"/>
      <c r="BD47" s="847" t="str">
        <f>IF(BC47="","","－")</f>
        <v/>
      </c>
      <c r="BE47" s="847"/>
      <c r="BF47" s="567"/>
      <c r="BI47" s="1106"/>
    </row>
    <row r="48" spans="1:63" s="509" customFormat="1" ht="9.75" customHeight="1" x14ac:dyDescent="0.15">
      <c r="D48" s="1112"/>
      <c r="F48" s="1103" t="s">
        <v>200</v>
      </c>
      <c r="G48" s="1103"/>
      <c r="I48" s="1130">
        <v>0.39583333333333331</v>
      </c>
      <c r="J48" s="1130"/>
      <c r="K48" s="1130"/>
      <c r="M48" s="1106"/>
      <c r="T48" s="1112"/>
      <c r="V48" s="1103" t="s">
        <v>728</v>
      </c>
      <c r="W48" s="1103"/>
      <c r="Y48" s="1130">
        <v>0.39583333333333331</v>
      </c>
      <c r="Z48" s="1130"/>
      <c r="AA48" s="1130"/>
      <c r="AC48" s="1106"/>
      <c r="AJ48" s="1112"/>
      <c r="AL48" s="1103" t="s">
        <v>201</v>
      </c>
      <c r="AM48" s="1103"/>
      <c r="AO48" s="1130">
        <v>0.39583333333333331</v>
      </c>
      <c r="AP48" s="1130"/>
      <c r="AQ48" s="1130"/>
      <c r="AS48" s="1106"/>
      <c r="AZ48" s="1112"/>
      <c r="BB48" s="1103" t="s">
        <v>199</v>
      </c>
      <c r="BC48" s="1103"/>
      <c r="BE48" s="1130">
        <v>0.39583333333333331</v>
      </c>
      <c r="BF48" s="1130"/>
      <c r="BG48" s="1130"/>
      <c r="BI48" s="1106"/>
    </row>
    <row r="49" spans="1:64" s="1424" customFormat="1" ht="13.5" customHeight="1" thickBot="1" x14ac:dyDescent="0.2">
      <c r="A49" s="1422"/>
      <c r="B49" s="1423"/>
      <c r="C49" s="1423"/>
      <c r="D49" s="1112"/>
      <c r="F49" s="1423"/>
      <c r="G49" s="1425" t="s">
        <v>738</v>
      </c>
      <c r="H49" s="1425"/>
      <c r="I49" s="1425"/>
      <c r="J49" s="1425"/>
      <c r="K49" s="1423"/>
      <c r="M49" s="1106"/>
      <c r="N49" s="1423"/>
      <c r="O49" s="1423"/>
      <c r="P49" s="1423"/>
      <c r="Q49" s="1423"/>
      <c r="R49" s="1423"/>
      <c r="S49" s="1423"/>
      <c r="T49" s="1112"/>
      <c r="V49" s="1423"/>
      <c r="W49" s="1425" t="s">
        <v>739</v>
      </c>
      <c r="X49" s="1425"/>
      <c r="Y49" s="1425"/>
      <c r="Z49" s="1425"/>
      <c r="AA49" s="1423"/>
      <c r="AC49" s="1106"/>
      <c r="AD49" s="1423"/>
      <c r="AE49" s="1423"/>
      <c r="AF49" s="1423"/>
      <c r="AG49" s="1423"/>
      <c r="AH49" s="1423"/>
      <c r="AI49" s="1423"/>
      <c r="AJ49" s="1112"/>
      <c r="AL49" s="1423"/>
      <c r="AM49" s="1425" t="s">
        <v>740</v>
      </c>
      <c r="AN49" s="1425"/>
      <c r="AO49" s="1425"/>
      <c r="AP49" s="1425"/>
      <c r="AQ49" s="1423"/>
      <c r="AS49" s="1106"/>
      <c r="AT49" s="1423"/>
      <c r="AU49" s="1423"/>
      <c r="AV49" s="1423"/>
      <c r="AW49" s="1423"/>
      <c r="AX49" s="1423"/>
      <c r="AY49" s="1423"/>
      <c r="AZ49" s="1112"/>
      <c r="BB49" s="1423"/>
      <c r="BC49" s="1425" t="s">
        <v>741</v>
      </c>
      <c r="BD49" s="1425"/>
      <c r="BE49" s="1425"/>
      <c r="BF49" s="1425"/>
      <c r="BG49" s="1423"/>
      <c r="BI49" s="1106"/>
      <c r="BJ49" s="1423"/>
      <c r="BK49" s="1423"/>
      <c r="BL49" s="1423"/>
    </row>
    <row r="50" spans="1:64" s="509" customFormat="1" ht="6" customHeight="1" x14ac:dyDescent="0.15">
      <c r="D50" s="1112"/>
      <c r="H50" s="847"/>
      <c r="I50" s="847"/>
      <c r="J50" s="562"/>
      <c r="M50" s="1106"/>
      <c r="T50" s="1112"/>
      <c r="X50" s="847"/>
      <c r="Y50" s="847"/>
      <c r="Z50" s="562"/>
      <c r="AC50" s="1106"/>
      <c r="AJ50" s="1112"/>
      <c r="AN50" s="847"/>
      <c r="AO50" s="847"/>
      <c r="AP50" s="562"/>
      <c r="AS50" s="1106"/>
      <c r="AZ50" s="1112"/>
      <c r="BD50" s="847"/>
      <c r="BE50" s="847"/>
      <c r="BF50" s="562"/>
      <c r="BI50" s="1106"/>
    </row>
    <row r="51" spans="1:64" s="509" customFormat="1" ht="9.75" customHeight="1" x14ac:dyDescent="0.15">
      <c r="B51" s="1103" t="str">
        <f>IF(C55="","",SUM(C55:C58))</f>
        <v/>
      </c>
      <c r="C51" s="1103"/>
      <c r="D51" s="1112"/>
      <c r="F51" s="1109" t="str">
        <f>IF(F55="","",SUM(F55:F58))</f>
        <v/>
      </c>
      <c r="G51" s="1109"/>
      <c r="H51" s="496"/>
      <c r="I51" s="496"/>
      <c r="J51" s="1103" t="str">
        <f>IF(K55="","",SUM(K55:K58))</f>
        <v/>
      </c>
      <c r="K51" s="1103"/>
      <c r="M51" s="1106"/>
      <c r="N51" s="1109" t="str">
        <f>IF(N55="","",SUM(N55:N58))</f>
        <v/>
      </c>
      <c r="O51" s="1109"/>
      <c r="R51" s="1103" t="str">
        <f>IF(S55="","",SUM(S55:S58))</f>
        <v/>
      </c>
      <c r="S51" s="1103"/>
      <c r="T51" s="1112"/>
      <c r="V51" s="1109" t="str">
        <f>IF(V55="","",SUM(V55:V58))</f>
        <v/>
      </c>
      <c r="W51" s="1109"/>
      <c r="X51" s="496"/>
      <c r="Y51" s="496"/>
      <c r="Z51" s="1103" t="str">
        <f>IF(AA55="","",SUM(AA55:AA58))</f>
        <v/>
      </c>
      <c r="AA51" s="1103"/>
      <c r="AC51" s="1106"/>
      <c r="AD51" s="1109" t="str">
        <f>IF(AD55="","",SUM(AD55:AD58))</f>
        <v/>
      </c>
      <c r="AE51" s="1109"/>
      <c r="AH51" s="1103" t="str">
        <f>IF(AI55="","",SUM(AI55:AI58))</f>
        <v/>
      </c>
      <c r="AI51" s="1103"/>
      <c r="AJ51" s="1112"/>
      <c r="AL51" s="1109" t="str">
        <f>IF(AL55="","",SUM(AL55:AL58))</f>
        <v/>
      </c>
      <c r="AM51" s="1109"/>
      <c r="AN51" s="496"/>
      <c r="AO51" s="496"/>
      <c r="AP51" s="1103" t="str">
        <f>IF(AQ55="","",SUM(AQ55:AQ58))</f>
        <v/>
      </c>
      <c r="AQ51" s="1103"/>
      <c r="AS51" s="1106"/>
      <c r="AT51" s="1109" t="str">
        <f>IF(AT55="","",SUM(AT55:AT58))</f>
        <v/>
      </c>
      <c r="AU51" s="1109"/>
      <c r="AX51" s="1103" t="str">
        <f>IF(AY55="","",SUM(AY55:AY58))</f>
        <v/>
      </c>
      <c r="AY51" s="1103"/>
      <c r="AZ51" s="1112"/>
      <c r="BB51" s="1109" t="str">
        <f>IF(BB55="","",SUM(BB55:BB58))</f>
        <v/>
      </c>
      <c r="BC51" s="1109"/>
      <c r="BD51" s="496"/>
      <c r="BE51" s="496"/>
      <c r="BF51" s="1103" t="str">
        <f>IF(BG55="","",SUM(BG55:BG58))</f>
        <v/>
      </c>
      <c r="BG51" s="1103"/>
      <c r="BI51" s="1106"/>
      <c r="BJ51" s="1109" t="str">
        <f>IF(BJ55="","",SUM(BJ55:BJ58))</f>
        <v/>
      </c>
      <c r="BK51" s="1109"/>
    </row>
    <row r="52" spans="1:64" s="564" customFormat="1" ht="15.75" hidden="1" customHeight="1" x14ac:dyDescent="0.15">
      <c r="C52" s="564">
        <f>SUM(C55:C60)</f>
        <v>0</v>
      </c>
      <c r="D52" s="1112"/>
      <c r="F52" s="565">
        <f>SUM(F55:F60)</f>
        <v>0</v>
      </c>
      <c r="H52" s="1111"/>
      <c r="I52" s="1111"/>
      <c r="K52" s="564">
        <f>SUM(K55:K60)</f>
        <v>0</v>
      </c>
      <c r="M52" s="1106"/>
      <c r="N52" s="565">
        <f>SUM(N55:N60)</f>
        <v>0</v>
      </c>
      <c r="S52" s="564">
        <f>SUM(S55:S60)</f>
        <v>0</v>
      </c>
      <c r="T52" s="1112"/>
      <c r="V52" s="565">
        <f>SUM(V55:V60)</f>
        <v>0</v>
      </c>
      <c r="X52" s="1111"/>
      <c r="Y52" s="1111"/>
      <c r="AA52" s="564">
        <f>SUM(AA55:AA60)</f>
        <v>0</v>
      </c>
      <c r="AC52" s="1106"/>
      <c r="AD52" s="565">
        <f>SUM(AD55:AD60)</f>
        <v>0</v>
      </c>
      <c r="AI52" s="564">
        <f>SUM(AI55:AI60)</f>
        <v>0</v>
      </c>
      <c r="AJ52" s="1112"/>
      <c r="AL52" s="565">
        <f>SUM(AL55:AL60)</f>
        <v>0</v>
      </c>
      <c r="AN52" s="1111"/>
      <c r="AO52" s="1111"/>
      <c r="AQ52" s="564">
        <f>SUM(AQ55:AQ60)</f>
        <v>0</v>
      </c>
      <c r="AS52" s="1106"/>
      <c r="AT52" s="565">
        <f>SUM(AT55:AT60)</f>
        <v>0</v>
      </c>
      <c r="AY52" s="564">
        <f>SUM(AY55:AY60)</f>
        <v>0</v>
      </c>
      <c r="AZ52" s="1112"/>
      <c r="BB52" s="565">
        <f>SUM(BB55:BB60)</f>
        <v>0</v>
      </c>
      <c r="BD52" s="1111"/>
      <c r="BE52" s="1111"/>
      <c r="BG52" s="564">
        <f>SUM(BG55:BG60)</f>
        <v>0</v>
      </c>
      <c r="BI52" s="1106"/>
      <c r="BJ52" s="565">
        <f>SUM(BJ55:BJ60)</f>
        <v>0</v>
      </c>
    </row>
    <row r="53" spans="1:64" s="509" customFormat="1" ht="3.75" customHeight="1" thickBot="1" x14ac:dyDescent="0.2">
      <c r="C53" s="572"/>
      <c r="D53" s="1113"/>
      <c r="E53" s="1108"/>
      <c r="F53" s="1108"/>
      <c r="H53" s="847"/>
      <c r="I53" s="847"/>
      <c r="K53" s="1108"/>
      <c r="L53" s="1108"/>
      <c r="M53" s="1110"/>
      <c r="N53" s="572"/>
      <c r="S53" s="572"/>
      <c r="T53" s="1113"/>
      <c r="U53" s="1108"/>
      <c r="V53" s="1108"/>
      <c r="X53" s="847"/>
      <c r="Y53" s="847"/>
      <c r="AA53" s="1108"/>
      <c r="AB53" s="1108"/>
      <c r="AC53" s="1110"/>
      <c r="AD53" s="572"/>
      <c r="AI53" s="572"/>
      <c r="AJ53" s="1113"/>
      <c r="AK53" s="1108"/>
      <c r="AL53" s="1108"/>
      <c r="AN53" s="847"/>
      <c r="AO53" s="847"/>
      <c r="AQ53" s="1108"/>
      <c r="AR53" s="1108"/>
      <c r="AS53" s="1110"/>
      <c r="AT53" s="572"/>
      <c r="AY53" s="572"/>
      <c r="AZ53" s="1113"/>
      <c r="BA53" s="1108"/>
      <c r="BB53" s="1108"/>
      <c r="BD53" s="847"/>
      <c r="BE53" s="847"/>
      <c r="BG53" s="1108"/>
      <c r="BH53" s="1108"/>
      <c r="BI53" s="1110"/>
      <c r="BJ53" s="572"/>
    </row>
    <row r="54" spans="1:64" s="509" customFormat="1" ht="3.75" customHeight="1" thickTop="1" x14ac:dyDescent="0.15">
      <c r="B54" s="1104">
        <f>1</f>
        <v>1</v>
      </c>
      <c r="G54" s="1106"/>
      <c r="J54" s="1104">
        <f>3</f>
        <v>3</v>
      </c>
      <c r="O54" s="1106"/>
      <c r="R54" s="1104">
        <f>5</f>
        <v>5</v>
      </c>
      <c r="W54" s="1106"/>
      <c r="Z54" s="1104">
        <f>7</f>
        <v>7</v>
      </c>
      <c r="AE54" s="1106"/>
      <c r="AH54" s="1104">
        <f>9</f>
        <v>9</v>
      </c>
      <c r="AM54" s="1106"/>
      <c r="AP54" s="1104">
        <f>11</f>
        <v>11</v>
      </c>
      <c r="AU54" s="1106"/>
      <c r="AX54" s="1104">
        <f>13</f>
        <v>13</v>
      </c>
      <c r="BC54" s="1106"/>
      <c r="BF54" s="1104">
        <f>15</f>
        <v>15</v>
      </c>
      <c r="BK54" s="1106"/>
    </row>
    <row r="55" spans="1:64" s="509" customFormat="1" ht="9.75" customHeight="1" x14ac:dyDescent="0.15">
      <c r="B55" s="1104"/>
      <c r="C55" s="566"/>
      <c r="D55" s="847" t="s">
        <v>92</v>
      </c>
      <c r="E55" s="847"/>
      <c r="F55" s="567"/>
      <c r="G55" s="1106"/>
      <c r="J55" s="1104"/>
      <c r="K55" s="566"/>
      <c r="L55" s="847" t="s">
        <v>92</v>
      </c>
      <c r="M55" s="847"/>
      <c r="N55" s="567"/>
      <c r="O55" s="1106"/>
      <c r="R55" s="1104"/>
      <c r="S55" s="566"/>
      <c r="T55" s="847" t="s">
        <v>92</v>
      </c>
      <c r="U55" s="847"/>
      <c r="V55" s="567"/>
      <c r="W55" s="1106"/>
      <c r="Z55" s="1104"/>
      <c r="AA55" s="566"/>
      <c r="AB55" s="847" t="s">
        <v>92</v>
      </c>
      <c r="AC55" s="847"/>
      <c r="AD55" s="567"/>
      <c r="AE55" s="1106"/>
      <c r="AH55" s="1104"/>
      <c r="AI55" s="566"/>
      <c r="AJ55" s="847" t="s">
        <v>92</v>
      </c>
      <c r="AK55" s="847"/>
      <c r="AL55" s="567"/>
      <c r="AM55" s="1106"/>
      <c r="AP55" s="1104"/>
      <c r="AQ55" s="566"/>
      <c r="AR55" s="847" t="s">
        <v>92</v>
      </c>
      <c r="AS55" s="847"/>
      <c r="AT55" s="567"/>
      <c r="AU55" s="1106"/>
      <c r="AX55" s="1104"/>
      <c r="AY55" s="566"/>
      <c r="AZ55" s="847" t="s">
        <v>92</v>
      </c>
      <c r="BA55" s="847"/>
      <c r="BB55" s="567"/>
      <c r="BC55" s="1106"/>
      <c r="BF55" s="1104"/>
      <c r="BG55" s="566"/>
      <c r="BH55" s="847" t="s">
        <v>92</v>
      </c>
      <c r="BI55" s="847"/>
      <c r="BJ55" s="567"/>
      <c r="BK55" s="1106"/>
    </row>
    <row r="56" spans="1:64" s="509" customFormat="1" ht="9.75" customHeight="1" x14ac:dyDescent="0.15">
      <c r="B56" s="1104"/>
      <c r="C56" s="566"/>
      <c r="D56" s="847" t="s">
        <v>92</v>
      </c>
      <c r="E56" s="847"/>
      <c r="F56" s="567"/>
      <c r="G56" s="1106"/>
      <c r="J56" s="1104"/>
      <c r="K56" s="566"/>
      <c r="L56" s="847" t="s">
        <v>92</v>
      </c>
      <c r="M56" s="847"/>
      <c r="N56" s="567"/>
      <c r="O56" s="1106"/>
      <c r="R56" s="1104"/>
      <c r="S56" s="566"/>
      <c r="T56" s="847" t="s">
        <v>92</v>
      </c>
      <c r="U56" s="847"/>
      <c r="V56" s="567"/>
      <c r="W56" s="1106"/>
      <c r="Z56" s="1104"/>
      <c r="AA56" s="566"/>
      <c r="AB56" s="847" t="s">
        <v>92</v>
      </c>
      <c r="AC56" s="847"/>
      <c r="AD56" s="567"/>
      <c r="AE56" s="1106"/>
      <c r="AH56" s="1104"/>
      <c r="AI56" s="566"/>
      <c r="AJ56" s="847" t="s">
        <v>92</v>
      </c>
      <c r="AK56" s="847"/>
      <c r="AL56" s="567"/>
      <c r="AM56" s="1106"/>
      <c r="AP56" s="1104"/>
      <c r="AQ56" s="566"/>
      <c r="AR56" s="847" t="s">
        <v>92</v>
      </c>
      <c r="AS56" s="847"/>
      <c r="AT56" s="567"/>
      <c r="AU56" s="1106"/>
      <c r="AX56" s="1104"/>
      <c r="AY56" s="566"/>
      <c r="AZ56" s="847" t="s">
        <v>92</v>
      </c>
      <c r="BA56" s="847"/>
      <c r="BB56" s="567"/>
      <c r="BC56" s="1106"/>
      <c r="BF56" s="1104"/>
      <c r="BG56" s="566"/>
      <c r="BH56" s="847" t="s">
        <v>92</v>
      </c>
      <c r="BI56" s="847"/>
      <c r="BJ56" s="567"/>
      <c r="BK56" s="1106"/>
    </row>
    <row r="57" spans="1:64" s="509" customFormat="1" ht="9.75" customHeight="1" x14ac:dyDescent="0.15">
      <c r="B57" s="1104"/>
      <c r="C57" s="566"/>
      <c r="D57" s="847" t="str">
        <f>IF(C57="","","－")</f>
        <v/>
      </c>
      <c r="E57" s="847"/>
      <c r="F57" s="567"/>
      <c r="G57" s="1106"/>
      <c r="J57" s="1104"/>
      <c r="K57" s="566"/>
      <c r="L57" s="847" t="str">
        <f>IF(K57="","","－")</f>
        <v/>
      </c>
      <c r="M57" s="847"/>
      <c r="N57" s="567"/>
      <c r="O57" s="1106"/>
      <c r="R57" s="1104"/>
      <c r="S57" s="566"/>
      <c r="T57" s="847" t="str">
        <f>IF(S57="","","－")</f>
        <v/>
      </c>
      <c r="U57" s="847"/>
      <c r="V57" s="567"/>
      <c r="W57" s="1106"/>
      <c r="Z57" s="1104"/>
      <c r="AA57" s="566"/>
      <c r="AB57" s="847" t="str">
        <f>IF(AA57="","","－")</f>
        <v/>
      </c>
      <c r="AC57" s="847"/>
      <c r="AD57" s="567"/>
      <c r="AE57" s="1106"/>
      <c r="AH57" s="1104"/>
      <c r="AI57" s="566"/>
      <c r="AJ57" s="847" t="str">
        <f>IF(AI57="","","－")</f>
        <v/>
      </c>
      <c r="AK57" s="847"/>
      <c r="AL57" s="567"/>
      <c r="AM57" s="1106"/>
      <c r="AP57" s="1104"/>
      <c r="AQ57" s="566"/>
      <c r="AR57" s="847" t="str">
        <f>IF(AQ57="","","－")</f>
        <v/>
      </c>
      <c r="AS57" s="847"/>
      <c r="AT57" s="567"/>
      <c r="AU57" s="1106"/>
      <c r="AX57" s="1104"/>
      <c r="AY57" s="566"/>
      <c r="AZ57" s="847" t="str">
        <f>IF(AY57="","","－")</f>
        <v/>
      </c>
      <c r="BA57" s="847"/>
      <c r="BB57" s="567"/>
      <c r="BC57" s="1106"/>
      <c r="BF57" s="1104"/>
      <c r="BG57" s="566"/>
      <c r="BH57" s="847" t="str">
        <f>IF(BG57="","","－")</f>
        <v/>
      </c>
      <c r="BI57" s="847"/>
      <c r="BJ57" s="567"/>
      <c r="BK57" s="1106"/>
    </row>
    <row r="58" spans="1:64" s="509" customFormat="1" ht="9.75" customHeight="1" x14ac:dyDescent="0.15">
      <c r="B58" s="1104"/>
      <c r="C58" s="566"/>
      <c r="D58" s="847" t="str">
        <f>IF(C58="","","－")</f>
        <v/>
      </c>
      <c r="E58" s="847"/>
      <c r="F58" s="567"/>
      <c r="G58" s="1106"/>
      <c r="J58" s="1104"/>
      <c r="K58" s="566"/>
      <c r="L58" s="847" t="str">
        <f>IF(K58="","","－")</f>
        <v/>
      </c>
      <c r="M58" s="847"/>
      <c r="N58" s="567"/>
      <c r="O58" s="1106"/>
      <c r="R58" s="1104"/>
      <c r="S58" s="566"/>
      <c r="T58" s="847" t="str">
        <f>IF(S58="","","－")</f>
        <v/>
      </c>
      <c r="U58" s="847"/>
      <c r="V58" s="567"/>
      <c r="W58" s="1106"/>
      <c r="Z58" s="1104"/>
      <c r="AA58" s="566"/>
      <c r="AB58" s="847" t="str">
        <f>IF(AA58="","","－")</f>
        <v/>
      </c>
      <c r="AC58" s="847"/>
      <c r="AD58" s="567"/>
      <c r="AE58" s="1106"/>
      <c r="AH58" s="1104"/>
      <c r="AI58" s="566"/>
      <c r="AJ58" s="847" t="str">
        <f>IF(AI58="","","－")</f>
        <v/>
      </c>
      <c r="AK58" s="847"/>
      <c r="AL58" s="567"/>
      <c r="AM58" s="1106"/>
      <c r="AP58" s="1104"/>
      <c r="AQ58" s="566"/>
      <c r="AR58" s="847" t="str">
        <f>IF(AQ58="","","－")</f>
        <v/>
      </c>
      <c r="AS58" s="847"/>
      <c r="AT58" s="567"/>
      <c r="AU58" s="1106"/>
      <c r="AX58" s="1104"/>
      <c r="AY58" s="566"/>
      <c r="AZ58" s="847" t="str">
        <f>IF(AY58="","","－")</f>
        <v/>
      </c>
      <c r="BA58" s="847"/>
      <c r="BB58" s="567"/>
      <c r="BC58" s="1106"/>
      <c r="BF58" s="1104"/>
      <c r="BG58" s="566"/>
      <c r="BH58" s="847" t="str">
        <f>IF(BG58="","","－")</f>
        <v/>
      </c>
      <c r="BI58" s="847"/>
      <c r="BJ58" s="567"/>
      <c r="BK58" s="1106"/>
    </row>
    <row r="59" spans="1:64" s="509" customFormat="1" ht="9.75" customHeight="1" x14ac:dyDescent="0.15">
      <c r="A59" s="509" t="s">
        <v>197</v>
      </c>
      <c r="B59" s="1104"/>
      <c r="C59" s="1106" t="str">
        <f>IF(D60="－","PK","")</f>
        <v/>
      </c>
      <c r="D59" s="847"/>
      <c r="E59" s="847"/>
      <c r="F59" s="1112"/>
      <c r="G59" s="1106"/>
      <c r="J59" s="1104"/>
      <c r="K59" s="1106" t="str">
        <f>IF(L60="－","PK","")</f>
        <v/>
      </c>
      <c r="L59" s="847"/>
      <c r="M59" s="847"/>
      <c r="N59" s="1112"/>
      <c r="O59" s="1106"/>
      <c r="R59" s="1104"/>
      <c r="S59" s="1106" t="str">
        <f>IF(T60="－","PK","")</f>
        <v/>
      </c>
      <c r="T59" s="847"/>
      <c r="U59" s="847"/>
      <c r="V59" s="1112"/>
      <c r="W59" s="1106"/>
      <c r="Z59" s="1104"/>
      <c r="AA59" s="1106" t="str">
        <f>IF(AB60="－","PK","")</f>
        <v/>
      </c>
      <c r="AB59" s="847"/>
      <c r="AC59" s="847"/>
      <c r="AD59" s="1112"/>
      <c r="AE59" s="1106"/>
      <c r="AH59" s="1104"/>
      <c r="AI59" s="1106" t="str">
        <f>IF(AJ60="－","PK","")</f>
        <v/>
      </c>
      <c r="AJ59" s="847"/>
      <c r="AK59" s="847"/>
      <c r="AL59" s="1112"/>
      <c r="AM59" s="1106"/>
      <c r="AP59" s="1104"/>
      <c r="AQ59" s="1106" t="str">
        <f>IF(AR60="－","PK","")</f>
        <v/>
      </c>
      <c r="AR59" s="847"/>
      <c r="AS59" s="847"/>
      <c r="AT59" s="1112"/>
      <c r="AU59" s="1106"/>
      <c r="AX59" s="1104"/>
      <c r="AY59" s="1106" t="str">
        <f>IF(AZ60="－","PK","")</f>
        <v/>
      </c>
      <c r="AZ59" s="847"/>
      <c r="BA59" s="847"/>
      <c r="BB59" s="1112"/>
      <c r="BC59" s="1106"/>
      <c r="BF59" s="1104"/>
      <c r="BG59" s="1106" t="str">
        <f>IF(BH60="－","PK","")</f>
        <v/>
      </c>
      <c r="BH59" s="847"/>
      <c r="BI59" s="847"/>
      <c r="BJ59" s="1112"/>
      <c r="BK59" s="1106"/>
    </row>
    <row r="60" spans="1:64" s="509" customFormat="1" ht="9.75" customHeight="1" x14ac:dyDescent="0.15">
      <c r="B60" s="1104"/>
      <c r="C60" s="566"/>
      <c r="D60" s="847" t="str">
        <f>IF(C60="","","－")</f>
        <v/>
      </c>
      <c r="E60" s="847"/>
      <c r="F60" s="567"/>
      <c r="G60" s="1106"/>
      <c r="J60" s="1104"/>
      <c r="K60" s="566"/>
      <c r="L60" s="847" t="str">
        <f>IF(K60="","","－")</f>
        <v/>
      </c>
      <c r="M60" s="847"/>
      <c r="N60" s="567"/>
      <c r="O60" s="1106"/>
      <c r="R60" s="1104"/>
      <c r="S60" s="566"/>
      <c r="T60" s="847" t="str">
        <f>IF(S60="","","－")</f>
        <v/>
      </c>
      <c r="U60" s="847"/>
      <c r="V60" s="567"/>
      <c r="W60" s="1106"/>
      <c r="Z60" s="1104"/>
      <c r="AA60" s="566"/>
      <c r="AB60" s="847" t="str">
        <f>IF(AA60="","","－")</f>
        <v/>
      </c>
      <c r="AC60" s="847"/>
      <c r="AD60" s="567"/>
      <c r="AE60" s="1106"/>
      <c r="AH60" s="1104"/>
      <c r="AI60" s="566"/>
      <c r="AJ60" s="847" t="str">
        <f>IF(AI60="","","－")</f>
        <v/>
      </c>
      <c r="AK60" s="847"/>
      <c r="AL60" s="567"/>
      <c r="AM60" s="1106"/>
      <c r="AP60" s="1104"/>
      <c r="AQ60" s="566"/>
      <c r="AR60" s="847" t="str">
        <f>IF(AQ60="","","－")</f>
        <v/>
      </c>
      <c r="AS60" s="847"/>
      <c r="AT60" s="567"/>
      <c r="AU60" s="1106"/>
      <c r="AX60" s="1104"/>
      <c r="AY60" s="566"/>
      <c r="AZ60" s="847" t="str">
        <f>IF(AY60="","","－")</f>
        <v/>
      </c>
      <c r="BA60" s="847"/>
      <c r="BB60" s="567"/>
      <c r="BC60" s="1106"/>
      <c r="BF60" s="1104"/>
      <c r="BG60" s="566"/>
      <c r="BH60" s="847" t="str">
        <f>IF(BG60="","","－")</f>
        <v/>
      </c>
      <c r="BI60" s="847"/>
      <c r="BJ60" s="567"/>
      <c r="BK60" s="1106"/>
    </row>
    <row r="61" spans="1:64" s="509" customFormat="1" ht="9.75" customHeight="1" x14ac:dyDescent="0.15">
      <c r="A61" s="592">
        <f ca="1">A18-2</f>
        <v>45486</v>
      </c>
      <c r="B61" s="1104"/>
      <c r="C61" s="1106"/>
      <c r="D61" s="847"/>
      <c r="E61" s="847"/>
      <c r="F61" s="1112"/>
      <c r="G61" s="1106"/>
      <c r="J61" s="1104"/>
      <c r="K61" s="1106"/>
      <c r="L61" s="847"/>
      <c r="M61" s="847"/>
      <c r="N61" s="1112"/>
      <c r="O61" s="1106"/>
      <c r="R61" s="1104"/>
      <c r="S61" s="1106"/>
      <c r="T61" s="847"/>
      <c r="U61" s="847"/>
      <c r="V61" s="1112"/>
      <c r="W61" s="1106"/>
      <c r="Z61" s="1104"/>
      <c r="AA61" s="1106"/>
      <c r="AB61" s="847"/>
      <c r="AC61" s="847"/>
      <c r="AD61" s="1112"/>
      <c r="AE61" s="1106"/>
      <c r="AH61" s="1104"/>
      <c r="AI61" s="1106"/>
      <c r="AJ61" s="847"/>
      <c r="AK61" s="847"/>
      <c r="AL61" s="1112"/>
      <c r="AM61" s="1106"/>
      <c r="AP61" s="1104"/>
      <c r="AQ61" s="1106"/>
      <c r="AR61" s="847"/>
      <c r="AS61" s="847"/>
      <c r="AT61" s="1112"/>
      <c r="AU61" s="1106"/>
      <c r="AX61" s="1104"/>
      <c r="AY61" s="1106"/>
      <c r="AZ61" s="847"/>
      <c r="BA61" s="847"/>
      <c r="BB61" s="1112"/>
      <c r="BC61" s="1106"/>
      <c r="BF61" s="1104"/>
      <c r="BG61" s="1106"/>
      <c r="BH61" s="847"/>
      <c r="BI61" s="847"/>
      <c r="BJ61" s="1112"/>
      <c r="BK61" s="1106"/>
    </row>
    <row r="62" spans="1:64" s="509" customFormat="1" ht="9.75" customHeight="1" x14ac:dyDescent="0.15">
      <c r="A62" s="516" t="str">
        <f ca="1">"("&amp;CHOOSE(WEEKDAY(A61),"日","月","火","水","木","金","土")&amp;")"</f>
        <v>(土)</v>
      </c>
      <c r="B62" s="1104"/>
      <c r="C62" s="604"/>
      <c r="D62" s="847" t="s">
        <v>199</v>
      </c>
      <c r="E62" s="847"/>
      <c r="F62" s="605"/>
      <c r="G62" s="1106"/>
      <c r="J62" s="1104"/>
      <c r="K62" s="604"/>
      <c r="L62" s="847" t="s">
        <v>728</v>
      </c>
      <c r="M62" s="847"/>
      <c r="N62" s="605"/>
      <c r="O62" s="1106"/>
      <c r="R62" s="1104"/>
      <c r="S62" s="604"/>
      <c r="T62" s="847" t="s">
        <v>199</v>
      </c>
      <c r="U62" s="847"/>
      <c r="V62" s="605"/>
      <c r="W62" s="1106"/>
      <c r="Z62" s="1104"/>
      <c r="AA62" s="604"/>
      <c r="AB62" s="847" t="s">
        <v>729</v>
      </c>
      <c r="AC62" s="847"/>
      <c r="AD62" s="605"/>
      <c r="AE62" s="1106"/>
      <c r="AH62" s="1104"/>
      <c r="AI62" s="604"/>
      <c r="AJ62" s="847" t="s">
        <v>728</v>
      </c>
      <c r="AK62" s="847"/>
      <c r="AL62" s="605"/>
      <c r="AM62" s="1106"/>
      <c r="AP62" s="1104"/>
      <c r="AQ62" s="604"/>
      <c r="AR62" s="847" t="s">
        <v>201</v>
      </c>
      <c r="AS62" s="847"/>
      <c r="AT62" s="605"/>
      <c r="AU62" s="1106"/>
      <c r="AX62" s="1104"/>
      <c r="AY62" s="604"/>
      <c r="AZ62" s="847" t="s">
        <v>729</v>
      </c>
      <c r="BA62" s="847"/>
      <c r="BB62" s="605"/>
      <c r="BC62" s="1106"/>
      <c r="BF62" s="1104"/>
      <c r="BG62" s="604"/>
      <c r="BH62" s="847" t="s">
        <v>201</v>
      </c>
      <c r="BI62" s="847"/>
      <c r="BJ62" s="605"/>
      <c r="BK62" s="1106"/>
    </row>
    <row r="63" spans="1:64" s="509" customFormat="1" ht="9.75" customHeight="1" x14ac:dyDescent="0.15">
      <c r="B63" s="1104"/>
      <c r="C63" s="1093">
        <v>0.39583333333333331</v>
      </c>
      <c r="D63" s="1094"/>
      <c r="E63" s="1094"/>
      <c r="F63" s="1095"/>
      <c r="G63" s="1106"/>
      <c r="J63" s="1104"/>
      <c r="K63" s="1093">
        <v>0.39583333333333331</v>
      </c>
      <c r="L63" s="1094"/>
      <c r="M63" s="1094"/>
      <c r="N63" s="1095"/>
      <c r="O63" s="1106"/>
      <c r="R63" s="1104"/>
      <c r="S63" s="1093">
        <v>0.5</v>
      </c>
      <c r="T63" s="1094"/>
      <c r="U63" s="1094"/>
      <c r="V63" s="1095"/>
      <c r="W63" s="1106"/>
      <c r="Z63" s="1104"/>
      <c r="AA63" s="1093">
        <v>0.5</v>
      </c>
      <c r="AB63" s="1094"/>
      <c r="AC63" s="1094"/>
      <c r="AD63" s="1095"/>
      <c r="AE63" s="1106"/>
      <c r="AH63" s="1104"/>
      <c r="AI63" s="1093">
        <v>0.5</v>
      </c>
      <c r="AJ63" s="1094"/>
      <c r="AK63" s="1094"/>
      <c r="AL63" s="1095"/>
      <c r="AM63" s="1106"/>
      <c r="AP63" s="1104"/>
      <c r="AQ63" s="1093">
        <v>0.5</v>
      </c>
      <c r="AR63" s="1094"/>
      <c r="AS63" s="1094"/>
      <c r="AT63" s="1095"/>
      <c r="AU63" s="1106"/>
      <c r="AX63" s="1104"/>
      <c r="AY63" s="1093">
        <v>0.39583333333333331</v>
      </c>
      <c r="AZ63" s="1094"/>
      <c r="BA63" s="1094"/>
      <c r="BB63" s="1095"/>
      <c r="BC63" s="1106"/>
      <c r="BF63" s="1104"/>
      <c r="BG63" s="1093">
        <v>0.39583333333333331</v>
      </c>
      <c r="BH63" s="1094"/>
      <c r="BI63" s="1094"/>
      <c r="BJ63" s="1095"/>
      <c r="BK63" s="1106"/>
    </row>
    <row r="64" spans="1:64" s="509" customFormat="1" ht="9.75" customHeight="1" x14ac:dyDescent="0.15">
      <c r="B64" s="1104"/>
      <c r="C64" s="1106" t="s">
        <v>730</v>
      </c>
      <c r="D64" s="847"/>
      <c r="E64" s="847"/>
      <c r="F64" s="1112"/>
      <c r="G64" s="1106"/>
      <c r="J64" s="1104"/>
      <c r="K64" s="1106" t="s">
        <v>731</v>
      </c>
      <c r="L64" s="847"/>
      <c r="M64" s="847"/>
      <c r="N64" s="1112"/>
      <c r="O64" s="1106"/>
      <c r="R64" s="1104"/>
      <c r="S64" s="1106" t="s">
        <v>732</v>
      </c>
      <c r="T64" s="847"/>
      <c r="U64" s="847"/>
      <c r="V64" s="1112"/>
      <c r="W64" s="1106"/>
      <c r="Z64" s="1104"/>
      <c r="AA64" s="1106" t="s">
        <v>733</v>
      </c>
      <c r="AB64" s="847"/>
      <c r="AC64" s="847"/>
      <c r="AD64" s="1112"/>
      <c r="AE64" s="1106"/>
      <c r="AH64" s="1104"/>
      <c r="AI64" s="1106" t="s">
        <v>734</v>
      </c>
      <c r="AJ64" s="847"/>
      <c r="AK64" s="847"/>
      <c r="AL64" s="1112"/>
      <c r="AM64" s="1106"/>
      <c r="AP64" s="1104"/>
      <c r="AQ64" s="1106" t="s">
        <v>735</v>
      </c>
      <c r="AR64" s="847"/>
      <c r="AS64" s="847"/>
      <c r="AT64" s="1112"/>
      <c r="AU64" s="1106"/>
      <c r="AX64" s="1104"/>
      <c r="AY64" s="1106" t="s">
        <v>736</v>
      </c>
      <c r="AZ64" s="847"/>
      <c r="BA64" s="847"/>
      <c r="BB64" s="1112"/>
      <c r="BC64" s="1106"/>
      <c r="BF64" s="1104"/>
      <c r="BG64" s="1106" t="s">
        <v>737</v>
      </c>
      <c r="BH64" s="847"/>
      <c r="BI64" s="847"/>
      <c r="BJ64" s="1112"/>
      <c r="BK64" s="1106"/>
    </row>
    <row r="65" spans="2:63" s="509" customFormat="1" ht="9.75" customHeight="1" x14ac:dyDescent="0.15">
      <c r="B65" s="1104"/>
      <c r="G65" s="1106"/>
      <c r="J65" s="1104"/>
      <c r="O65" s="1106"/>
      <c r="R65" s="1104"/>
      <c r="W65" s="1106"/>
      <c r="Z65" s="1104"/>
      <c r="AE65" s="1106"/>
      <c r="AH65" s="1104"/>
      <c r="AM65" s="1106"/>
      <c r="AP65" s="1104"/>
      <c r="AU65" s="1106"/>
      <c r="AX65" s="1104"/>
      <c r="BC65" s="1106"/>
      <c r="BF65" s="1104"/>
      <c r="BK65" s="1106"/>
    </row>
    <row r="66" spans="2:63" s="509" customFormat="1" ht="9.75" customHeight="1" x14ac:dyDescent="0.15">
      <c r="B66" s="1104"/>
      <c r="G66" s="1106"/>
      <c r="J66" s="1104"/>
      <c r="O66" s="1106"/>
      <c r="R66" s="1104"/>
      <c r="W66" s="1106"/>
      <c r="Z66" s="1104"/>
      <c r="AE66" s="1106"/>
      <c r="AH66" s="1104"/>
      <c r="AM66" s="1106"/>
      <c r="AP66" s="1104"/>
      <c r="AU66" s="1106"/>
      <c r="AX66" s="1104"/>
      <c r="BC66" s="1106"/>
      <c r="BF66" s="1104"/>
      <c r="BK66" s="1106"/>
    </row>
    <row r="67" spans="2:63" s="509" customFormat="1" ht="9.75" customHeight="1" x14ac:dyDescent="0.15">
      <c r="B67" s="1104"/>
      <c r="G67" s="1106"/>
      <c r="J67" s="1104"/>
      <c r="O67" s="1106"/>
      <c r="R67" s="1104"/>
      <c r="W67" s="1106"/>
      <c r="Z67" s="1104"/>
      <c r="AE67" s="1106"/>
      <c r="AH67" s="1104"/>
      <c r="AM67" s="1106"/>
      <c r="AP67" s="1104"/>
      <c r="AU67" s="1106"/>
      <c r="AX67" s="1104"/>
      <c r="BC67" s="1106"/>
      <c r="BF67" s="1104"/>
      <c r="BK67" s="1106"/>
    </row>
    <row r="68" spans="2:63" s="509" customFormat="1" ht="9.75" customHeight="1" x14ac:dyDescent="0.15">
      <c r="B68" s="1104"/>
      <c r="G68" s="1106"/>
      <c r="J68" s="1104"/>
      <c r="O68" s="1106"/>
      <c r="R68" s="1104"/>
      <c r="W68" s="1106"/>
      <c r="Z68" s="1104"/>
      <c r="AE68" s="1106"/>
      <c r="AH68" s="1104"/>
      <c r="AM68" s="1106"/>
      <c r="AP68" s="1104"/>
      <c r="AU68" s="1106"/>
      <c r="AX68" s="1104"/>
      <c r="BC68" s="1106"/>
      <c r="BF68" s="1104"/>
      <c r="BK68" s="1106"/>
    </row>
    <row r="69" spans="2:63" s="509" customFormat="1" ht="9.75" hidden="1" customHeight="1" x14ac:dyDescent="0.15">
      <c r="B69" s="1104"/>
      <c r="G69" s="1106"/>
      <c r="J69" s="1104"/>
      <c r="O69" s="1106"/>
      <c r="R69" s="1104"/>
      <c r="W69" s="1106"/>
      <c r="Z69" s="1104"/>
      <c r="AE69" s="1106"/>
      <c r="AH69" s="1104"/>
      <c r="AM69" s="1106"/>
      <c r="AP69" s="1104"/>
      <c r="AU69" s="1106"/>
      <c r="AX69" s="1104"/>
      <c r="BC69" s="1106"/>
      <c r="BF69" s="1104"/>
      <c r="BK69" s="1106"/>
    </row>
    <row r="70" spans="2:63" s="509" customFormat="1" ht="9.75" hidden="1" customHeight="1" x14ac:dyDescent="0.15">
      <c r="B70" s="1104"/>
      <c r="G70" s="1106"/>
      <c r="J70" s="1104"/>
      <c r="O70" s="1106"/>
      <c r="R70" s="1104"/>
      <c r="W70" s="1106"/>
      <c r="Z70" s="1104"/>
      <c r="AE70" s="1106"/>
      <c r="AH70" s="1104"/>
      <c r="AM70" s="1106"/>
      <c r="AP70" s="1104"/>
      <c r="AU70" s="1106"/>
      <c r="AX70" s="1104"/>
      <c r="BC70" s="1106"/>
      <c r="BF70" s="1104"/>
      <c r="BK70" s="1106"/>
    </row>
    <row r="71" spans="2:63" s="573" customFormat="1" ht="9.75" customHeight="1" x14ac:dyDescent="0.15">
      <c r="B71" s="1105"/>
      <c r="F71" s="574">
        <f>2</f>
        <v>2</v>
      </c>
      <c r="G71" s="1106"/>
      <c r="J71" s="1105"/>
      <c r="N71" s="574">
        <f>4</f>
        <v>4</v>
      </c>
      <c r="O71" s="1107"/>
      <c r="R71" s="1105"/>
      <c r="V71" s="574">
        <f>6</f>
        <v>6</v>
      </c>
      <c r="W71" s="1107"/>
      <c r="Z71" s="1105"/>
      <c r="AD71" s="574">
        <f>8</f>
        <v>8</v>
      </c>
      <c r="AE71" s="1107"/>
      <c r="AH71" s="1105"/>
      <c r="AL71" s="574">
        <f>10</f>
        <v>10</v>
      </c>
      <c r="AM71" s="1107"/>
      <c r="AP71" s="1105"/>
      <c r="AT71" s="574">
        <f>12</f>
        <v>12</v>
      </c>
      <c r="AU71" s="1107"/>
      <c r="AX71" s="1105"/>
      <c r="BB71" s="574">
        <f>14</f>
        <v>14</v>
      </c>
      <c r="BC71" s="1107"/>
      <c r="BF71" s="1105"/>
      <c r="BJ71" s="574">
        <f>16</f>
        <v>16</v>
      </c>
      <c r="BK71" s="1107"/>
    </row>
    <row r="72" spans="2:63" s="557" customFormat="1" ht="6" customHeight="1" x14ac:dyDescent="0.15">
      <c r="B72" s="1098" t="str">
        <f>INDEX(県体学校名!$B$4:$J$19,MATCH('県体(赤)'!B54,県体学校名!$B$4:$B$19,0),2)</f>
        <v>学院附属</v>
      </c>
      <c r="C72" s="1099"/>
      <c r="D72" s="575"/>
      <c r="E72" s="575"/>
      <c r="F72" s="1098" t="str">
        <f>INDEX(県体学校名!$B$4:$J$19,MATCH('県体(赤)'!F71,県体学校名!$B$4:$B$19,0),2)</f>
        <v>紫錦台</v>
      </c>
      <c r="G72" s="1099"/>
      <c r="H72" s="576"/>
      <c r="I72" s="577"/>
      <c r="J72" s="1098" t="str">
        <f>INDEX(県体学校名!$B$4:$J$19,MATCH('県体(赤)'!J54,県体学校名!$B$4:$B$19,0),2)</f>
        <v>津幡南</v>
      </c>
      <c r="K72" s="1099"/>
      <c r="L72" s="575"/>
      <c r="M72" s="575"/>
      <c r="N72" s="1098" t="str">
        <f>INDEX(県体学校名!$B$4:$J$19,MATCH('県体(赤)'!N71,県体学校名!$B$4:$B$19,0),2)</f>
        <v>北辰</v>
      </c>
      <c r="O72" s="1099"/>
      <c r="P72" s="575"/>
      <c r="Q72" s="575"/>
      <c r="R72" s="1098" t="str">
        <f>INDEX(県体学校名!$B$4:$J$19,MATCH('県体(赤)'!R54,県体学校名!$B$4:$B$19,0),2)</f>
        <v>野々市</v>
      </c>
      <c r="S72" s="1099"/>
      <c r="T72" s="575"/>
      <c r="U72" s="575"/>
      <c r="V72" s="1098" t="str">
        <f>INDEX(県体学校名!$B$4:$J$19,MATCH('県体(赤)'!V71,県体学校名!$B$4:$B$19,0),2)</f>
        <v>浅野川</v>
      </c>
      <c r="W72" s="1099"/>
      <c r="X72" s="575"/>
      <c r="Y72" s="575"/>
      <c r="Z72" s="1098" t="str">
        <f>INDEX(県体学校名!$B$4:$J$19,MATCH('県体(赤)'!Z54,県体学校名!$B$4:$B$19,0),2)</f>
        <v>清泉</v>
      </c>
      <c r="AA72" s="1099"/>
      <c r="AB72" s="575"/>
      <c r="AC72" s="575"/>
      <c r="AD72" s="1098" t="str">
        <f>INDEX(県体学校名!$B$4:$J$19,MATCH('県体(赤)'!AD71,県体学校名!$B$4:$B$19,0),2)</f>
        <v>兼六</v>
      </c>
      <c r="AE72" s="1099"/>
      <c r="AF72" s="575"/>
      <c r="AG72" s="575"/>
      <c r="AH72" s="1098" t="str">
        <f>INDEX(県体学校名!$B$4:$J$19,MATCH('県体(赤)'!AH54,県体学校名!$B$4:$B$19,0),2)</f>
        <v>星稜</v>
      </c>
      <c r="AI72" s="1099"/>
      <c r="AJ72" s="575"/>
      <c r="AK72" s="575"/>
      <c r="AL72" s="1098" t="str">
        <f>INDEX(県体学校名!$B$4:$J$19,MATCH('県体(赤)'!AL71,県体学校名!$B$4:$B$19,0),2)</f>
        <v>輪島</v>
      </c>
      <c r="AM72" s="1099"/>
      <c r="AN72" s="575"/>
      <c r="AO72" s="575"/>
      <c r="AP72" s="1098" t="str">
        <f>INDEX(県体学校名!$B$4:$J$19,MATCH('県体(赤)'!AP54,県体学校名!$B$4:$B$19,0),2)</f>
        <v>西南部</v>
      </c>
      <c r="AQ72" s="1099"/>
      <c r="AR72" s="575"/>
      <c r="AS72" s="575"/>
      <c r="AT72" s="1098" t="str">
        <f>INDEX(県体学校名!$B$4:$J$19,MATCH('県体(赤)'!AT71,県体学校名!$B$4:$B$19,0),2)</f>
        <v>中能登</v>
      </c>
      <c r="AU72" s="1099"/>
      <c r="AV72" s="575"/>
      <c r="AW72" s="575"/>
      <c r="AX72" s="1098" t="str">
        <f>INDEX(県体学校名!$B$4:$J$19,MATCH('県体(赤)'!AX54,県体学校名!$B$4:$B$19,0),2)</f>
        <v>北星</v>
      </c>
      <c r="AY72" s="1099"/>
      <c r="AZ72" s="575"/>
      <c r="BA72" s="575"/>
      <c r="BB72" s="1098" t="str">
        <f>INDEX(県体学校名!$B$4:$J$19,MATCH('県体(赤)'!BB71,県体学校名!$B$4:$B$19,0),2)</f>
        <v>布水</v>
      </c>
      <c r="BC72" s="1099"/>
      <c r="BD72" s="575"/>
      <c r="BE72" s="575"/>
      <c r="BF72" s="1098" t="str">
        <f>INDEX(県体学校名!$B$4:$J$19,MATCH('県体(赤)'!BF54,県体学校名!$B$4:$B$19,0),2)</f>
        <v>野田</v>
      </c>
      <c r="BG72" s="1099"/>
      <c r="BH72" s="575"/>
      <c r="BI72" s="575"/>
      <c r="BJ72" s="1098" t="str">
        <f>INDEX(県体学校名!$B$4:$J$19,MATCH('県体(赤)'!BJ71,県体学校名!$B$4:$B$19,0),2)</f>
        <v>松任</v>
      </c>
      <c r="BK72" s="1099"/>
    </row>
    <row r="73" spans="2:63" s="593" customFormat="1" ht="165.75" customHeight="1" x14ac:dyDescent="0.15">
      <c r="B73" s="1100" t="str">
        <f>INDEX(県体学校名!$B$4:$J$19,MATCH(B$54,県体学校名!$B$4:$B$19,0),8)</f>
        <v>金沢学院大学附属中学校</v>
      </c>
      <c r="C73" s="1101"/>
      <c r="D73" s="603"/>
      <c r="E73" s="603"/>
      <c r="F73" s="1100" t="str">
        <f>INDEX(県体学校名!$B$4:$J$19,MATCH(F$71,県体学校名!$B$4:$B$19,0),8)</f>
        <v>金沢市立紫錦台中学校</v>
      </c>
      <c r="G73" s="1101"/>
      <c r="H73" s="601"/>
      <c r="I73" s="602"/>
      <c r="J73" s="1100" t="str">
        <f>INDEX(県体学校名!$B$4:$J$19,MATCH(J$54,県体学校名!$B$4:$B$19,0),8)</f>
        <v>津幡町立津幡南中学校</v>
      </c>
      <c r="K73" s="1101"/>
      <c r="L73" s="603"/>
      <c r="M73" s="603"/>
      <c r="N73" s="1100" t="str">
        <f>INDEX(県体学校名!$B$4:$J$19,MATCH(N$71,県体学校名!$B$4:$B$19,0),8)</f>
        <v>白山市立北辰中学校</v>
      </c>
      <c r="O73" s="1101"/>
      <c r="P73" s="603"/>
      <c r="Q73" s="603"/>
      <c r="R73" s="1100" t="str">
        <f>INDEX(県体学校名!$B$4:$J$19,MATCH(R$54,県体学校名!$B$4:$B$19,0),8)</f>
        <v>野々市市立野々市中学校</v>
      </c>
      <c r="S73" s="1101"/>
      <c r="T73" s="603"/>
      <c r="U73" s="603"/>
      <c r="V73" s="1100" t="str">
        <f>INDEX(県体学校名!$B$4:$J$19,MATCH(V$71,県体学校名!$B$4:$B$19,0),8)</f>
        <v>金沢市立浅野川中学校</v>
      </c>
      <c r="W73" s="1101"/>
      <c r="X73" s="603"/>
      <c r="Y73" s="603"/>
      <c r="Z73" s="1100" t="str">
        <f>INDEX(県体学校名!$B$4:$J$19,MATCH(Z$54,県体学校名!$B$4:$B$19,0),8)</f>
        <v>金沢市立清泉中学校</v>
      </c>
      <c r="AA73" s="1101"/>
      <c r="AB73" s="603"/>
      <c r="AC73" s="603"/>
      <c r="AD73" s="1100" t="str">
        <f>INDEX(県体学校名!$B$4:$J$19,MATCH(AD$71,県体学校名!$B$4:$B$19,0),8)</f>
        <v>金沢市立兼六中学校</v>
      </c>
      <c r="AE73" s="1101"/>
      <c r="AF73" s="603"/>
      <c r="AG73" s="603"/>
      <c r="AH73" s="1100" t="str">
        <f>INDEX(県体学校名!$B$4:$J$19,MATCH(AH$54,県体学校名!$B$4:$B$19,0),8)</f>
        <v>星稜中学校</v>
      </c>
      <c r="AI73" s="1101"/>
      <c r="AJ73" s="603"/>
      <c r="AK73" s="603"/>
      <c r="AL73" s="1100" t="str">
        <f>INDEX(県体学校名!$B$4:$J$19,MATCH(AL$71,県体学校名!$B$4:$B$19,0),8)</f>
        <v>輪島市立輪島中学校</v>
      </c>
      <c r="AM73" s="1101"/>
      <c r="AN73" s="603"/>
      <c r="AO73" s="603"/>
      <c r="AP73" s="1100" t="str">
        <f>INDEX(県体学校名!$B$4:$J$19,MATCH(AP$54,県体学校名!$B$4:$B$19,0),8)</f>
        <v>金沢市立西南部中学校</v>
      </c>
      <c r="AQ73" s="1101"/>
      <c r="AR73" s="603"/>
      <c r="AS73" s="603"/>
      <c r="AT73" s="1100" t="str">
        <f>INDEX(県体学校名!$B$4:$J$19,MATCH(AT$71,県体学校名!$B$4:$B$19,0),8)</f>
        <v>中能登町立中能登中学校</v>
      </c>
      <c r="AU73" s="1101"/>
      <c r="AV73" s="603"/>
      <c r="AW73" s="603"/>
      <c r="AX73" s="1100" t="str">
        <f>INDEX(県体学校名!$B$4:$J$19,MATCH(AX$54,県体学校名!$B$4:$B$19,0),8)</f>
        <v>白山市立北星中学校</v>
      </c>
      <c r="AY73" s="1101"/>
      <c r="AZ73" s="603"/>
      <c r="BA73" s="603"/>
      <c r="BB73" s="1100" t="str">
        <f>INDEX(県体学校名!$B$4:$J$19,MATCH(BB$71,県体学校名!$B$4:$B$19,0),8)</f>
        <v>野々市市立布水中学校</v>
      </c>
      <c r="BC73" s="1101"/>
      <c r="BD73" s="603"/>
      <c r="BE73" s="603"/>
      <c r="BF73" s="1100" t="str">
        <f>INDEX(県体学校名!$B$4:$J$19,MATCH(BF$54,県体学校名!$B$4:$B$19,0),8)</f>
        <v>金沢市立野田中学校</v>
      </c>
      <c r="BG73" s="1101"/>
      <c r="BH73" s="603"/>
      <c r="BI73" s="603"/>
      <c r="BJ73" s="1100" t="str">
        <f>INDEX(県体学校名!$B$4:$J$19,MATCH(BJ$71,県体学校名!$B$4:$B$19,0),8)</f>
        <v>白山市立松任中学校</v>
      </c>
      <c r="BK73" s="1101"/>
    </row>
    <row r="74" spans="2:63" s="580" customFormat="1" ht="6" customHeight="1" x14ac:dyDescent="0.15">
      <c r="B74" s="578"/>
      <c r="C74" s="579"/>
      <c r="F74" s="578"/>
      <c r="G74" s="579"/>
      <c r="H74" s="578"/>
      <c r="I74" s="579"/>
      <c r="J74" s="578"/>
      <c r="K74" s="579"/>
      <c r="N74" s="578"/>
      <c r="O74" s="579"/>
      <c r="R74" s="578"/>
      <c r="S74" s="579"/>
      <c r="V74" s="578"/>
      <c r="W74" s="579"/>
      <c r="Z74" s="578"/>
      <c r="AA74" s="579"/>
      <c r="AD74" s="578"/>
      <c r="AE74" s="579"/>
      <c r="AH74" s="578"/>
      <c r="AI74" s="579"/>
      <c r="AL74" s="578"/>
      <c r="AM74" s="579"/>
      <c r="AP74" s="578"/>
      <c r="AQ74" s="579"/>
      <c r="AT74" s="578"/>
      <c r="AU74" s="579"/>
      <c r="AX74" s="578"/>
      <c r="AY74" s="579"/>
      <c r="BB74" s="578"/>
      <c r="BC74" s="579"/>
      <c r="BF74" s="578"/>
      <c r="BG74" s="579"/>
      <c r="BJ74" s="578"/>
      <c r="BK74" s="579"/>
    </row>
    <row r="75" spans="2:63" s="594" customFormat="1" ht="87" customHeight="1" x14ac:dyDescent="0.15">
      <c r="B75" s="1096" t="str">
        <f>INDEX(県体学校名!$B$4:$J$19,MATCH(B$54,県体学校名!$B$4:$B$19,0),9)</f>
        <v>北加賀１位</v>
      </c>
      <c r="C75" s="1097"/>
      <c r="F75" s="1096" t="str">
        <f>INDEX(県体学校名!$B$4:$J$19,MATCH(F$71,県体学校名!$B$4:$B$19,0),9)</f>
        <v>北加賀代表</v>
      </c>
      <c r="G75" s="1102"/>
      <c r="H75" s="595"/>
      <c r="I75" s="596"/>
      <c r="J75" s="1096" t="str">
        <f>INDEX(県体学校名!$B$4:$J$19,MATCH(J$54,県体学校名!$B$4:$B$19,0),9)</f>
        <v>北加賀３位</v>
      </c>
      <c r="K75" s="1097"/>
      <c r="N75" s="1096" t="str">
        <f>INDEX(県体学校名!$B$4:$J$19,MATCH(N$71,県体学校名!$B$4:$B$19,0),9)</f>
        <v>南加賀代表</v>
      </c>
      <c r="O75" s="1097"/>
      <c r="R75" s="1096" t="str">
        <f>INDEX(県体学校名!$B$4:$J$19,MATCH(R$54,県体学校名!$B$4:$B$19,0),9)</f>
        <v>南加賀２位</v>
      </c>
      <c r="S75" s="1097"/>
      <c r="V75" s="1096" t="str">
        <f>INDEX(県体学校名!$B$4:$J$19,MATCH(V$71,県体学校名!$B$4:$B$19,0),9)</f>
        <v>北加賀代表</v>
      </c>
      <c r="W75" s="1097"/>
      <c r="Z75" s="1096" t="str">
        <f>INDEX(県体学校名!$B$4:$J$19,MATCH(Z$54,県体学校名!$B$4:$B$19,0),9)</f>
        <v>北加賀代表</v>
      </c>
      <c r="AA75" s="1097"/>
      <c r="AD75" s="1096" t="str">
        <f>INDEX(県体学校名!$B$4:$J$19,MATCH(AD$71,県体学校名!$B$4:$B$19,0),9)</f>
        <v>北加賀３位</v>
      </c>
      <c r="AE75" s="1097"/>
      <c r="AH75" s="1096" t="str">
        <f>INDEX(県体学校名!$B$4:$J$19,MATCH(AH$54,県体学校名!$B$4:$B$19,0),9)</f>
        <v>北加賀２位</v>
      </c>
      <c r="AI75" s="1097"/>
      <c r="AL75" s="1096" t="str">
        <f>INDEX(県体学校名!$B$4:$J$19,MATCH(AL$71,県体学校名!$B$4:$B$19,0),9)</f>
        <v>能登地区２位</v>
      </c>
      <c r="AM75" s="1097"/>
      <c r="AP75" s="1096" t="str">
        <f>INDEX(県体学校名!$B$4:$J$19,MATCH(AP$54,県体学校名!$B$4:$B$19,0),9)</f>
        <v>北加賀代表</v>
      </c>
      <c r="AQ75" s="1097"/>
      <c r="AT75" s="1096" t="str">
        <f>INDEX(県体学校名!$B$4:$J$19,MATCH(AT$71,県体学校名!$B$4:$B$19,0),9)</f>
        <v>能登地区１位</v>
      </c>
      <c r="AU75" s="1097"/>
      <c r="AX75" s="1096" t="str">
        <f>INDEX(県体学校名!$B$4:$J$19,MATCH(AX$54,県体学校名!$B$4:$B$19,0),9)</f>
        <v>南加賀３位</v>
      </c>
      <c r="AY75" s="1097"/>
      <c r="BB75" s="1096" t="str">
        <f>INDEX(県体学校名!$B$4:$J$19,MATCH(BB$71,県体学校名!$B$4:$B$19,0),9)</f>
        <v>南加賀３位</v>
      </c>
      <c r="BC75" s="1097"/>
      <c r="BF75" s="1096" t="str">
        <f>INDEX(県体学校名!$B$4:$J$19,MATCH(BF$54,県体学校名!$B$4:$B$19,0),9)</f>
        <v>北加賀代表</v>
      </c>
      <c r="BG75" s="1097"/>
      <c r="BJ75" s="1096" t="str">
        <f>INDEX(県体学校名!$B$4:$J$19,MATCH(BJ$71,県体学校名!$B$4:$B$19,0),9)</f>
        <v>南加賀１位</v>
      </c>
      <c r="BK75" s="1097"/>
    </row>
    <row r="77" spans="2:63" s="563" customFormat="1" ht="13.5" customHeight="1" x14ac:dyDescent="0.15">
      <c r="G77" s="581" t="str">
        <f>IF($W$8="","【会場】","")</f>
        <v>【会場】</v>
      </c>
      <c r="J77" s="563" t="str">
        <f>IF($W$8="",BP15&amp;"："&amp;BQ15,"")</f>
        <v>A：金沢ゴーゴーカレースタジアム</v>
      </c>
      <c r="AD77" s="590" t="str">
        <f>IF($W$8="",BP16&amp;"："&amp;BQ16,"")</f>
        <v>B：スカイパークこまつ翼 A</v>
      </c>
      <c r="AX77" s="563" t="str">
        <f>IF($W$8="",BP17&amp;"："&amp;BQ17,"")</f>
        <v>C：スカイパークこまつ翼 B</v>
      </c>
    </row>
    <row r="78" spans="2:63" s="563" customFormat="1" ht="13.5" customHeight="1" x14ac:dyDescent="0.15">
      <c r="J78" s="563" t="str">
        <f>IF($W$8="",BP18&amp;"："&amp;BQ18,"")</f>
        <v>D：小松市民センター</v>
      </c>
      <c r="AD78" s="590" t="str">
        <f>IF($W$8="",BP19&amp;"："&amp;BQ19,"")</f>
        <v>E：木場潟公園多目的Ｇ</v>
      </c>
      <c r="AX78" s="563" t="str">
        <f>IF($W$8="",BP20&amp;"："&amp;BQ20,"")</f>
        <v>F：県営根上サッカー場</v>
      </c>
    </row>
    <row r="79" spans="2:63" s="563" customFormat="1" ht="10.5" x14ac:dyDescent="0.15">
      <c r="Z79" s="590"/>
    </row>
    <row r="80" spans="2:63" s="563" customFormat="1" ht="10.5" x14ac:dyDescent="0.15">
      <c r="Z80" s="590"/>
    </row>
    <row r="81" spans="26:26" s="563" customFormat="1" ht="10.5" x14ac:dyDescent="0.15">
      <c r="Z81" s="590"/>
    </row>
    <row r="82" spans="26:26" s="563" customFormat="1" ht="10.5" x14ac:dyDescent="0.15">
      <c r="Z82" s="590"/>
    </row>
  </sheetData>
  <mergeCells count="348">
    <mergeCell ref="BJ22:BM22"/>
    <mergeCell ref="BG23:BJ23"/>
    <mergeCell ref="F48:G48"/>
    <mergeCell ref="I48:K48"/>
    <mergeCell ref="V48:W48"/>
    <mergeCell ref="Y48:AA48"/>
    <mergeCell ref="AL48:AM48"/>
    <mergeCell ref="AO48:AQ48"/>
    <mergeCell ref="BB48:BC48"/>
    <mergeCell ref="BE48:BG48"/>
    <mergeCell ref="N35:O35"/>
    <mergeCell ref="Q35:S35"/>
    <mergeCell ref="AT35:AU35"/>
    <mergeCell ref="AW35:AY35"/>
    <mergeCell ref="AL38:AM38"/>
    <mergeCell ref="AP38:AQ38"/>
    <mergeCell ref="BB38:BC38"/>
    <mergeCell ref="P39:Q39"/>
    <mergeCell ref="BC49:BF49"/>
    <mergeCell ref="O36:R36"/>
    <mergeCell ref="AU36:AX36"/>
    <mergeCell ref="BE28:BE40"/>
    <mergeCell ref="AV29:AW29"/>
    <mergeCell ref="AV32:AW32"/>
    <mergeCell ref="AV30:AW30"/>
    <mergeCell ref="AV31:AW31"/>
    <mergeCell ref="BF38:BG38"/>
    <mergeCell ref="Z40:AB40"/>
    <mergeCell ref="AK40:AM40"/>
    <mergeCell ref="AO40:AR40"/>
    <mergeCell ref="BA40:BD40"/>
    <mergeCell ref="BF40:BH40"/>
    <mergeCell ref="V38:W38"/>
    <mergeCell ref="Z38:AA38"/>
    <mergeCell ref="D41:D53"/>
    <mergeCell ref="B51:C51"/>
    <mergeCell ref="AI64:AL64"/>
    <mergeCell ref="AA64:AD64"/>
    <mergeCell ref="S64:V64"/>
    <mergeCell ref="K64:N64"/>
    <mergeCell ref="G49:J49"/>
    <mergeCell ref="W49:Z49"/>
    <mergeCell ref="AM49:AP49"/>
    <mergeCell ref="BJ41:BK46"/>
    <mergeCell ref="BF28:BG33"/>
    <mergeCell ref="AL28:AM33"/>
    <mergeCell ref="Z28:AA33"/>
    <mergeCell ref="F28:G33"/>
    <mergeCell ref="H28:H40"/>
    <mergeCell ref="O33:R33"/>
    <mergeCell ref="AU33:AX33"/>
    <mergeCell ref="P29:Q29"/>
    <mergeCell ref="P30:Q30"/>
    <mergeCell ref="P32:Q32"/>
    <mergeCell ref="P31:Q31"/>
    <mergeCell ref="F38:G38"/>
    <mergeCell ref="E40:G40"/>
    <mergeCell ref="U40:X40"/>
    <mergeCell ref="J38:K38"/>
    <mergeCell ref="R8:V9"/>
    <mergeCell ref="BH10:BH13"/>
    <mergeCell ref="AD11:AE11"/>
    <mergeCell ref="AH11:AI11"/>
    <mergeCell ref="BF11:BG11"/>
    <mergeCell ref="AL10:AY11"/>
    <mergeCell ref="BH16:BI16"/>
    <mergeCell ref="BH17:BI17"/>
    <mergeCell ref="Q13:AE13"/>
    <mergeCell ref="AG13:AV13"/>
    <mergeCell ref="AQ8:AY9"/>
    <mergeCell ref="BH15:BI15"/>
    <mergeCell ref="BJ11:BK11"/>
    <mergeCell ref="BF8:BK9"/>
    <mergeCell ref="W8:AP9"/>
    <mergeCell ref="BF13:BG13"/>
    <mergeCell ref="BI13:BK13"/>
    <mergeCell ref="AF10:AF13"/>
    <mergeCell ref="BE14:BE21"/>
    <mergeCell ref="BL14:BL21"/>
    <mergeCell ref="AX14:AY19"/>
    <mergeCell ref="AD21:AE21"/>
    <mergeCell ref="AG21:AI21"/>
    <mergeCell ref="BG19:BJ19"/>
    <mergeCell ref="BF21:BK21"/>
    <mergeCell ref="A1:BK1"/>
    <mergeCell ref="B3:F3"/>
    <mergeCell ref="H3:W3"/>
    <mergeCell ref="Y3:AD3"/>
    <mergeCell ref="B5:F5"/>
    <mergeCell ref="D6:F6"/>
    <mergeCell ref="BC6:BJ7"/>
    <mergeCell ref="H5:W5"/>
    <mergeCell ref="Y5:AD5"/>
    <mergeCell ref="B4:F4"/>
    <mergeCell ref="H4:W4"/>
    <mergeCell ref="Y4:AD4"/>
    <mergeCell ref="H6:W6"/>
    <mergeCell ref="Y6:AD6"/>
    <mergeCell ref="AE5:AY5"/>
    <mergeCell ref="AE4:AY4"/>
    <mergeCell ref="AE3:AY3"/>
    <mergeCell ref="AV39:AW39"/>
    <mergeCell ref="I40:L40"/>
    <mergeCell ref="Y28:Y40"/>
    <mergeCell ref="AN28:AN40"/>
    <mergeCell ref="P34:Q34"/>
    <mergeCell ref="AN43:AO43"/>
    <mergeCell ref="AN44:AO44"/>
    <mergeCell ref="X43:Y43"/>
    <mergeCell ref="X44:Y44"/>
    <mergeCell ref="P37:Q37"/>
    <mergeCell ref="AV37:AW37"/>
    <mergeCell ref="AV34:AW34"/>
    <mergeCell ref="N41:O46"/>
    <mergeCell ref="R41:S46"/>
    <mergeCell ref="AD41:AE46"/>
    <mergeCell ref="AH41:AI46"/>
    <mergeCell ref="AT41:AU46"/>
    <mergeCell ref="AJ55:AK55"/>
    <mergeCell ref="BC54:BC71"/>
    <mergeCell ref="BF54:BF71"/>
    <mergeCell ref="BG64:BJ64"/>
    <mergeCell ref="BK54:BK71"/>
    <mergeCell ref="P40:Q40"/>
    <mergeCell ref="AV40:AW40"/>
    <mergeCell ref="BF72:BG72"/>
    <mergeCell ref="D56:E56"/>
    <mergeCell ref="C61:F61"/>
    <mergeCell ref="L56:M56"/>
    <mergeCell ref="D57:E57"/>
    <mergeCell ref="L57:M57"/>
    <mergeCell ref="D58:E58"/>
    <mergeCell ref="L58:M58"/>
    <mergeCell ref="D60:E60"/>
    <mergeCell ref="L60:M60"/>
    <mergeCell ref="C59:F59"/>
    <mergeCell ref="B72:C72"/>
    <mergeCell ref="F72:G72"/>
    <mergeCell ref="N72:O72"/>
    <mergeCell ref="BG61:BJ61"/>
    <mergeCell ref="AZ56:BA56"/>
    <mergeCell ref="B41:C46"/>
    <mergeCell ref="AB56:AC56"/>
    <mergeCell ref="K59:N59"/>
    <mergeCell ref="AB55:AC55"/>
    <mergeCell ref="C64:F64"/>
    <mergeCell ref="AY64:BB64"/>
    <mergeCell ref="AQ64:AT64"/>
    <mergeCell ref="T57:U57"/>
    <mergeCell ref="BH60:BI60"/>
    <mergeCell ref="AR55:AS55"/>
    <mergeCell ref="AZ55:BA55"/>
    <mergeCell ref="BH55:BI55"/>
    <mergeCell ref="AI59:AL59"/>
    <mergeCell ref="AQ59:AT59"/>
    <mergeCell ref="AY59:BB59"/>
    <mergeCell ref="BG59:BJ59"/>
    <mergeCell ref="BH56:BI56"/>
    <mergeCell ref="BH57:BI57"/>
    <mergeCell ref="BH58:BI58"/>
    <mergeCell ref="AZ57:BA57"/>
    <mergeCell ref="AR56:AS56"/>
    <mergeCell ref="AR57:AS57"/>
    <mergeCell ref="AJ56:AK56"/>
    <mergeCell ref="AZ60:BA60"/>
    <mergeCell ref="AZ58:BA58"/>
    <mergeCell ref="B73:C73"/>
    <mergeCell ref="F73:G73"/>
    <mergeCell ref="J73:K73"/>
    <mergeCell ref="N73:O73"/>
    <mergeCell ref="AX73:AY73"/>
    <mergeCell ref="R73:S73"/>
    <mergeCell ref="V73:W73"/>
    <mergeCell ref="Z73:AA73"/>
    <mergeCell ref="AD73:AE73"/>
    <mergeCell ref="S59:V59"/>
    <mergeCell ref="AA59:AD59"/>
    <mergeCell ref="J72:K72"/>
    <mergeCell ref="AQ61:AT61"/>
    <mergeCell ref="AJ57:AK57"/>
    <mergeCell ref="AY61:BB61"/>
    <mergeCell ref="BB72:BC72"/>
    <mergeCell ref="T60:U60"/>
    <mergeCell ref="AB60:AC60"/>
    <mergeCell ref="K61:N61"/>
    <mergeCell ref="AA61:AD61"/>
    <mergeCell ref="AJ58:AK58"/>
    <mergeCell ref="AJ60:AK60"/>
    <mergeCell ref="AR60:AS60"/>
    <mergeCell ref="AT72:AU72"/>
    <mergeCell ref="AX72:AY72"/>
    <mergeCell ref="AM54:AM71"/>
    <mergeCell ref="AP54:AP71"/>
    <mergeCell ref="AI63:AL63"/>
    <mergeCell ref="AI61:AL61"/>
    <mergeCell ref="AR58:AS58"/>
    <mergeCell ref="S61:V61"/>
    <mergeCell ref="AU54:AU71"/>
    <mergeCell ref="AX54:AX71"/>
    <mergeCell ref="P14:P27"/>
    <mergeCell ref="AW14:AW27"/>
    <mergeCell ref="AE19:AH19"/>
    <mergeCell ref="AF20:AG20"/>
    <mergeCell ref="BH20:BI20"/>
    <mergeCell ref="N25:O25"/>
    <mergeCell ref="R25:S25"/>
    <mergeCell ref="AT25:AU25"/>
    <mergeCell ref="AX25:AY25"/>
    <mergeCell ref="AF26:AG26"/>
    <mergeCell ref="I27:O27"/>
    <mergeCell ref="Q27:X27"/>
    <mergeCell ref="AO27:AV27"/>
    <mergeCell ref="AX27:BD27"/>
    <mergeCell ref="N14:O19"/>
    <mergeCell ref="AF15:AG15"/>
    <mergeCell ref="AF16:AG16"/>
    <mergeCell ref="AF27:AG27"/>
    <mergeCell ref="AF17:AG17"/>
    <mergeCell ref="AF18:AG18"/>
    <mergeCell ref="AE22:AH22"/>
    <mergeCell ref="BH18:BI18"/>
    <mergeCell ref="BH22:BI22"/>
    <mergeCell ref="BC22:BG22"/>
    <mergeCell ref="BD42:BE42"/>
    <mergeCell ref="G46:J46"/>
    <mergeCell ref="W46:Z46"/>
    <mergeCell ref="AM46:AP46"/>
    <mergeCell ref="BC46:BF46"/>
    <mergeCell ref="M41:M53"/>
    <mergeCell ref="T41:T53"/>
    <mergeCell ref="AC41:AC53"/>
    <mergeCell ref="J51:K51"/>
    <mergeCell ref="N51:O51"/>
    <mergeCell ref="R51:S51"/>
    <mergeCell ref="V51:W51"/>
    <mergeCell ref="Z51:AA51"/>
    <mergeCell ref="AN53:AO53"/>
    <mergeCell ref="X53:Y53"/>
    <mergeCell ref="X52:Y52"/>
    <mergeCell ref="AN52:AO52"/>
    <mergeCell ref="H47:I47"/>
    <mergeCell ref="X47:Y47"/>
    <mergeCell ref="BD45:BE45"/>
    <mergeCell ref="BD43:BE43"/>
    <mergeCell ref="BD44:BE44"/>
    <mergeCell ref="AN47:AO47"/>
    <mergeCell ref="H45:I45"/>
    <mergeCell ref="AZ41:AZ53"/>
    <mergeCell ref="H42:I42"/>
    <mergeCell ref="X42:Y42"/>
    <mergeCell ref="AN42:AO42"/>
    <mergeCell ref="H50:I50"/>
    <mergeCell ref="X50:Y50"/>
    <mergeCell ref="AN50:AO50"/>
    <mergeCell ref="AL51:AM51"/>
    <mergeCell ref="AP51:AQ51"/>
    <mergeCell ref="AT51:AU51"/>
    <mergeCell ref="AD51:AE51"/>
    <mergeCell ref="AX41:AY46"/>
    <mergeCell ref="E53:F53"/>
    <mergeCell ref="K53:L53"/>
    <mergeCell ref="U53:V53"/>
    <mergeCell ref="AA53:AB53"/>
    <mergeCell ref="H53:I53"/>
    <mergeCell ref="BJ51:BK51"/>
    <mergeCell ref="BI41:BI53"/>
    <mergeCell ref="BD50:BE50"/>
    <mergeCell ref="AH51:AI51"/>
    <mergeCell ref="AK53:AL53"/>
    <mergeCell ref="AQ53:AR53"/>
    <mergeCell ref="BA53:BB53"/>
    <mergeCell ref="BG53:BH53"/>
    <mergeCell ref="H43:I43"/>
    <mergeCell ref="H44:I44"/>
    <mergeCell ref="H52:I52"/>
    <mergeCell ref="F51:G51"/>
    <mergeCell ref="AX51:AY51"/>
    <mergeCell ref="BB51:BC51"/>
    <mergeCell ref="X45:Y45"/>
    <mergeCell ref="AN45:AO45"/>
    <mergeCell ref="BD52:BE52"/>
    <mergeCell ref="AJ41:AJ53"/>
    <mergeCell ref="AS41:AS53"/>
    <mergeCell ref="BF51:BG51"/>
    <mergeCell ref="BD47:BE47"/>
    <mergeCell ref="B54:B71"/>
    <mergeCell ref="G54:G71"/>
    <mergeCell ref="J54:J71"/>
    <mergeCell ref="O54:O71"/>
    <mergeCell ref="R54:R71"/>
    <mergeCell ref="W54:W71"/>
    <mergeCell ref="Z54:Z71"/>
    <mergeCell ref="AE54:AE71"/>
    <mergeCell ref="AH54:AH71"/>
    <mergeCell ref="D55:E55"/>
    <mergeCell ref="L55:M55"/>
    <mergeCell ref="T55:U55"/>
    <mergeCell ref="T56:U56"/>
    <mergeCell ref="AB57:AC57"/>
    <mergeCell ref="T58:U58"/>
    <mergeCell ref="AB58:AC58"/>
    <mergeCell ref="BD53:BE53"/>
    <mergeCell ref="C63:F63"/>
    <mergeCell ref="D62:E62"/>
    <mergeCell ref="K63:N63"/>
    <mergeCell ref="S63:V63"/>
    <mergeCell ref="AA63:AD63"/>
    <mergeCell ref="B75:C75"/>
    <mergeCell ref="F75:G75"/>
    <mergeCell ref="J75:K75"/>
    <mergeCell ref="N75:O75"/>
    <mergeCell ref="R75:S75"/>
    <mergeCell ref="V75:W75"/>
    <mergeCell ref="Z75:AA75"/>
    <mergeCell ref="AD75:AE75"/>
    <mergeCell ref="AH75:AI75"/>
    <mergeCell ref="AL75:AM75"/>
    <mergeCell ref="AP75:AQ75"/>
    <mergeCell ref="AT75:AU75"/>
    <mergeCell ref="AX75:AY75"/>
    <mergeCell ref="BB75:BC75"/>
    <mergeCell ref="BF75:BG75"/>
    <mergeCell ref="BJ75:BK75"/>
    <mergeCell ref="R72:S72"/>
    <mergeCell ref="V72:W72"/>
    <mergeCell ref="Z72:AA72"/>
    <mergeCell ref="AD72:AE72"/>
    <mergeCell ref="AH72:AI72"/>
    <mergeCell ref="AL72:AM72"/>
    <mergeCell ref="AP72:AQ72"/>
    <mergeCell ref="BB73:BC73"/>
    <mergeCell ref="BF73:BG73"/>
    <mergeCell ref="BJ73:BK73"/>
    <mergeCell ref="AH73:AI73"/>
    <mergeCell ref="AL73:AM73"/>
    <mergeCell ref="AP73:AQ73"/>
    <mergeCell ref="AT73:AU73"/>
    <mergeCell ref="BJ72:BK72"/>
    <mergeCell ref="AQ63:AT63"/>
    <mergeCell ref="AY63:BB63"/>
    <mergeCell ref="BG63:BJ63"/>
    <mergeCell ref="L62:M62"/>
    <mergeCell ref="T62:U62"/>
    <mergeCell ref="AB62:AC62"/>
    <mergeCell ref="AJ62:AK62"/>
    <mergeCell ref="AR62:AS62"/>
    <mergeCell ref="AZ62:BA62"/>
    <mergeCell ref="BH62:BI62"/>
  </mergeCells>
  <phoneticPr fontId="2"/>
  <conditionalFormatting sqref="B54:B71">
    <cfRule type="expression" dxfId="109" priority="57" stopIfTrue="1">
      <formula>$C$52&lt;=$F$52</formula>
    </cfRule>
  </conditionalFormatting>
  <conditionalFormatting sqref="B72:C75 F72:G75 J72:K75 N72:O75 R72:S75 V72:W75 Z72:AA75 AD72:AE75 AH72:AI75 AL72:AM75 AP72:AQ75 AT72:AU75 AX72:AY75 BB72:BC75 BF72:BG75 BJ72:BK75">
    <cfRule type="expression" dxfId="108" priority="59" stopIfTrue="1">
      <formula>ISERROR(B72)</formula>
    </cfRule>
  </conditionalFormatting>
  <conditionalFormatting sqref="C53">
    <cfRule type="expression" dxfId="107" priority="55" stopIfTrue="1">
      <formula>$C$52&lt;=$F$52</formula>
    </cfRule>
  </conditionalFormatting>
  <conditionalFormatting sqref="C62:F64">
    <cfRule type="expression" dxfId="106" priority="38">
      <formula>$B$41&lt;&gt;""</formula>
    </cfRule>
  </conditionalFormatting>
  <conditionalFormatting sqref="D41:D53">
    <cfRule type="expression" dxfId="105" priority="125" stopIfTrue="1">
      <formula>$C$52=$F$52</formula>
    </cfRule>
    <cfRule type="expression" dxfId="104" priority="124" stopIfTrue="1">
      <formula>$C$52&lt;$F$52</formula>
    </cfRule>
  </conditionalFormatting>
  <conditionalFormatting sqref="E53:F53">
    <cfRule type="expression" dxfId="103" priority="54" stopIfTrue="1">
      <formula>$F$52&lt;=$C$52</formula>
    </cfRule>
  </conditionalFormatting>
  <conditionalFormatting sqref="E40:G40">
    <cfRule type="expression" dxfId="102" priority="53" stopIfTrue="1">
      <formula>$G$39&lt;=$J$39</formula>
    </cfRule>
  </conditionalFormatting>
  <conditionalFormatting sqref="F48:K49">
    <cfRule type="expression" dxfId="101" priority="22">
      <formula>$F$28&lt;&gt;""</formula>
    </cfRule>
  </conditionalFormatting>
  <conditionalFormatting sqref="G54:G71">
    <cfRule type="expression" dxfId="100" priority="56" stopIfTrue="1">
      <formula>$F$52&lt;=$C$52</formula>
    </cfRule>
  </conditionalFormatting>
  <conditionalFormatting sqref="H28:H40">
    <cfRule type="expression" dxfId="99" priority="108" stopIfTrue="1">
      <formula>$G$39&lt;$J$39</formula>
    </cfRule>
    <cfRule type="expression" dxfId="98" priority="109" stopIfTrue="1">
      <formula>$G$39=$J$39</formula>
    </cfRule>
  </conditionalFormatting>
  <conditionalFormatting sqref="I40:L40">
    <cfRule type="expression" dxfId="97" priority="52" stopIfTrue="1">
      <formula>$J$39&lt;=$G$39</formula>
    </cfRule>
  </conditionalFormatting>
  <conditionalFormatting sqref="I27:O27">
    <cfRule type="expression" dxfId="96" priority="67" stopIfTrue="1">
      <formula>$O$26&lt;=$R$26</formula>
    </cfRule>
  </conditionalFormatting>
  <conditionalFormatting sqref="J54:J71">
    <cfRule type="expression" dxfId="95" priority="101" stopIfTrue="1">
      <formula>$K$52&lt;=$N$52</formula>
    </cfRule>
  </conditionalFormatting>
  <conditionalFormatting sqref="K53:L53">
    <cfRule type="expression" dxfId="94" priority="87" stopIfTrue="1">
      <formula>$K$52&lt;=$N$52</formula>
    </cfRule>
  </conditionalFormatting>
  <conditionalFormatting sqref="K62:N64">
    <cfRule type="expression" dxfId="93" priority="29">
      <formula>$N$41&lt;&gt;""</formula>
    </cfRule>
  </conditionalFormatting>
  <conditionalFormatting sqref="M41:M53">
    <cfRule type="expression" dxfId="92" priority="111" stopIfTrue="1">
      <formula>$N$52&lt;$K$52</formula>
    </cfRule>
    <cfRule type="expression" dxfId="91" priority="110" stopIfTrue="1">
      <formula>$N$52=$K$52</formula>
    </cfRule>
  </conditionalFormatting>
  <conditionalFormatting sqref="N53">
    <cfRule type="expression" dxfId="90" priority="86" stopIfTrue="1">
      <formula>$N$52&lt;=$K$52</formula>
    </cfRule>
  </conditionalFormatting>
  <conditionalFormatting sqref="N35:S36">
    <cfRule type="expression" dxfId="89" priority="17">
      <formula>$N$14&lt;&gt;""</formula>
    </cfRule>
  </conditionalFormatting>
  <conditionalFormatting sqref="O54:O71">
    <cfRule type="expression" dxfId="88" priority="100" stopIfTrue="1">
      <formula>$N$52&lt;=$K$52</formula>
    </cfRule>
  </conditionalFormatting>
  <conditionalFormatting sqref="P14:P27">
    <cfRule type="expression" dxfId="87" priority="127" stopIfTrue="1">
      <formula>$O$26=$R$26</formula>
    </cfRule>
    <cfRule type="expression" dxfId="86" priority="126" stopIfTrue="1">
      <formula>$O$26&lt;$R$26</formula>
    </cfRule>
  </conditionalFormatting>
  <conditionalFormatting sqref="Q27:X27">
    <cfRule type="expression" dxfId="85" priority="66" stopIfTrue="1">
      <formula>$R$26&lt;=$O$26</formula>
    </cfRule>
  </conditionalFormatting>
  <conditionalFormatting sqref="Q13:AE13">
    <cfRule type="expression" dxfId="84" priority="63" stopIfTrue="1">
      <formula>$AE$12&lt;=$AH$12</formula>
    </cfRule>
  </conditionalFormatting>
  <conditionalFormatting sqref="R54:R71">
    <cfRule type="expression" dxfId="83" priority="99" stopIfTrue="1">
      <formula>$S$52&lt;=$V$52</formula>
    </cfRule>
  </conditionalFormatting>
  <conditionalFormatting sqref="S53">
    <cfRule type="expression" dxfId="82" priority="85" stopIfTrue="1">
      <formula>$S$52&lt;=$V$52</formula>
    </cfRule>
  </conditionalFormatting>
  <conditionalFormatting sqref="S62:V64">
    <cfRule type="expression" dxfId="81" priority="28">
      <formula>$R$41&lt;&gt;""</formula>
    </cfRule>
  </conditionalFormatting>
  <conditionalFormatting sqref="T41:T53">
    <cfRule type="expression" dxfId="80" priority="112" stopIfTrue="1">
      <formula>$S$52=$V$52</formula>
    </cfRule>
    <cfRule type="expression" dxfId="79" priority="113" stopIfTrue="1">
      <formula>$S$52&lt;$V$52</formula>
    </cfRule>
  </conditionalFormatting>
  <conditionalFormatting sqref="U53:V53">
    <cfRule type="expression" dxfId="78" priority="84" stopIfTrue="1">
      <formula>$V$52&lt;=$S$52</formula>
    </cfRule>
  </conditionalFormatting>
  <conditionalFormatting sqref="U40:X40">
    <cfRule type="expression" dxfId="77" priority="73" stopIfTrue="1">
      <formula>$W$39&lt;=$Z$39</formula>
    </cfRule>
  </conditionalFormatting>
  <conditionalFormatting sqref="V48:AA49">
    <cfRule type="expression" dxfId="76" priority="18">
      <formula>$Z$28&lt;&gt;""</formula>
    </cfRule>
  </conditionalFormatting>
  <conditionalFormatting sqref="W54:W71">
    <cfRule type="expression" dxfId="75" priority="98" stopIfTrue="1">
      <formula>$V$52&lt;=$S$52</formula>
    </cfRule>
  </conditionalFormatting>
  <conditionalFormatting sqref="Y28:Y40">
    <cfRule type="expression" dxfId="74" priority="102" stopIfTrue="1">
      <formula>$Z$39&lt;$W$39</formula>
    </cfRule>
    <cfRule type="expression" dxfId="73" priority="103" stopIfTrue="1">
      <formula>$Z$39=$W$39</formula>
    </cfRule>
  </conditionalFormatting>
  <conditionalFormatting sqref="Z54:Z71">
    <cfRule type="expression" dxfId="72" priority="97" stopIfTrue="1">
      <formula>$AA$52&lt;=$AD$52</formula>
    </cfRule>
  </conditionalFormatting>
  <conditionalFormatting sqref="Z40:AB40">
    <cfRule type="expression" dxfId="71" priority="72" stopIfTrue="1">
      <formula>$Z$39&lt;=$W$39</formula>
    </cfRule>
  </conditionalFormatting>
  <conditionalFormatting sqref="AA62 AD62">
    <cfRule type="expression" dxfId="70" priority="8">
      <formula>$R$41&lt;&gt;""</formula>
    </cfRule>
  </conditionalFormatting>
  <conditionalFormatting sqref="AA53:AB53">
    <cfRule type="expression" dxfId="69" priority="83" stopIfTrue="1">
      <formula>$AA$52&lt;=$AD$52</formula>
    </cfRule>
  </conditionalFormatting>
  <conditionalFormatting sqref="AA62:AD64">
    <cfRule type="expression" dxfId="68" priority="27">
      <formula>$AD$41&lt;&gt;""</formula>
    </cfRule>
  </conditionalFormatting>
  <conditionalFormatting sqref="AC41:AC53">
    <cfRule type="expression" dxfId="67" priority="114" stopIfTrue="1">
      <formula>$AD$52=$AA$52</formula>
    </cfRule>
    <cfRule type="expression" dxfId="66" priority="115" stopIfTrue="1">
      <formula>$AD$52&lt;$AA$52</formula>
    </cfRule>
  </conditionalFormatting>
  <conditionalFormatting sqref="AD53">
    <cfRule type="expression" dxfId="65" priority="82" stopIfTrue="1">
      <formula>$AD$52&lt;=$AA$52</formula>
    </cfRule>
  </conditionalFormatting>
  <conditionalFormatting sqref="AD21:AI22">
    <cfRule type="expression" dxfId="64" priority="15">
      <formula>$W$8&lt;&gt;""</formula>
    </cfRule>
  </conditionalFormatting>
  <conditionalFormatting sqref="AE54:AE71">
    <cfRule type="expression" dxfId="63" priority="96" stopIfTrue="1">
      <formula>$AD$52&lt;=$AA$52</formula>
    </cfRule>
  </conditionalFormatting>
  <conditionalFormatting sqref="AF10:AF13">
    <cfRule type="expression" dxfId="62" priority="61" stopIfTrue="1">
      <formula>$AE$12&lt;$AH$12</formula>
    </cfRule>
    <cfRule type="expression" dxfId="61" priority="62" stopIfTrue="1">
      <formula>$AE$12=$AH$12</formula>
    </cfRule>
  </conditionalFormatting>
  <conditionalFormatting sqref="AG13:AV13">
    <cfRule type="expression" dxfId="60" priority="60" stopIfTrue="1">
      <formula>$AH$12&lt;=$AE$12</formula>
    </cfRule>
  </conditionalFormatting>
  <conditionalFormatting sqref="AH54:AH71">
    <cfRule type="expression" dxfId="59" priority="95" stopIfTrue="1">
      <formula>$AI$52&lt;=$AL$52</formula>
    </cfRule>
  </conditionalFormatting>
  <conditionalFormatting sqref="AI53">
    <cfRule type="expression" dxfId="58" priority="81" stopIfTrue="1">
      <formula>$AI$52&lt;=$AL$52</formula>
    </cfRule>
  </conditionalFormatting>
  <conditionalFormatting sqref="AI62:AL64">
    <cfRule type="expression" dxfId="57" priority="26">
      <formula>$AH$41&lt;&gt;""</formula>
    </cfRule>
  </conditionalFormatting>
  <conditionalFormatting sqref="AJ41:AJ53">
    <cfRule type="expression" dxfId="56" priority="117" stopIfTrue="1">
      <formula>$AI$52&lt;$AL$52</formula>
    </cfRule>
    <cfRule type="expression" dxfId="55" priority="116" stopIfTrue="1">
      <formula>$AI$52=$AL$52</formula>
    </cfRule>
  </conditionalFormatting>
  <conditionalFormatting sqref="AK53:AL53">
    <cfRule type="expression" dxfId="54" priority="80" stopIfTrue="1">
      <formula>$AL$52&lt;=$AI$52</formula>
    </cfRule>
  </conditionalFormatting>
  <conditionalFormatting sqref="AK40:AM40">
    <cfRule type="expression" dxfId="53" priority="71" stopIfTrue="1">
      <formula>$AM$39&lt;=$AP$39</formula>
    </cfRule>
  </conditionalFormatting>
  <conditionalFormatting sqref="AL48:AQ49">
    <cfRule type="expression" dxfId="52" priority="20">
      <formula>$AL$28&lt;&gt;""</formula>
    </cfRule>
  </conditionalFormatting>
  <conditionalFormatting sqref="AM54:AM71">
    <cfRule type="expression" dxfId="51" priority="94" stopIfTrue="1">
      <formula>$AL$52&lt;=$AI$52</formula>
    </cfRule>
  </conditionalFormatting>
  <conditionalFormatting sqref="AN28:AN40">
    <cfRule type="expression" dxfId="50" priority="105" stopIfTrue="1">
      <formula>$AM$39=$AP$39</formula>
    </cfRule>
    <cfRule type="expression" dxfId="49" priority="104" stopIfTrue="1">
      <formula>$AM$39&lt;$AP$39</formula>
    </cfRule>
  </conditionalFormatting>
  <conditionalFormatting sqref="AO40:AR40">
    <cfRule type="expression" dxfId="48" priority="70" stopIfTrue="1">
      <formula>$AP$39&lt;=$AM$39</formula>
    </cfRule>
  </conditionalFormatting>
  <conditionalFormatting sqref="AO27:AV27">
    <cfRule type="expression" dxfId="47" priority="65" stopIfTrue="1">
      <formula>$AU$26&lt;=$AX$26</formula>
    </cfRule>
  </conditionalFormatting>
  <conditionalFormatting sqref="AP54:AP71">
    <cfRule type="expression" dxfId="46" priority="93" stopIfTrue="1">
      <formula>$AQ$52&lt;=$AT$52</formula>
    </cfRule>
  </conditionalFormatting>
  <conditionalFormatting sqref="AQ53:AR53">
    <cfRule type="expression" dxfId="45" priority="78" stopIfTrue="1">
      <formula>$AQ$52&lt;=$AT$52</formula>
    </cfRule>
  </conditionalFormatting>
  <conditionalFormatting sqref="AQ62:AT64">
    <cfRule type="expression" dxfId="44" priority="25">
      <formula>$AT$41&lt;&gt;""</formula>
    </cfRule>
  </conditionalFormatting>
  <conditionalFormatting sqref="AS41:AS53">
    <cfRule type="expression" dxfId="43" priority="118" stopIfTrue="1">
      <formula>$AT$52=$AQ$52</formula>
    </cfRule>
    <cfRule type="expression" dxfId="42" priority="119" stopIfTrue="1">
      <formula>$AT$52&lt;$AQ$52</formula>
    </cfRule>
  </conditionalFormatting>
  <conditionalFormatting sqref="AT53">
    <cfRule type="expression" dxfId="41" priority="79" stopIfTrue="1">
      <formula>$AT$52&lt;=$AQ$52</formula>
    </cfRule>
  </conditionalFormatting>
  <conditionalFormatting sqref="AT35:AY36">
    <cfRule type="expression" dxfId="40" priority="16">
      <formula>$AX$14&lt;&gt;""</formula>
    </cfRule>
  </conditionalFormatting>
  <conditionalFormatting sqref="AU54:AU71">
    <cfRule type="expression" dxfId="39" priority="92" stopIfTrue="1">
      <formula>$AT$52&lt;=$AQ$52</formula>
    </cfRule>
  </conditionalFormatting>
  <conditionalFormatting sqref="AW14:AW27">
    <cfRule type="expression" dxfId="38" priority="129" stopIfTrue="1">
      <formula>$AX$26=$AU$26</formula>
    </cfRule>
    <cfRule type="expression" dxfId="37" priority="128" stopIfTrue="1">
      <formula>$AX$26&lt;$AU$26</formula>
    </cfRule>
  </conditionalFormatting>
  <conditionalFormatting sqref="AX54:AX71">
    <cfRule type="expression" dxfId="36" priority="91" stopIfTrue="1">
      <formula>$AY$52&lt;=$BB$52</formula>
    </cfRule>
  </conditionalFormatting>
  <conditionalFormatting sqref="AX27:BD27">
    <cfRule type="expression" dxfId="35" priority="64" stopIfTrue="1">
      <formula>$AX$26&lt;=$AU$26</formula>
    </cfRule>
  </conditionalFormatting>
  <conditionalFormatting sqref="AY53">
    <cfRule type="expression" dxfId="34" priority="77" stopIfTrue="1">
      <formula>$AY$52&lt;=$BB$52</formula>
    </cfRule>
  </conditionalFormatting>
  <conditionalFormatting sqref="AY62:BB64">
    <cfRule type="expression" dxfId="33" priority="24">
      <formula>$AX$41&lt;&gt;""</formula>
    </cfRule>
  </conditionalFormatting>
  <conditionalFormatting sqref="AZ41:AZ53">
    <cfRule type="expression" dxfId="32" priority="120" stopIfTrue="1">
      <formula>$AY$52&lt;$BB$52</formula>
    </cfRule>
    <cfRule type="expression" dxfId="31" priority="121" stopIfTrue="1">
      <formula>$AY$52=$BB$52</formula>
    </cfRule>
  </conditionalFormatting>
  <conditionalFormatting sqref="BA53:BB53">
    <cfRule type="expression" dxfId="30" priority="76" stopIfTrue="1">
      <formula>$BB$52&lt;=$AY$52</formula>
    </cfRule>
  </conditionalFormatting>
  <conditionalFormatting sqref="BA40:BD40">
    <cfRule type="expression" dxfId="29" priority="69" stopIfTrue="1">
      <formula>$BC$39&lt;=$BF$39</formula>
    </cfRule>
  </conditionalFormatting>
  <conditionalFormatting sqref="BB48:BG49">
    <cfRule type="expression" dxfId="28" priority="19">
      <formula>$BF$28&lt;&gt;""</formula>
    </cfRule>
  </conditionalFormatting>
  <conditionalFormatting sqref="BC22 BJ22">
    <cfRule type="expression" dxfId="27" priority="40" stopIfTrue="1">
      <formula>AND(MOD($BP$7,5)&lt;&gt;3,$BP$5="")</formula>
    </cfRule>
  </conditionalFormatting>
  <conditionalFormatting sqref="BC54:BC71">
    <cfRule type="expression" dxfId="26" priority="90" stopIfTrue="1">
      <formula>$BB$52&lt;=$AY$52</formula>
    </cfRule>
  </conditionalFormatting>
  <conditionalFormatting sqref="BC6:BM18 BC19:BF20 BC21:BE21 BK19:BM20 BC22:BG22 BJ22:BM22 BC23:BM23">
    <cfRule type="expression" dxfId="25" priority="58">
      <formula>AND(MOD($BP$7,5)&lt;&gt;3,$BP$5="")</formula>
    </cfRule>
  </conditionalFormatting>
  <conditionalFormatting sqref="BE14:BE21">
    <cfRule type="expression" dxfId="24" priority="51" stopIfTrue="1">
      <formula>$BG$12&lt;=$BJ$12</formula>
    </cfRule>
    <cfRule type="expression" dxfId="23" priority="50" stopIfTrue="1">
      <formula>AND(MOD($BP$7,5)&lt;&gt;3,$BP$5="")</formula>
    </cfRule>
  </conditionalFormatting>
  <conditionalFormatting sqref="BE28:BE40">
    <cfRule type="expression" dxfId="22" priority="107" stopIfTrue="1">
      <formula>$BC$39=$BF$39</formula>
    </cfRule>
    <cfRule type="expression" dxfId="21" priority="106" stopIfTrue="1">
      <formula>$BF$39&lt;$BC$39</formula>
    </cfRule>
  </conditionalFormatting>
  <conditionalFormatting sqref="BF21 BH22 BG23">
    <cfRule type="expression" dxfId="20" priority="14">
      <formula>$BF$8&lt;&gt;""</formula>
    </cfRule>
  </conditionalFormatting>
  <conditionalFormatting sqref="BF54:BF71">
    <cfRule type="expression" dxfId="19" priority="89" stopIfTrue="1">
      <formula>$BG$52&lt;=$BJ$52</formula>
    </cfRule>
  </conditionalFormatting>
  <conditionalFormatting sqref="BF13:BG13">
    <cfRule type="expression" dxfId="18" priority="48" stopIfTrue="1">
      <formula>AND(MOD($BP$7,5)&lt;&gt;3,$BP$5="")</formula>
    </cfRule>
    <cfRule type="expression" dxfId="17" priority="49" stopIfTrue="1">
      <formula>$BG$12&lt;=$BJ$12</formula>
    </cfRule>
  </conditionalFormatting>
  <conditionalFormatting sqref="BF40:BH40">
    <cfRule type="expression" dxfId="16" priority="68" stopIfTrue="1">
      <formula>$BF$39&lt;=$BC$39</formula>
    </cfRule>
  </conditionalFormatting>
  <conditionalFormatting sqref="BF8:BK9 BF21 BL21:BM21">
    <cfRule type="expression" dxfId="15" priority="30">
      <formula>AND(MOD($BP$7,5)&lt;&gt;3,$BP$5="")</formula>
    </cfRule>
  </conditionalFormatting>
  <conditionalFormatting sqref="BG53:BH53">
    <cfRule type="expression" dxfId="14" priority="75" stopIfTrue="1">
      <formula>$BG$52&lt;=$BJ$52</formula>
    </cfRule>
  </conditionalFormatting>
  <conditionalFormatting sqref="BG62:BJ64">
    <cfRule type="expression" dxfId="13" priority="23">
      <formula>$BJ$41&lt;&gt;""</formula>
    </cfRule>
  </conditionalFormatting>
  <conditionalFormatting sqref="BH10:BH13">
    <cfRule type="expression" dxfId="12" priority="46" stopIfTrue="1">
      <formula>$BG$12&lt;$BJ$12</formula>
    </cfRule>
    <cfRule type="expression" dxfId="11" priority="47" stopIfTrue="1">
      <formula>$BG$12=$BJ$12</formula>
    </cfRule>
    <cfRule type="expression" dxfId="10" priority="45" stopIfTrue="1">
      <formula>AND(MOD($BP$7,5)&lt;&gt;3,$BP$5="")</formula>
    </cfRule>
  </conditionalFormatting>
  <conditionalFormatting sqref="BI41:BI53">
    <cfRule type="expression" dxfId="9" priority="122" stopIfTrue="1">
      <formula>$BJ$52&lt;$BG$52</formula>
    </cfRule>
    <cfRule type="expression" dxfId="8" priority="123" stopIfTrue="1">
      <formula>$BJ$52=$BG$52</formula>
    </cfRule>
  </conditionalFormatting>
  <conditionalFormatting sqref="BI13:BK13">
    <cfRule type="expression" dxfId="7" priority="44" stopIfTrue="1">
      <formula>$BJ$12&lt;=$BG$12</formula>
    </cfRule>
    <cfRule type="expression" dxfId="6" priority="43" stopIfTrue="1">
      <formula>AND(MOD($BP$7,5)&lt;&gt;3,$BP$5="")</formula>
    </cfRule>
  </conditionalFormatting>
  <conditionalFormatting sqref="BJ53">
    <cfRule type="expression" dxfId="5" priority="74" stopIfTrue="1">
      <formula>$BJ$52&lt;=$BG$52</formula>
    </cfRule>
  </conditionalFormatting>
  <conditionalFormatting sqref="BK54:BK71">
    <cfRule type="expression" dxfId="4" priority="88" stopIfTrue="1">
      <formula>$BJ$52&lt;=$BG$52</formula>
    </cfRule>
  </conditionalFormatting>
  <conditionalFormatting sqref="BL14:BL21">
    <cfRule type="expression" dxfId="3" priority="42" stopIfTrue="1">
      <formula>$BJ$12&lt;=$BG$12</formula>
    </cfRule>
    <cfRule type="expression" dxfId="2" priority="41" stopIfTrue="1">
      <formula>AND(MOD($BP$7,5)&lt;&gt;3,$BP$5="")</formula>
    </cfRule>
  </conditionalFormatting>
  <dataValidations count="1">
    <dataValidation type="list" allowBlank="1" showInputMessage="1" showErrorMessage="1" sqref="BH22:BI22 D62:E62 AD21:AE21 AT35:AU35 N35:O35 V48:W48 AL48:AM48 BB48:BC48 F48:G48 L62:M62 T62:U62 AB62:AC62 AJ62:AK62 AR62:AS62 AZ62:BA62 BH62:BI62" xr:uid="{0CAAC0EA-302F-4101-98B5-C62618E2B1F3}">
      <formula1>$BP$15:$BP$20</formula1>
    </dataValidation>
  </dataValidations>
  <printOptions horizontalCentered="1"/>
  <pageMargins left="0.39370078740157483" right="0.39370078740157483" top="0.39370078740157483" bottom="0.39370078740157483" header="0.51181102362204722" footer="0.51181102362204722"/>
  <pageSetup paperSize="9" scale="93" orientation="portrait"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01"/>
  <sheetViews>
    <sheetView topLeftCell="A50" workbookViewId="0">
      <selection activeCell="A74" sqref="A74"/>
    </sheetView>
  </sheetViews>
  <sheetFormatPr defaultColWidth="9" defaultRowHeight="14.25" x14ac:dyDescent="0.15"/>
  <cols>
    <col min="1" max="1" width="4.375" style="258" bestFit="1" customWidth="1"/>
    <col min="2" max="2" width="7.125" style="258" bestFit="1" customWidth="1"/>
    <col min="3" max="3" width="7.125" style="258" customWidth="1"/>
    <col min="4" max="4" width="15.375" style="258" bestFit="1" customWidth="1"/>
    <col min="5" max="9" width="9" style="258" hidden="1" customWidth="1"/>
    <col min="10" max="10" width="0" style="258" hidden="1" customWidth="1"/>
    <col min="11" max="16384" width="9" style="258"/>
  </cols>
  <sheetData>
    <row r="1" spans="1:10" x14ac:dyDescent="0.15">
      <c r="A1" s="297" t="s">
        <v>203</v>
      </c>
      <c r="B1" s="297" t="s">
        <v>3</v>
      </c>
      <c r="C1" s="297" t="s">
        <v>204</v>
      </c>
      <c r="D1" s="297"/>
    </row>
    <row r="2" spans="1:10" x14ac:dyDescent="0.2">
      <c r="A2" s="326">
        <v>1</v>
      </c>
      <c r="B2" s="327" t="s">
        <v>205</v>
      </c>
      <c r="C2" s="327" t="s">
        <v>206</v>
      </c>
      <c r="D2" s="326" t="str">
        <f t="shared" ref="D2:D33" si="0">IF(B2="","",IF(E2=1,F2,IF(I2=1,J2&amp;"年連続",I2&amp;"年ぶり")&amp;F2))</f>
        <v>初優勝</v>
      </c>
      <c r="E2" s="328">
        <f>IF(B2="","",COUNTIF($B$2:B2,B2))</f>
        <v>1</v>
      </c>
      <c r="F2" s="328" t="str">
        <f t="shared" ref="F2:F33" si="1">IF(B2="","",IF(E2=1,"初優勝",E2&amp;"回目"))</f>
        <v>初優勝</v>
      </c>
      <c r="G2" s="328" t="str">
        <f t="shared" ref="G2:G33" si="2">IF(B2="","",B2&amp;E2)</f>
        <v>芦城1</v>
      </c>
      <c r="H2" s="328">
        <f t="shared" ref="H2:H51" si="3">A2</f>
        <v>1</v>
      </c>
      <c r="I2" s="328" t="str">
        <f>IF(OR(B2="",E2=1),"",A2-VLOOKUP(B2&amp;(E2-1),$G$2:H2,2,FALSE))</f>
        <v/>
      </c>
      <c r="J2" s="328" t="str">
        <f t="shared" ref="J2:J33" si="4">IF(B2="","",IF(I2=1,IF(I1=1,J1+1,2),""))</f>
        <v/>
      </c>
    </row>
    <row r="3" spans="1:10" x14ac:dyDescent="0.2">
      <c r="A3" s="326">
        <v>2</v>
      </c>
      <c r="B3" s="327" t="s">
        <v>207</v>
      </c>
      <c r="C3" s="327" t="s">
        <v>206</v>
      </c>
      <c r="D3" s="326" t="str">
        <f t="shared" si="0"/>
        <v>初優勝</v>
      </c>
      <c r="E3" s="328">
        <f>IF(B3="","",COUNTIF($B$2:B3,B3))</f>
        <v>1</v>
      </c>
      <c r="F3" s="328" t="str">
        <f t="shared" si="1"/>
        <v>初優勝</v>
      </c>
      <c r="G3" s="328" t="str">
        <f t="shared" si="2"/>
        <v>国府1</v>
      </c>
      <c r="H3" s="328">
        <f t="shared" si="3"/>
        <v>2</v>
      </c>
      <c r="I3" s="328" t="str">
        <f>IF(OR(B3="",E3=1),"",A3-VLOOKUP(B3&amp;(E3-1),$G$2:H3,2,FALSE))</f>
        <v/>
      </c>
      <c r="J3" s="328" t="str">
        <f t="shared" si="4"/>
        <v/>
      </c>
    </row>
    <row r="4" spans="1:10" x14ac:dyDescent="0.2">
      <c r="A4" s="326">
        <v>3</v>
      </c>
      <c r="B4" s="327" t="s">
        <v>207</v>
      </c>
      <c r="C4" s="327" t="s">
        <v>206</v>
      </c>
      <c r="D4" s="326" t="str">
        <f t="shared" si="0"/>
        <v>2年連続2回目</v>
      </c>
      <c r="E4" s="328">
        <f>IF(B4="","",COUNTIF($B$2:B4,B4))</f>
        <v>2</v>
      </c>
      <c r="F4" s="328" t="str">
        <f t="shared" si="1"/>
        <v>2回目</v>
      </c>
      <c r="G4" s="328" t="str">
        <f t="shared" si="2"/>
        <v>国府2</v>
      </c>
      <c r="H4" s="328">
        <f t="shared" si="3"/>
        <v>3</v>
      </c>
      <c r="I4" s="328">
        <f>IF(OR(B4="",E4=1),"",A4-VLOOKUP(B4&amp;(E4-1),$G$2:H4,2,FALSE))</f>
        <v>1</v>
      </c>
      <c r="J4" s="328">
        <f t="shared" si="4"/>
        <v>2</v>
      </c>
    </row>
    <row r="5" spans="1:10" x14ac:dyDescent="0.2">
      <c r="A5" s="326">
        <v>4</v>
      </c>
      <c r="B5" s="327" t="s">
        <v>207</v>
      </c>
      <c r="C5" s="327" t="s">
        <v>206</v>
      </c>
      <c r="D5" s="326" t="str">
        <f t="shared" si="0"/>
        <v>3年連続3回目</v>
      </c>
      <c r="E5" s="328">
        <f>IF(B5="","",COUNTIF($B$2:B5,B5))</f>
        <v>3</v>
      </c>
      <c r="F5" s="328" t="str">
        <f t="shared" si="1"/>
        <v>3回目</v>
      </c>
      <c r="G5" s="328" t="str">
        <f t="shared" si="2"/>
        <v>国府3</v>
      </c>
      <c r="H5" s="328">
        <f t="shared" si="3"/>
        <v>4</v>
      </c>
      <c r="I5" s="328">
        <f>IF(OR(B5="",E5=1),"",A5-VLOOKUP(B5&amp;(E5-1),$G$2:H5,2,FALSE))</f>
        <v>1</v>
      </c>
      <c r="J5" s="328">
        <f t="shared" si="4"/>
        <v>3</v>
      </c>
    </row>
    <row r="6" spans="1:10" x14ac:dyDescent="0.2">
      <c r="A6" s="326">
        <v>5</v>
      </c>
      <c r="B6" s="327" t="s">
        <v>19</v>
      </c>
      <c r="C6" s="327" t="s">
        <v>208</v>
      </c>
      <c r="D6" s="326" t="str">
        <f t="shared" si="0"/>
        <v>初優勝</v>
      </c>
      <c r="E6" s="328">
        <f>IF(B6="","",COUNTIF($B$2:B6,B6))</f>
        <v>1</v>
      </c>
      <c r="F6" s="328" t="str">
        <f t="shared" si="1"/>
        <v>初優勝</v>
      </c>
      <c r="G6" s="328" t="str">
        <f t="shared" si="2"/>
        <v>兼六1</v>
      </c>
      <c r="H6" s="328">
        <f t="shared" si="3"/>
        <v>5</v>
      </c>
      <c r="I6" s="328" t="str">
        <f>IF(OR(B6="",E6=1),"",A6-VLOOKUP(B6&amp;(E6-1),$G$2:H6,2,FALSE))</f>
        <v/>
      </c>
      <c r="J6" s="328" t="str">
        <f t="shared" si="4"/>
        <v/>
      </c>
    </row>
    <row r="7" spans="1:10" x14ac:dyDescent="0.2">
      <c r="A7" s="326">
        <v>6</v>
      </c>
      <c r="B7" s="327" t="s">
        <v>6</v>
      </c>
      <c r="C7" s="327" t="s">
        <v>208</v>
      </c>
      <c r="D7" s="326" t="str">
        <f t="shared" si="0"/>
        <v>初優勝</v>
      </c>
      <c r="E7" s="328">
        <f>IF(B7="","",COUNTIF($B$2:B7,B7))</f>
        <v>1</v>
      </c>
      <c r="F7" s="328" t="str">
        <f t="shared" si="1"/>
        <v>初優勝</v>
      </c>
      <c r="G7" s="328" t="str">
        <f t="shared" si="2"/>
        <v>泉1</v>
      </c>
      <c r="H7" s="328">
        <f t="shared" si="3"/>
        <v>6</v>
      </c>
      <c r="I7" s="328" t="str">
        <f>IF(OR(B7="",E7=1),"",A7-VLOOKUP(B7&amp;(E7-1),$G$2:H7,2,FALSE))</f>
        <v/>
      </c>
      <c r="J7" s="328" t="str">
        <f t="shared" si="4"/>
        <v/>
      </c>
    </row>
    <row r="8" spans="1:10" x14ac:dyDescent="0.2">
      <c r="A8" s="326">
        <v>7</v>
      </c>
      <c r="B8" s="327" t="s">
        <v>6</v>
      </c>
      <c r="C8" s="327" t="s">
        <v>208</v>
      </c>
      <c r="D8" s="326" t="str">
        <f t="shared" si="0"/>
        <v>2年連続2回目</v>
      </c>
      <c r="E8" s="328">
        <f>IF(B8="","",COUNTIF($B$2:B8,B8))</f>
        <v>2</v>
      </c>
      <c r="F8" s="328" t="str">
        <f t="shared" si="1"/>
        <v>2回目</v>
      </c>
      <c r="G8" s="328" t="str">
        <f t="shared" si="2"/>
        <v>泉2</v>
      </c>
      <c r="H8" s="328">
        <f t="shared" si="3"/>
        <v>7</v>
      </c>
      <c r="I8" s="328">
        <f>IF(OR(B8="",E8=1),"",A8-VLOOKUP(B8&amp;(E8-1),$G$2:H8,2,FALSE))</f>
        <v>1</v>
      </c>
      <c r="J8" s="328">
        <f t="shared" si="4"/>
        <v>2</v>
      </c>
    </row>
    <row r="9" spans="1:10" x14ac:dyDescent="0.2">
      <c r="A9" s="326">
        <v>8</v>
      </c>
      <c r="B9" s="327" t="s">
        <v>205</v>
      </c>
      <c r="C9" s="327" t="s">
        <v>206</v>
      </c>
      <c r="D9" s="326" t="str">
        <f t="shared" si="0"/>
        <v>7年ぶり2回目</v>
      </c>
      <c r="E9" s="328">
        <f>IF(B9="","",COUNTIF($B$2:B9,B9))</f>
        <v>2</v>
      </c>
      <c r="F9" s="328" t="str">
        <f t="shared" si="1"/>
        <v>2回目</v>
      </c>
      <c r="G9" s="328" t="str">
        <f t="shared" si="2"/>
        <v>芦城2</v>
      </c>
      <c r="H9" s="328">
        <f t="shared" si="3"/>
        <v>8</v>
      </c>
      <c r="I9" s="328">
        <f>IF(OR(B9="",E9=1),"",A9-VLOOKUP(B9&amp;(E9-1),$G$2:H9,2,FALSE))</f>
        <v>7</v>
      </c>
      <c r="J9" s="328" t="str">
        <f t="shared" si="4"/>
        <v/>
      </c>
    </row>
    <row r="10" spans="1:10" x14ac:dyDescent="0.2">
      <c r="A10" s="326">
        <v>9</v>
      </c>
      <c r="B10" s="327" t="s">
        <v>15</v>
      </c>
      <c r="C10" s="327" t="s">
        <v>208</v>
      </c>
      <c r="D10" s="326" t="str">
        <f t="shared" si="0"/>
        <v>初優勝</v>
      </c>
      <c r="E10" s="328">
        <f>IF(B10="","",COUNTIF($B$2:B10,B10))</f>
        <v>1</v>
      </c>
      <c r="F10" s="328" t="str">
        <f t="shared" si="1"/>
        <v>初優勝</v>
      </c>
      <c r="G10" s="328" t="str">
        <f t="shared" si="2"/>
        <v>紫錦台1</v>
      </c>
      <c r="H10" s="328">
        <f t="shared" si="3"/>
        <v>9</v>
      </c>
      <c r="I10" s="328" t="str">
        <f>IF(OR(B10="",E10=1),"",A10-VLOOKUP(B10&amp;(E10-1),$G$2:H10,2,FALSE))</f>
        <v/>
      </c>
      <c r="J10" s="328" t="str">
        <f t="shared" si="4"/>
        <v/>
      </c>
    </row>
    <row r="11" spans="1:10" x14ac:dyDescent="0.2">
      <c r="A11" s="326">
        <v>10</v>
      </c>
      <c r="B11" s="327" t="s">
        <v>11</v>
      </c>
      <c r="C11" s="327" t="s">
        <v>208</v>
      </c>
      <c r="D11" s="326" t="str">
        <f t="shared" si="0"/>
        <v>初優勝</v>
      </c>
      <c r="E11" s="328">
        <f>IF(B11="","",COUNTIF($B$2:B11,B11))</f>
        <v>1</v>
      </c>
      <c r="F11" s="328" t="str">
        <f t="shared" si="1"/>
        <v>初優勝</v>
      </c>
      <c r="G11" s="328" t="str">
        <f t="shared" si="2"/>
        <v>野田1</v>
      </c>
      <c r="H11" s="328">
        <f t="shared" si="3"/>
        <v>10</v>
      </c>
      <c r="I11" s="328" t="str">
        <f>IF(OR(B11="",E11=1),"",A11-VLOOKUP(B11&amp;(E11-1),$G$2:H11,2,FALSE))</f>
        <v/>
      </c>
      <c r="J11" s="328" t="str">
        <f t="shared" si="4"/>
        <v/>
      </c>
    </row>
    <row r="12" spans="1:10" x14ac:dyDescent="0.2">
      <c r="A12" s="326">
        <v>11</v>
      </c>
      <c r="B12" s="326" t="s">
        <v>14</v>
      </c>
      <c r="C12" s="327" t="s">
        <v>206</v>
      </c>
      <c r="D12" s="326" t="str">
        <f t="shared" si="0"/>
        <v>初優勝</v>
      </c>
      <c r="E12" s="328">
        <f>IF(B12="","",COUNTIF($B$2:B12,B12))</f>
        <v>1</v>
      </c>
      <c r="F12" s="328" t="str">
        <f t="shared" si="1"/>
        <v>初優勝</v>
      </c>
      <c r="G12" s="328" t="str">
        <f t="shared" si="2"/>
        <v>南部1</v>
      </c>
      <c r="H12" s="328">
        <f t="shared" si="3"/>
        <v>11</v>
      </c>
      <c r="I12" s="328" t="str">
        <f>IF(OR(B12="",E12=1),"",A12-VLOOKUP(B12&amp;(E12-1),$G$2:H12,2,FALSE))</f>
        <v/>
      </c>
      <c r="J12" s="328" t="str">
        <f t="shared" si="4"/>
        <v/>
      </c>
    </row>
    <row r="13" spans="1:10" x14ac:dyDescent="0.2">
      <c r="A13" s="326">
        <v>12</v>
      </c>
      <c r="B13" s="297" t="s">
        <v>29</v>
      </c>
      <c r="C13" s="327" t="s">
        <v>208</v>
      </c>
      <c r="D13" s="326" t="str">
        <f t="shared" si="0"/>
        <v>初優勝</v>
      </c>
      <c r="E13" s="328">
        <f>IF(B13="","",COUNTIF($B$2:B13,B13))</f>
        <v>1</v>
      </c>
      <c r="F13" s="328" t="str">
        <f t="shared" si="1"/>
        <v>初優勝</v>
      </c>
      <c r="G13" s="328" t="str">
        <f t="shared" si="2"/>
        <v>浅野川1</v>
      </c>
      <c r="H13" s="328">
        <f t="shared" si="3"/>
        <v>12</v>
      </c>
      <c r="I13" s="328" t="str">
        <f>IF(OR(B13="",E13=1),"",A13-VLOOKUP(B13&amp;(E13-1),$G$2:H13,2,FALSE))</f>
        <v/>
      </c>
      <c r="J13" s="328" t="str">
        <f t="shared" si="4"/>
        <v/>
      </c>
    </row>
    <row r="14" spans="1:10" x14ac:dyDescent="0.2">
      <c r="A14" s="326">
        <v>13</v>
      </c>
      <c r="B14" s="326" t="s">
        <v>29</v>
      </c>
      <c r="C14" s="326" t="s">
        <v>208</v>
      </c>
      <c r="D14" s="326" t="str">
        <f t="shared" si="0"/>
        <v>2年連続2回目</v>
      </c>
      <c r="E14" s="328">
        <f>IF(B14="","",COUNTIF($B$2:B14,B14))</f>
        <v>2</v>
      </c>
      <c r="F14" s="328" t="str">
        <f t="shared" si="1"/>
        <v>2回目</v>
      </c>
      <c r="G14" s="328" t="str">
        <f t="shared" si="2"/>
        <v>浅野川2</v>
      </c>
      <c r="H14" s="328">
        <f t="shared" si="3"/>
        <v>13</v>
      </c>
      <c r="I14" s="328">
        <f>IF(OR(B14="",E14=1),"",A14-VLOOKUP(B14&amp;(E14-1),$G$2:H14,2,FALSE))</f>
        <v>1</v>
      </c>
      <c r="J14" s="328">
        <f t="shared" si="4"/>
        <v>2</v>
      </c>
    </row>
    <row r="15" spans="1:10" x14ac:dyDescent="0.2">
      <c r="A15" s="326">
        <v>14</v>
      </c>
      <c r="B15" s="326" t="s">
        <v>209</v>
      </c>
      <c r="C15" s="326" t="s">
        <v>206</v>
      </c>
      <c r="D15" s="326" t="str">
        <f t="shared" si="0"/>
        <v>6年ぶり3回目</v>
      </c>
      <c r="E15" s="328">
        <f>IF(B15="","",COUNTIF($B$2:B15,B15))</f>
        <v>3</v>
      </c>
      <c r="F15" s="328" t="str">
        <f t="shared" si="1"/>
        <v>3回目</v>
      </c>
      <c r="G15" s="328" t="str">
        <f t="shared" si="2"/>
        <v>芦城3</v>
      </c>
      <c r="H15" s="328">
        <f t="shared" si="3"/>
        <v>14</v>
      </c>
      <c r="I15" s="328">
        <f>IF(OR(B15="",E15=1),"",A15-VLOOKUP(B15&amp;(E15-1),$G$2:H15,2,FALSE))</f>
        <v>6</v>
      </c>
      <c r="J15" s="328" t="str">
        <f t="shared" si="4"/>
        <v/>
      </c>
    </row>
    <row r="16" spans="1:10" x14ac:dyDescent="0.2">
      <c r="A16" s="326">
        <v>15</v>
      </c>
      <c r="B16" s="326" t="s">
        <v>32</v>
      </c>
      <c r="C16" s="326" t="s">
        <v>32</v>
      </c>
      <c r="D16" s="326" t="str">
        <f t="shared" si="0"/>
        <v>初優勝</v>
      </c>
      <c r="E16" s="328">
        <f>IF(B16="","",COUNTIF($B$2:B16,B16))</f>
        <v>1</v>
      </c>
      <c r="F16" s="328" t="str">
        <f t="shared" si="1"/>
        <v>初優勝</v>
      </c>
      <c r="G16" s="328" t="str">
        <f t="shared" si="2"/>
        <v>松任1</v>
      </c>
      <c r="H16" s="328">
        <f t="shared" si="3"/>
        <v>15</v>
      </c>
      <c r="I16" s="328" t="str">
        <f>IF(OR(B16="",E16=1),"",A16-VLOOKUP(B16&amp;(E16-1),$G$2:H16,2,FALSE))</f>
        <v/>
      </c>
      <c r="J16" s="328" t="str">
        <f t="shared" si="4"/>
        <v/>
      </c>
    </row>
    <row r="17" spans="1:10" x14ac:dyDescent="0.2">
      <c r="A17" s="326">
        <v>16</v>
      </c>
      <c r="B17" s="326" t="s">
        <v>210</v>
      </c>
      <c r="C17" s="326" t="s">
        <v>208</v>
      </c>
      <c r="D17" s="326" t="str">
        <f t="shared" si="0"/>
        <v>初優勝</v>
      </c>
      <c r="E17" s="328">
        <f>IF(B17="","",COUNTIF($B$2:B17,B17))</f>
        <v>1</v>
      </c>
      <c r="F17" s="328" t="str">
        <f t="shared" si="1"/>
        <v>初優勝</v>
      </c>
      <c r="G17" s="328" t="str">
        <f t="shared" si="2"/>
        <v>金石1</v>
      </c>
      <c r="H17" s="328">
        <f t="shared" si="3"/>
        <v>16</v>
      </c>
      <c r="I17" s="328" t="str">
        <f>IF(OR(B17="",E17=1),"",A17-VLOOKUP(B17&amp;(E17-1),$G$2:H17,2,FALSE))</f>
        <v/>
      </c>
      <c r="J17" s="328" t="str">
        <f t="shared" si="4"/>
        <v/>
      </c>
    </row>
    <row r="18" spans="1:10" x14ac:dyDescent="0.2">
      <c r="A18" s="326">
        <v>17</v>
      </c>
      <c r="B18" s="326" t="s">
        <v>210</v>
      </c>
      <c r="C18" s="326" t="s">
        <v>208</v>
      </c>
      <c r="D18" s="326" t="str">
        <f t="shared" si="0"/>
        <v>2年連続2回目</v>
      </c>
      <c r="E18" s="328">
        <f>IF(B18="","",COUNTIF($B$2:B18,B18))</f>
        <v>2</v>
      </c>
      <c r="F18" s="328" t="str">
        <f t="shared" si="1"/>
        <v>2回目</v>
      </c>
      <c r="G18" s="328" t="str">
        <f t="shared" si="2"/>
        <v>金石2</v>
      </c>
      <c r="H18" s="328">
        <f t="shared" si="3"/>
        <v>17</v>
      </c>
      <c r="I18" s="328">
        <f>IF(OR(B18="",E18=1),"",A18-VLOOKUP(B18&amp;(E18-1),$G$2:H18,2,FALSE))</f>
        <v>1</v>
      </c>
      <c r="J18" s="328">
        <f t="shared" si="4"/>
        <v>2</v>
      </c>
    </row>
    <row r="19" spans="1:10" x14ac:dyDescent="0.2">
      <c r="A19" s="326">
        <v>18</v>
      </c>
      <c r="B19" s="326" t="s">
        <v>210</v>
      </c>
      <c r="C19" s="326" t="s">
        <v>208</v>
      </c>
      <c r="D19" s="326" t="str">
        <f t="shared" si="0"/>
        <v>3年連続3回目</v>
      </c>
      <c r="E19" s="328">
        <f>IF(B19="","",COUNTIF($B$2:B19,B19))</f>
        <v>3</v>
      </c>
      <c r="F19" s="328" t="str">
        <f t="shared" si="1"/>
        <v>3回目</v>
      </c>
      <c r="G19" s="328" t="str">
        <f t="shared" si="2"/>
        <v>金石3</v>
      </c>
      <c r="H19" s="328">
        <f t="shared" si="3"/>
        <v>18</v>
      </c>
      <c r="I19" s="328">
        <f>IF(OR(B19="",E19=1),"",A19-VLOOKUP(B19&amp;(E19-1),$G$2:H19,2,FALSE))</f>
        <v>1</v>
      </c>
      <c r="J19" s="328">
        <f t="shared" si="4"/>
        <v>3</v>
      </c>
    </row>
    <row r="20" spans="1:10" x14ac:dyDescent="0.2">
      <c r="A20" s="326">
        <v>19</v>
      </c>
      <c r="B20" s="326" t="s">
        <v>211</v>
      </c>
      <c r="C20" s="326" t="s">
        <v>51</v>
      </c>
      <c r="D20" s="326" t="str">
        <f t="shared" si="0"/>
        <v>初優勝</v>
      </c>
      <c r="E20" s="328">
        <f>IF(B20="","",COUNTIF($B$2:B20,B20))</f>
        <v>1</v>
      </c>
      <c r="F20" s="328" t="str">
        <f t="shared" si="1"/>
        <v>初優勝</v>
      </c>
      <c r="G20" s="328" t="str">
        <f t="shared" si="2"/>
        <v>押水1</v>
      </c>
      <c r="H20" s="328">
        <f t="shared" si="3"/>
        <v>19</v>
      </c>
      <c r="I20" s="328" t="str">
        <f>IF(OR(B20="",E20=1),"",A20-VLOOKUP(B20&amp;(E20-1),$G$2:H20,2,FALSE))</f>
        <v/>
      </c>
      <c r="J20" s="328" t="str">
        <f t="shared" si="4"/>
        <v/>
      </c>
    </row>
    <row r="21" spans="1:10" x14ac:dyDescent="0.2">
      <c r="A21" s="326">
        <v>20</v>
      </c>
      <c r="B21" s="326" t="s">
        <v>212</v>
      </c>
      <c r="C21" s="326" t="s">
        <v>208</v>
      </c>
      <c r="D21" s="326" t="str">
        <f t="shared" si="0"/>
        <v>初優勝</v>
      </c>
      <c r="E21" s="328">
        <f>IF(B21="","",COUNTIF($B$2:B21,B21))</f>
        <v>1</v>
      </c>
      <c r="F21" s="328" t="str">
        <f t="shared" si="1"/>
        <v>初優勝</v>
      </c>
      <c r="G21" s="328" t="str">
        <f t="shared" si="2"/>
        <v>小将町1</v>
      </c>
      <c r="H21" s="328">
        <f t="shared" si="3"/>
        <v>20</v>
      </c>
      <c r="I21" s="328" t="str">
        <f>IF(OR(B21="",E21=1),"",A21-VLOOKUP(B21&amp;(E21-1),$G$2:H21,2,FALSE))</f>
        <v/>
      </c>
      <c r="J21" s="328" t="str">
        <f t="shared" si="4"/>
        <v/>
      </c>
    </row>
    <row r="22" spans="1:10" x14ac:dyDescent="0.2">
      <c r="A22" s="326">
        <v>21</v>
      </c>
      <c r="B22" s="326" t="s">
        <v>210</v>
      </c>
      <c r="C22" s="326" t="s">
        <v>208</v>
      </c>
      <c r="D22" s="326" t="str">
        <f t="shared" si="0"/>
        <v>3年ぶり4回目</v>
      </c>
      <c r="E22" s="328">
        <f>IF(B22="","",COUNTIF($B$2:B22,B22))</f>
        <v>4</v>
      </c>
      <c r="F22" s="328" t="str">
        <f t="shared" si="1"/>
        <v>4回目</v>
      </c>
      <c r="G22" s="328" t="str">
        <f t="shared" si="2"/>
        <v>金石4</v>
      </c>
      <c r="H22" s="328">
        <f t="shared" si="3"/>
        <v>21</v>
      </c>
      <c r="I22" s="328">
        <f>IF(OR(B22="",E22=1),"",A22-VLOOKUP(B22&amp;(E22-1),$G$2:H22,2,FALSE))</f>
        <v>3</v>
      </c>
      <c r="J22" s="328" t="str">
        <f t="shared" si="4"/>
        <v/>
      </c>
    </row>
    <row r="23" spans="1:10" x14ac:dyDescent="0.2">
      <c r="A23" s="326">
        <v>22</v>
      </c>
      <c r="B23" s="326" t="s">
        <v>210</v>
      </c>
      <c r="C23" s="326" t="s">
        <v>208</v>
      </c>
      <c r="D23" s="326" t="str">
        <f t="shared" si="0"/>
        <v>2年連続5回目</v>
      </c>
      <c r="E23" s="328">
        <f>IF(B23="","",COUNTIF($B$2:B23,B23))</f>
        <v>5</v>
      </c>
      <c r="F23" s="328" t="str">
        <f t="shared" si="1"/>
        <v>5回目</v>
      </c>
      <c r="G23" s="328" t="str">
        <f t="shared" si="2"/>
        <v>金石5</v>
      </c>
      <c r="H23" s="328">
        <f t="shared" si="3"/>
        <v>22</v>
      </c>
      <c r="I23" s="328">
        <f>IF(OR(B23="",E23=1),"",A23-VLOOKUP(B23&amp;(E23-1),$G$2:H23,2,FALSE))</f>
        <v>1</v>
      </c>
      <c r="J23" s="328">
        <f t="shared" si="4"/>
        <v>2</v>
      </c>
    </row>
    <row r="24" spans="1:10" x14ac:dyDescent="0.2">
      <c r="A24" s="326">
        <v>23</v>
      </c>
      <c r="B24" s="326" t="s">
        <v>210</v>
      </c>
      <c r="C24" s="326" t="s">
        <v>208</v>
      </c>
      <c r="D24" s="326" t="str">
        <f t="shared" si="0"/>
        <v>3年連続6回目</v>
      </c>
      <c r="E24" s="328">
        <f>IF(B24="","",COUNTIF($B$2:B24,B24))</f>
        <v>6</v>
      </c>
      <c r="F24" s="328" t="str">
        <f t="shared" si="1"/>
        <v>6回目</v>
      </c>
      <c r="G24" s="328" t="str">
        <f t="shared" si="2"/>
        <v>金石6</v>
      </c>
      <c r="H24" s="328">
        <f t="shared" si="3"/>
        <v>23</v>
      </c>
      <c r="I24" s="328">
        <f>IF(OR(B24="",E24=1),"",A24-VLOOKUP(B24&amp;(E24-1),$G$2:H24,2,FALSE))</f>
        <v>1</v>
      </c>
      <c r="J24" s="328">
        <f t="shared" si="4"/>
        <v>3</v>
      </c>
    </row>
    <row r="25" spans="1:10" x14ac:dyDescent="0.2">
      <c r="A25" s="326">
        <v>24</v>
      </c>
      <c r="B25" s="326" t="s">
        <v>211</v>
      </c>
      <c r="C25" s="326" t="s">
        <v>51</v>
      </c>
      <c r="D25" s="326" t="str">
        <f t="shared" si="0"/>
        <v>5年ぶり2回目</v>
      </c>
      <c r="E25" s="328">
        <f>IF(B25="","",COUNTIF($B$2:B25,B25))</f>
        <v>2</v>
      </c>
      <c r="F25" s="328" t="str">
        <f t="shared" si="1"/>
        <v>2回目</v>
      </c>
      <c r="G25" s="328" t="str">
        <f t="shared" si="2"/>
        <v>押水2</v>
      </c>
      <c r="H25" s="328">
        <f t="shared" si="3"/>
        <v>24</v>
      </c>
      <c r="I25" s="328">
        <f>IF(OR(B25="",E25=1),"",A25-VLOOKUP(B25&amp;(E25-1),$G$2:H25,2,FALSE))</f>
        <v>5</v>
      </c>
      <c r="J25" s="328" t="str">
        <f t="shared" si="4"/>
        <v/>
      </c>
    </row>
    <row r="26" spans="1:10" x14ac:dyDescent="0.2">
      <c r="A26" s="326">
        <v>25</v>
      </c>
      <c r="B26" s="326" t="s">
        <v>40</v>
      </c>
      <c r="C26" s="326" t="s">
        <v>208</v>
      </c>
      <c r="D26" s="326" t="str">
        <f t="shared" si="0"/>
        <v>初優勝</v>
      </c>
      <c r="E26" s="328">
        <f>IF(B26="","",COUNTIF($B$2:B26,B26))</f>
        <v>1</v>
      </c>
      <c r="F26" s="328" t="str">
        <f t="shared" si="1"/>
        <v>初優勝</v>
      </c>
      <c r="G26" s="328" t="str">
        <f t="shared" si="2"/>
        <v>高尾台1</v>
      </c>
      <c r="H26" s="328">
        <f t="shared" si="3"/>
        <v>25</v>
      </c>
      <c r="I26" s="328" t="str">
        <f>IF(OR(B26="",E26=1),"",A26-VLOOKUP(B26&amp;(E26-1),$G$2:H26,2,FALSE))</f>
        <v/>
      </c>
      <c r="J26" s="328" t="str">
        <f t="shared" si="4"/>
        <v/>
      </c>
    </row>
    <row r="27" spans="1:10" x14ac:dyDescent="0.2">
      <c r="A27" s="326">
        <v>26</v>
      </c>
      <c r="B27" s="326" t="s">
        <v>210</v>
      </c>
      <c r="C27" s="326" t="s">
        <v>208</v>
      </c>
      <c r="D27" s="326" t="str">
        <f t="shared" si="0"/>
        <v>3年ぶり7回目</v>
      </c>
      <c r="E27" s="328">
        <f>IF(B27="","",COUNTIF($B$2:B27,B27))</f>
        <v>7</v>
      </c>
      <c r="F27" s="328" t="str">
        <f t="shared" si="1"/>
        <v>7回目</v>
      </c>
      <c r="G27" s="328" t="str">
        <f t="shared" si="2"/>
        <v>金石7</v>
      </c>
      <c r="H27" s="328">
        <f t="shared" si="3"/>
        <v>26</v>
      </c>
      <c r="I27" s="328">
        <f>IF(OR(B27="",E27=1),"",A27-VLOOKUP(B27&amp;(E27-1),$G$2:H27,2,FALSE))</f>
        <v>3</v>
      </c>
      <c r="J27" s="328" t="str">
        <f t="shared" si="4"/>
        <v/>
      </c>
    </row>
    <row r="28" spans="1:10" x14ac:dyDescent="0.2">
      <c r="A28" s="326">
        <v>27</v>
      </c>
      <c r="B28" s="326" t="s">
        <v>35</v>
      </c>
      <c r="C28" s="326" t="s">
        <v>208</v>
      </c>
      <c r="D28" s="326" t="str">
        <f t="shared" si="0"/>
        <v>初優勝</v>
      </c>
      <c r="E28" s="328">
        <f>IF(B28="","",COUNTIF($B$2:B28,B28))</f>
        <v>1</v>
      </c>
      <c r="F28" s="328" t="str">
        <f t="shared" si="1"/>
        <v>初優勝</v>
      </c>
      <c r="G28" s="328" t="str">
        <f t="shared" si="2"/>
        <v>森本1</v>
      </c>
      <c r="H28" s="328">
        <f t="shared" si="3"/>
        <v>27</v>
      </c>
      <c r="I28" s="328" t="str">
        <f>IF(OR(B28="",E28=1),"",A28-VLOOKUP(B28&amp;(E28-1),$G$2:H28,2,FALSE))</f>
        <v/>
      </c>
      <c r="J28" s="328" t="str">
        <f t="shared" si="4"/>
        <v/>
      </c>
    </row>
    <row r="29" spans="1:10" x14ac:dyDescent="0.2">
      <c r="A29" s="326">
        <v>28</v>
      </c>
      <c r="B29" s="326" t="s">
        <v>45</v>
      </c>
      <c r="C29" s="326" t="s">
        <v>208</v>
      </c>
      <c r="D29" s="326" t="str">
        <f t="shared" si="0"/>
        <v>初優勝</v>
      </c>
      <c r="E29" s="328">
        <f>IF(B29="","",COUNTIF($B$2:B29,B29))</f>
        <v>1</v>
      </c>
      <c r="F29" s="328" t="str">
        <f t="shared" si="1"/>
        <v>初優勝</v>
      </c>
      <c r="G29" s="328" t="str">
        <f t="shared" si="2"/>
        <v>大徳1</v>
      </c>
      <c r="H29" s="328">
        <f t="shared" si="3"/>
        <v>28</v>
      </c>
      <c r="I29" s="328" t="str">
        <f>IF(OR(B29="",E29=1),"",A29-VLOOKUP(B29&amp;(E29-1),$G$2:H29,2,FALSE))</f>
        <v/>
      </c>
      <c r="J29" s="328" t="str">
        <f t="shared" si="4"/>
        <v/>
      </c>
    </row>
    <row r="30" spans="1:10" x14ac:dyDescent="0.2">
      <c r="A30" s="326">
        <v>29</v>
      </c>
      <c r="B30" s="326" t="s">
        <v>32</v>
      </c>
      <c r="C30" s="326" t="s">
        <v>32</v>
      </c>
      <c r="D30" s="326" t="str">
        <f t="shared" si="0"/>
        <v>14年ぶり2回目</v>
      </c>
      <c r="E30" s="328">
        <f>IF(B30="","",COUNTIF($B$2:B30,B30))</f>
        <v>2</v>
      </c>
      <c r="F30" s="328" t="str">
        <f t="shared" si="1"/>
        <v>2回目</v>
      </c>
      <c r="G30" s="328" t="str">
        <f t="shared" si="2"/>
        <v>松任2</v>
      </c>
      <c r="H30" s="328">
        <f t="shared" si="3"/>
        <v>29</v>
      </c>
      <c r="I30" s="328">
        <f>IF(OR(B30="",E30=1),"",A30-VLOOKUP(B30&amp;(E30-1),$G$2:H30,2,FALSE))</f>
        <v>14</v>
      </c>
      <c r="J30" s="328" t="str">
        <f t="shared" si="4"/>
        <v/>
      </c>
    </row>
    <row r="31" spans="1:10" x14ac:dyDescent="0.2">
      <c r="A31" s="326">
        <v>30</v>
      </c>
      <c r="B31" s="326" t="s">
        <v>74</v>
      </c>
      <c r="C31" s="326" t="s">
        <v>213</v>
      </c>
      <c r="D31" s="326" t="str">
        <f t="shared" si="0"/>
        <v>初優勝</v>
      </c>
      <c r="E31" s="328">
        <f>IF(B31="","",COUNTIF($B$2:B31,B31))</f>
        <v>1</v>
      </c>
      <c r="F31" s="328" t="str">
        <f t="shared" si="1"/>
        <v>初優勝</v>
      </c>
      <c r="G31" s="328" t="str">
        <f t="shared" si="2"/>
        <v>津幡1</v>
      </c>
      <c r="H31" s="328">
        <f t="shared" si="3"/>
        <v>30</v>
      </c>
      <c r="I31" s="328" t="str">
        <f>IF(OR(B31="",E31=1),"",A31-VLOOKUP(B31&amp;(E31-1),$G$2:H31,2,FALSE))</f>
        <v/>
      </c>
      <c r="J31" s="328" t="str">
        <f t="shared" si="4"/>
        <v/>
      </c>
    </row>
    <row r="32" spans="1:10" x14ac:dyDescent="0.2">
      <c r="A32" s="326">
        <v>31</v>
      </c>
      <c r="B32" s="326" t="s">
        <v>38</v>
      </c>
      <c r="C32" s="326" t="s">
        <v>214</v>
      </c>
      <c r="D32" s="326" t="str">
        <f t="shared" si="0"/>
        <v>初優勝</v>
      </c>
      <c r="E32" s="328">
        <f>IF(B32="","",COUNTIF($B$2:B32,B32))</f>
        <v>1</v>
      </c>
      <c r="F32" s="328" t="str">
        <f t="shared" si="1"/>
        <v>初優勝</v>
      </c>
      <c r="G32" s="328" t="str">
        <f t="shared" si="2"/>
        <v>野々市1</v>
      </c>
      <c r="H32" s="328">
        <f t="shared" si="3"/>
        <v>31</v>
      </c>
      <c r="I32" s="328" t="str">
        <f>IF(OR(B32="",E32=1),"",A32-VLOOKUP(B32&amp;(E32-1),$G$2:H32,2,FALSE))</f>
        <v/>
      </c>
      <c r="J32" s="328" t="str">
        <f t="shared" si="4"/>
        <v/>
      </c>
    </row>
    <row r="33" spans="1:10" x14ac:dyDescent="0.2">
      <c r="A33" s="326">
        <v>32</v>
      </c>
      <c r="B33" s="326" t="s">
        <v>66</v>
      </c>
      <c r="C33" s="326" t="s">
        <v>213</v>
      </c>
      <c r="D33" s="326" t="str">
        <f t="shared" si="0"/>
        <v>初優勝</v>
      </c>
      <c r="E33" s="328">
        <f>IF(B33="","",COUNTIF($B$2:B33,B33))</f>
        <v>1</v>
      </c>
      <c r="F33" s="328" t="str">
        <f t="shared" si="1"/>
        <v>初優勝</v>
      </c>
      <c r="G33" s="328" t="str">
        <f t="shared" si="2"/>
        <v>高松1</v>
      </c>
      <c r="H33" s="328">
        <f t="shared" si="3"/>
        <v>32</v>
      </c>
      <c r="I33" s="328" t="str">
        <f>IF(OR(B33="",E33=1),"",A33-VLOOKUP(B33&amp;(E33-1),$G$2:H33,2,FALSE))</f>
        <v/>
      </c>
      <c r="J33" s="328" t="str">
        <f t="shared" si="4"/>
        <v/>
      </c>
    </row>
    <row r="34" spans="1:10" x14ac:dyDescent="0.2">
      <c r="A34" s="326">
        <v>33</v>
      </c>
      <c r="B34" s="326" t="s">
        <v>12</v>
      </c>
      <c r="C34" s="326" t="s">
        <v>206</v>
      </c>
      <c r="D34" s="326" t="str">
        <f t="shared" ref="D34:D51" si="5">IF(B34="","",IF(E34=1,F34,IF(I34=1,J34&amp;"年連続",I34&amp;"年ぶり")&amp;F34))</f>
        <v>初優勝</v>
      </c>
      <c r="E34" s="328">
        <f>IF(B34="","",COUNTIF($B$2:B34,B34))</f>
        <v>1</v>
      </c>
      <c r="F34" s="328" t="str">
        <f t="shared" ref="F34:F51" si="6">IF(B34="","",IF(E34=1,"初優勝",E34&amp;"回目"))</f>
        <v>初優勝</v>
      </c>
      <c r="G34" s="328" t="str">
        <f t="shared" ref="G34:G51" si="7">IF(B34="","",B34&amp;E34)</f>
        <v>松陽1</v>
      </c>
      <c r="H34" s="328">
        <f t="shared" si="3"/>
        <v>33</v>
      </c>
      <c r="I34" s="328" t="str">
        <f>IF(OR(B34="",E34=1),"",A34-VLOOKUP(B34&amp;(E34-1),$G$2:H34,2,FALSE))</f>
        <v/>
      </c>
      <c r="J34" s="328" t="str">
        <f t="shared" ref="J34:J51" si="8">IF(B34="","",IF(I34=1,IF(I33=1,J33+1,2),""))</f>
        <v/>
      </c>
    </row>
    <row r="35" spans="1:10" x14ac:dyDescent="0.2">
      <c r="A35" s="326">
        <v>34</v>
      </c>
      <c r="B35" s="326" t="s">
        <v>14</v>
      </c>
      <c r="C35" s="326" t="s">
        <v>206</v>
      </c>
      <c r="D35" s="326" t="str">
        <f t="shared" si="5"/>
        <v>23年ぶり2回目</v>
      </c>
      <c r="E35" s="328">
        <f>IF(B35="","",COUNTIF($B$2:B35,B35))</f>
        <v>2</v>
      </c>
      <c r="F35" s="328" t="str">
        <f t="shared" si="6"/>
        <v>2回目</v>
      </c>
      <c r="G35" s="328" t="str">
        <f t="shared" si="7"/>
        <v>南部2</v>
      </c>
      <c r="H35" s="328">
        <f t="shared" si="3"/>
        <v>34</v>
      </c>
      <c r="I35" s="328">
        <f>IF(OR(B35="",E35=1),"",A35-VLOOKUP(B35&amp;(E35-1),$G$2:H35,2,FALSE))</f>
        <v>23</v>
      </c>
      <c r="J35" s="328" t="str">
        <f t="shared" si="8"/>
        <v/>
      </c>
    </row>
    <row r="36" spans="1:10" x14ac:dyDescent="0.2">
      <c r="A36" s="326">
        <v>35</v>
      </c>
      <c r="B36" s="326" t="s">
        <v>28</v>
      </c>
      <c r="C36" s="326" t="s">
        <v>32</v>
      </c>
      <c r="D36" s="326" t="str">
        <f t="shared" si="5"/>
        <v>初優勝</v>
      </c>
      <c r="E36" s="328">
        <f>IF(B36="","",COUNTIF($B$2:B36,B36))</f>
        <v>1</v>
      </c>
      <c r="F36" s="328" t="str">
        <f t="shared" si="6"/>
        <v>初優勝</v>
      </c>
      <c r="G36" s="328" t="str">
        <f t="shared" si="7"/>
        <v>笠間1</v>
      </c>
      <c r="H36" s="328">
        <f t="shared" si="3"/>
        <v>35</v>
      </c>
      <c r="I36" s="328" t="str">
        <f>IF(OR(B36="",E36=1),"",A36-VLOOKUP(B36&amp;(E36-1),$G$2:H36,2,FALSE))</f>
        <v/>
      </c>
      <c r="J36" s="328" t="str">
        <f t="shared" si="8"/>
        <v/>
      </c>
    </row>
    <row r="37" spans="1:10" x14ac:dyDescent="0.2">
      <c r="A37" s="326">
        <v>36</v>
      </c>
      <c r="B37" s="326" t="s">
        <v>38</v>
      </c>
      <c r="C37" s="326" t="s">
        <v>214</v>
      </c>
      <c r="D37" s="326" t="str">
        <f t="shared" si="5"/>
        <v>5年ぶり2回目</v>
      </c>
      <c r="E37" s="328">
        <f>IF(B37="","",COUNTIF($B$2:B37,B37))</f>
        <v>2</v>
      </c>
      <c r="F37" s="328" t="str">
        <f t="shared" si="6"/>
        <v>2回目</v>
      </c>
      <c r="G37" s="328" t="str">
        <f t="shared" si="7"/>
        <v>野々市2</v>
      </c>
      <c r="H37" s="328">
        <f t="shared" si="3"/>
        <v>36</v>
      </c>
      <c r="I37" s="328">
        <f>IF(OR(B37="",E37=1),"",A37-VLOOKUP(B37&amp;(E37-1),$G$2:H37,2,FALSE))</f>
        <v>5</v>
      </c>
      <c r="J37" s="328" t="str">
        <f t="shared" si="8"/>
        <v/>
      </c>
    </row>
    <row r="38" spans="1:10" x14ac:dyDescent="0.2">
      <c r="A38" s="326">
        <v>37</v>
      </c>
      <c r="B38" s="326" t="s">
        <v>215</v>
      </c>
      <c r="C38" s="326" t="s">
        <v>208</v>
      </c>
      <c r="D38" s="326" t="str">
        <f t="shared" si="5"/>
        <v>初優勝</v>
      </c>
      <c r="E38" s="328">
        <f>IF(B38="","",COUNTIF($B$2:B38,B38))</f>
        <v>1</v>
      </c>
      <c r="F38" s="328" t="str">
        <f t="shared" si="6"/>
        <v>初優勝</v>
      </c>
      <c r="G38" s="328" t="str">
        <f t="shared" si="7"/>
        <v>星稜1</v>
      </c>
      <c r="H38" s="328">
        <f t="shared" si="3"/>
        <v>37</v>
      </c>
      <c r="I38" s="328" t="str">
        <f>IF(OR(B38="",E38=1),"",A38-VLOOKUP(B38&amp;(E38-1),$G$2:H38,2,FALSE))</f>
        <v/>
      </c>
      <c r="J38" s="328" t="str">
        <f t="shared" si="8"/>
        <v/>
      </c>
    </row>
    <row r="39" spans="1:10" x14ac:dyDescent="0.2">
      <c r="A39" s="326">
        <v>38</v>
      </c>
      <c r="B39" s="326" t="s">
        <v>215</v>
      </c>
      <c r="C39" s="326" t="s">
        <v>208</v>
      </c>
      <c r="D39" s="326" t="str">
        <f t="shared" si="5"/>
        <v>2年連続2回目</v>
      </c>
      <c r="E39" s="328">
        <f>IF(B39="","",COUNTIF($B$2:B39,B39))</f>
        <v>2</v>
      </c>
      <c r="F39" s="328" t="str">
        <f t="shared" si="6"/>
        <v>2回目</v>
      </c>
      <c r="G39" s="328" t="str">
        <f t="shared" si="7"/>
        <v>星稜2</v>
      </c>
      <c r="H39" s="328">
        <f t="shared" si="3"/>
        <v>38</v>
      </c>
      <c r="I39" s="328">
        <f>IF(OR(B39="",E39=1),"",A39-VLOOKUP(B39&amp;(E39-1),$G$2:H39,2,FALSE))</f>
        <v>1</v>
      </c>
      <c r="J39" s="328">
        <f t="shared" si="8"/>
        <v>2</v>
      </c>
    </row>
    <row r="40" spans="1:10" x14ac:dyDescent="0.2">
      <c r="A40" s="326">
        <v>39</v>
      </c>
      <c r="B40" s="326" t="s">
        <v>38</v>
      </c>
      <c r="C40" s="326" t="s">
        <v>214</v>
      </c>
      <c r="D40" s="326" t="str">
        <f t="shared" si="5"/>
        <v>3年ぶり3回目</v>
      </c>
      <c r="E40" s="328">
        <f>IF(B40="","",COUNTIF($B$2:B40,B40))</f>
        <v>3</v>
      </c>
      <c r="F40" s="328" t="str">
        <f t="shared" si="6"/>
        <v>3回目</v>
      </c>
      <c r="G40" s="328" t="str">
        <f t="shared" si="7"/>
        <v>野々市3</v>
      </c>
      <c r="H40" s="328">
        <f t="shared" si="3"/>
        <v>39</v>
      </c>
      <c r="I40" s="328">
        <f>IF(OR(B40="",E40=1),"",A40-VLOOKUP(B40&amp;(E40-1),$G$2:H40,2,FALSE))</f>
        <v>3</v>
      </c>
      <c r="J40" s="328" t="str">
        <f t="shared" si="8"/>
        <v/>
      </c>
    </row>
    <row r="41" spans="1:10" x14ac:dyDescent="0.2">
      <c r="A41" s="326">
        <v>40</v>
      </c>
      <c r="B41" s="326" t="s">
        <v>32</v>
      </c>
      <c r="C41" s="326" t="s">
        <v>32</v>
      </c>
      <c r="D41" s="326" t="str">
        <f t="shared" si="5"/>
        <v>11年ぶり3回目</v>
      </c>
      <c r="E41" s="328">
        <f>IF(B41="","",COUNTIF($B$2:B41,B41))</f>
        <v>3</v>
      </c>
      <c r="F41" s="328" t="str">
        <f t="shared" si="6"/>
        <v>3回目</v>
      </c>
      <c r="G41" s="328" t="str">
        <f t="shared" si="7"/>
        <v>松任3</v>
      </c>
      <c r="H41" s="328">
        <f t="shared" si="3"/>
        <v>40</v>
      </c>
      <c r="I41" s="328">
        <f>IF(OR(B41="",E41=1),"",A41-VLOOKUP(B41&amp;(E41-1),$G$2:H41,2,FALSE))</f>
        <v>11</v>
      </c>
      <c r="J41" s="328" t="str">
        <f t="shared" si="8"/>
        <v/>
      </c>
    </row>
    <row r="42" spans="1:10" x14ac:dyDescent="0.2">
      <c r="A42" s="326">
        <v>41</v>
      </c>
      <c r="B42" s="326" t="s">
        <v>32</v>
      </c>
      <c r="C42" s="326" t="s">
        <v>32</v>
      </c>
      <c r="D42" s="326" t="str">
        <f t="shared" si="5"/>
        <v>2年連続4回目</v>
      </c>
      <c r="E42" s="328">
        <f>IF(B42="","",COUNTIF($B$2:B42,B42))</f>
        <v>4</v>
      </c>
      <c r="F42" s="328" t="str">
        <f t="shared" si="6"/>
        <v>4回目</v>
      </c>
      <c r="G42" s="328" t="str">
        <f t="shared" si="7"/>
        <v>松任4</v>
      </c>
      <c r="H42" s="328">
        <f t="shared" si="3"/>
        <v>41</v>
      </c>
      <c r="I42" s="328">
        <f>IF(OR(B42="",E42=1),"",A42-VLOOKUP(B42&amp;(E42-1),$G$2:H42,2,FALSE))</f>
        <v>1</v>
      </c>
      <c r="J42" s="328">
        <f t="shared" si="8"/>
        <v>2</v>
      </c>
    </row>
    <row r="43" spans="1:10" x14ac:dyDescent="0.2">
      <c r="A43" s="326">
        <v>42</v>
      </c>
      <c r="B43" s="326" t="s">
        <v>215</v>
      </c>
      <c r="C43" s="326" t="s">
        <v>208</v>
      </c>
      <c r="D43" s="326" t="str">
        <f t="shared" si="5"/>
        <v>4年ぶり3回目</v>
      </c>
      <c r="E43" s="328">
        <f>IF(B43="","",COUNTIF($B$2:B43,B43))</f>
        <v>3</v>
      </c>
      <c r="F43" s="328" t="str">
        <f t="shared" si="6"/>
        <v>3回目</v>
      </c>
      <c r="G43" s="328" t="str">
        <f t="shared" si="7"/>
        <v>星稜3</v>
      </c>
      <c r="H43" s="328">
        <f t="shared" si="3"/>
        <v>42</v>
      </c>
      <c r="I43" s="328">
        <f>IF(OR(B43="",E43=1),"",A43-VLOOKUP(B43&amp;(E43-1),$G$2:H43,2,FALSE))</f>
        <v>4</v>
      </c>
      <c r="J43" s="328" t="str">
        <f t="shared" si="8"/>
        <v/>
      </c>
    </row>
    <row r="44" spans="1:10" x14ac:dyDescent="0.2">
      <c r="A44" s="326">
        <v>43</v>
      </c>
      <c r="B44" s="326" t="s">
        <v>38</v>
      </c>
      <c r="C44" s="326" t="s">
        <v>214</v>
      </c>
      <c r="D44" s="326" t="str">
        <f t="shared" si="5"/>
        <v>4年ぶり4回目</v>
      </c>
      <c r="E44" s="328">
        <f>IF(B44="","",COUNTIF($B$2:B44,B44))</f>
        <v>4</v>
      </c>
      <c r="F44" s="328" t="str">
        <f t="shared" si="6"/>
        <v>4回目</v>
      </c>
      <c r="G44" s="328" t="str">
        <f t="shared" si="7"/>
        <v>野々市4</v>
      </c>
      <c r="H44" s="328">
        <f t="shared" si="3"/>
        <v>43</v>
      </c>
      <c r="I44" s="328">
        <f>IF(OR(B44="",E44=1),"",A44-VLOOKUP(B44&amp;(E44-1),$G$2:H44,2,FALSE))</f>
        <v>4</v>
      </c>
      <c r="J44" s="328" t="str">
        <f t="shared" si="8"/>
        <v/>
      </c>
    </row>
    <row r="45" spans="1:10" x14ac:dyDescent="0.2">
      <c r="A45" s="326">
        <v>44</v>
      </c>
      <c r="B45" s="326" t="s">
        <v>215</v>
      </c>
      <c r="C45" s="326" t="s">
        <v>208</v>
      </c>
      <c r="D45" s="326" t="str">
        <f t="shared" si="5"/>
        <v>2年ぶり4回目</v>
      </c>
      <c r="E45" s="328">
        <f>IF(B45="","",COUNTIF($B$2:B45,B45))</f>
        <v>4</v>
      </c>
      <c r="F45" s="328" t="str">
        <f t="shared" si="6"/>
        <v>4回目</v>
      </c>
      <c r="G45" s="328" t="str">
        <f t="shared" si="7"/>
        <v>星稜4</v>
      </c>
      <c r="H45" s="328">
        <f t="shared" si="3"/>
        <v>44</v>
      </c>
      <c r="I45" s="328">
        <f>IF(OR(B45="",E45=1),"",A45-VLOOKUP(B45&amp;(E45-1),$G$2:H45,2,FALSE))</f>
        <v>2</v>
      </c>
      <c r="J45" s="328" t="str">
        <f t="shared" si="8"/>
        <v/>
      </c>
    </row>
    <row r="46" spans="1:10" x14ac:dyDescent="0.2">
      <c r="A46" s="326">
        <v>45</v>
      </c>
      <c r="B46" s="326" t="s">
        <v>215</v>
      </c>
      <c r="C46" s="326" t="s">
        <v>208</v>
      </c>
      <c r="D46" s="326" t="str">
        <f t="shared" si="5"/>
        <v>2年連続5回目</v>
      </c>
      <c r="E46" s="328">
        <f>IF(B46="","",COUNTIF($B$2:B46,B46))</f>
        <v>5</v>
      </c>
      <c r="F46" s="328" t="str">
        <f t="shared" si="6"/>
        <v>5回目</v>
      </c>
      <c r="G46" s="328" t="str">
        <f t="shared" si="7"/>
        <v>星稜5</v>
      </c>
      <c r="H46" s="328">
        <f t="shared" si="3"/>
        <v>45</v>
      </c>
      <c r="I46" s="328">
        <f>IF(OR(B46="",E46=1),"",A46-VLOOKUP(B46&amp;(E46-1),$G$2:H46,2,FALSE))</f>
        <v>1</v>
      </c>
      <c r="J46" s="328">
        <f t="shared" si="8"/>
        <v>2</v>
      </c>
    </row>
    <row r="47" spans="1:10" x14ac:dyDescent="0.2">
      <c r="A47" s="326">
        <v>46</v>
      </c>
      <c r="B47" s="326" t="s">
        <v>215</v>
      </c>
      <c r="C47" s="326" t="s">
        <v>208</v>
      </c>
      <c r="D47" s="326" t="str">
        <f t="shared" si="5"/>
        <v>3年連続6回目</v>
      </c>
      <c r="E47" s="328">
        <f>IF(B47="","",COUNTIF($B$2:B47,B47))</f>
        <v>6</v>
      </c>
      <c r="F47" s="328" t="str">
        <f t="shared" si="6"/>
        <v>6回目</v>
      </c>
      <c r="G47" s="328" t="str">
        <f t="shared" si="7"/>
        <v>星稜6</v>
      </c>
      <c r="H47" s="328">
        <f t="shared" si="3"/>
        <v>46</v>
      </c>
      <c r="I47" s="328">
        <f>IF(OR(B47="",E47=1),"",A47-VLOOKUP(B47&amp;(E47-1),$G$2:H47,2,FALSE))</f>
        <v>1</v>
      </c>
      <c r="J47" s="328">
        <f t="shared" si="8"/>
        <v>3</v>
      </c>
    </row>
    <row r="48" spans="1:10" x14ac:dyDescent="0.2">
      <c r="A48" s="326">
        <v>47</v>
      </c>
      <c r="B48" s="326" t="s">
        <v>215</v>
      </c>
      <c r="C48" s="326" t="s">
        <v>208</v>
      </c>
      <c r="D48" s="326" t="str">
        <f t="shared" si="5"/>
        <v>4年連続7回目</v>
      </c>
      <c r="E48" s="328">
        <f>IF(B48="","",COUNTIF($B$2:B48,B48))</f>
        <v>7</v>
      </c>
      <c r="F48" s="328" t="str">
        <f t="shared" si="6"/>
        <v>7回目</v>
      </c>
      <c r="G48" s="328" t="str">
        <f t="shared" si="7"/>
        <v>星稜7</v>
      </c>
      <c r="H48" s="328">
        <f t="shared" si="3"/>
        <v>47</v>
      </c>
      <c r="I48" s="328">
        <f>IF(OR(B48="",E48=1),"",A48-VLOOKUP(B48&amp;(E48-1),$G$2:H48,2,FALSE))</f>
        <v>1</v>
      </c>
      <c r="J48" s="328">
        <f t="shared" si="8"/>
        <v>4</v>
      </c>
    </row>
    <row r="49" spans="1:11" x14ac:dyDescent="0.2">
      <c r="A49" s="326">
        <v>48</v>
      </c>
      <c r="B49" s="326" t="s">
        <v>215</v>
      </c>
      <c r="C49" s="326" t="s">
        <v>208</v>
      </c>
      <c r="D49" s="326" t="str">
        <f t="shared" si="5"/>
        <v>5年連続8回目</v>
      </c>
      <c r="E49" s="328">
        <f>IF(B49="","",COUNTIF($B$2:B49,B49))</f>
        <v>8</v>
      </c>
      <c r="F49" s="328" t="str">
        <f t="shared" si="6"/>
        <v>8回目</v>
      </c>
      <c r="G49" s="328" t="str">
        <f t="shared" si="7"/>
        <v>星稜8</v>
      </c>
      <c r="H49" s="328">
        <f t="shared" si="3"/>
        <v>48</v>
      </c>
      <c r="I49" s="328">
        <f>IF(OR(B49="",E49=1),"",A49-VLOOKUP(B49&amp;(E49-1),$G$2:H49,2,FALSE))</f>
        <v>1</v>
      </c>
      <c r="J49" s="328">
        <f t="shared" si="8"/>
        <v>5</v>
      </c>
    </row>
    <row r="50" spans="1:11" x14ac:dyDescent="0.2">
      <c r="A50" s="326">
        <v>49</v>
      </c>
      <c r="B50" s="326" t="s">
        <v>215</v>
      </c>
      <c r="C50" s="326" t="s">
        <v>208</v>
      </c>
      <c r="D50" s="326" t="str">
        <f t="shared" si="5"/>
        <v>6年連続9回目</v>
      </c>
      <c r="E50" s="328">
        <f>IF(B50="","",COUNTIF($B$2:B50,B50))</f>
        <v>9</v>
      </c>
      <c r="F50" s="328" t="str">
        <f t="shared" si="6"/>
        <v>9回目</v>
      </c>
      <c r="G50" s="328" t="str">
        <f t="shared" si="7"/>
        <v>星稜9</v>
      </c>
      <c r="H50" s="328">
        <f t="shared" si="3"/>
        <v>49</v>
      </c>
      <c r="I50" s="328">
        <f>IF(OR(B50="",E50=1),"",A50-VLOOKUP(B50&amp;(E50-1),$G$2:H50,2,FALSE))</f>
        <v>1</v>
      </c>
      <c r="J50" s="328">
        <f t="shared" si="8"/>
        <v>6</v>
      </c>
    </row>
    <row r="51" spans="1:11" x14ac:dyDescent="0.2">
      <c r="A51" s="326">
        <v>50</v>
      </c>
      <c r="B51" s="326" t="s">
        <v>215</v>
      </c>
      <c r="C51" s="326" t="s">
        <v>208</v>
      </c>
      <c r="D51" s="326" t="str">
        <f t="shared" si="5"/>
        <v>7年連続10回目</v>
      </c>
      <c r="E51" s="328">
        <f>IF(B51="","",COUNTIF($B$2:B51,B51))</f>
        <v>10</v>
      </c>
      <c r="F51" s="328" t="str">
        <f t="shared" si="6"/>
        <v>10回目</v>
      </c>
      <c r="G51" s="328" t="str">
        <f t="shared" si="7"/>
        <v>星稜10</v>
      </c>
      <c r="H51" s="328">
        <f t="shared" si="3"/>
        <v>50</v>
      </c>
      <c r="I51" s="328">
        <f>IF(OR(B51="",E51=1),"",A51-VLOOKUP(B51&amp;(E51-1),$G$2:H51,2,FALSE))</f>
        <v>1</v>
      </c>
      <c r="J51" s="328">
        <f t="shared" si="8"/>
        <v>7</v>
      </c>
    </row>
    <row r="52" spans="1:11" x14ac:dyDescent="0.2">
      <c r="A52" s="326">
        <v>51</v>
      </c>
      <c r="B52" s="326" t="s">
        <v>215</v>
      </c>
      <c r="C52" s="326" t="s">
        <v>208</v>
      </c>
      <c r="D52" s="326" t="str">
        <f t="shared" ref="D52:D101" si="9">IF(B52="","",IF(E52=1,F52,IF(I52=1,J52&amp;"年連続",I52&amp;"年ぶり")&amp;F52))</f>
        <v>8年連続11回目</v>
      </c>
      <c r="E52" s="328">
        <f>IF(B52="","",COUNTIF($B$2:B52,B52))</f>
        <v>11</v>
      </c>
      <c r="F52" s="328" t="str">
        <f t="shared" ref="F52:F101" si="10">IF(B52="","",IF(E52=1,"初優勝",E52&amp;"回目"))</f>
        <v>11回目</v>
      </c>
      <c r="G52" s="328" t="str">
        <f t="shared" ref="G52:G101" si="11">IF(B52="","",B52&amp;E52)</f>
        <v>星稜11</v>
      </c>
      <c r="H52" s="328">
        <f t="shared" ref="H52:H101" si="12">A52</f>
        <v>51</v>
      </c>
      <c r="I52" s="328">
        <f>IF(OR(B52="",E52=1),"",A52-VLOOKUP(B52&amp;(E52-1),$G$2:H52,2,FALSE))</f>
        <v>1</v>
      </c>
      <c r="J52" s="328">
        <f t="shared" ref="J52:J101" si="13">IF(B52="","",IF(I52=1,IF(I51=1,J51+1,2),""))</f>
        <v>8</v>
      </c>
    </row>
    <row r="53" spans="1:11" x14ac:dyDescent="0.2">
      <c r="A53" s="326">
        <v>52</v>
      </c>
      <c r="B53" s="326" t="s">
        <v>215</v>
      </c>
      <c r="C53" s="326" t="s">
        <v>208</v>
      </c>
      <c r="D53" s="326" t="str">
        <f t="shared" si="9"/>
        <v>9年連続12回目</v>
      </c>
      <c r="E53" s="328">
        <f>IF(B53="","",COUNTIF($B$2:B53,B53))</f>
        <v>12</v>
      </c>
      <c r="F53" s="328" t="str">
        <f t="shared" si="10"/>
        <v>12回目</v>
      </c>
      <c r="G53" s="328" t="str">
        <f t="shared" si="11"/>
        <v>星稜12</v>
      </c>
      <c r="H53" s="328">
        <f t="shared" si="12"/>
        <v>52</v>
      </c>
      <c r="I53" s="328">
        <f>IF(OR(B53="",E53=1),"",A53-VLOOKUP(B53&amp;(E53-1),$G$2:H53,2,FALSE))</f>
        <v>1</v>
      </c>
      <c r="J53" s="328">
        <f t="shared" si="13"/>
        <v>9</v>
      </c>
    </row>
    <row r="54" spans="1:11" x14ac:dyDescent="0.2">
      <c r="A54" s="326">
        <v>53</v>
      </c>
      <c r="B54" s="326" t="s">
        <v>215</v>
      </c>
      <c r="C54" s="326" t="s">
        <v>208</v>
      </c>
      <c r="D54" s="326" t="str">
        <f t="shared" si="9"/>
        <v>10年連続13回目</v>
      </c>
      <c r="E54" s="328">
        <f>IF(B54="","",COUNTIF($B$2:B54,B54))</f>
        <v>13</v>
      </c>
      <c r="F54" s="328" t="str">
        <f t="shared" si="10"/>
        <v>13回目</v>
      </c>
      <c r="G54" s="328" t="str">
        <f t="shared" si="11"/>
        <v>星稜13</v>
      </c>
      <c r="H54" s="328">
        <f t="shared" si="12"/>
        <v>53</v>
      </c>
      <c r="I54" s="328">
        <f>IF(OR(B54="",E54=1),"",A54-VLOOKUP(B54&amp;(E54-1),$G$2:H54,2,FALSE))</f>
        <v>1</v>
      </c>
      <c r="J54" s="328">
        <f t="shared" si="13"/>
        <v>10</v>
      </c>
    </row>
    <row r="55" spans="1:11" x14ac:dyDescent="0.2">
      <c r="A55" s="326">
        <v>54</v>
      </c>
      <c r="B55" s="297" t="s">
        <v>216</v>
      </c>
      <c r="C55" s="326" t="s">
        <v>208</v>
      </c>
      <c r="D55" s="326" t="str">
        <f t="shared" si="9"/>
        <v>11年連続14回目</v>
      </c>
      <c r="E55" s="328">
        <f>IF(B55="","",COUNTIF($B$2:B55,B55))</f>
        <v>14</v>
      </c>
      <c r="F55" s="328" t="str">
        <f t="shared" si="10"/>
        <v>14回目</v>
      </c>
      <c r="G55" s="328" t="str">
        <f t="shared" si="11"/>
        <v>星稜14</v>
      </c>
      <c r="H55" s="328">
        <f t="shared" si="12"/>
        <v>54</v>
      </c>
      <c r="I55" s="328">
        <f>IF(OR(B55="",E55=1),"",A55-VLOOKUP(B55&amp;(E55-1),$G$2:H55,2,FALSE))</f>
        <v>1</v>
      </c>
      <c r="J55" s="328">
        <f t="shared" si="13"/>
        <v>11</v>
      </c>
      <c r="K55" s="258" t="str">
        <f ca="1">IF(YEAR(NOW())-1962=A55,"*優勝校が決まったら、学校名と郡市名は値複写しておくこと。","")</f>
        <v/>
      </c>
    </row>
    <row r="56" spans="1:11" x14ac:dyDescent="0.2">
      <c r="A56" s="326">
        <v>55</v>
      </c>
      <c r="B56" s="297" t="s">
        <v>216</v>
      </c>
      <c r="C56" s="326" t="s">
        <v>208</v>
      </c>
      <c r="D56" s="326" t="str">
        <f t="shared" si="9"/>
        <v>12年連続15回目</v>
      </c>
      <c r="E56" s="328">
        <f>IF(B56="","",COUNTIF($B$2:B56,B56))</f>
        <v>15</v>
      </c>
      <c r="F56" s="328" t="str">
        <f t="shared" si="10"/>
        <v>15回目</v>
      </c>
      <c r="G56" s="328" t="str">
        <f t="shared" si="11"/>
        <v>星稜15</v>
      </c>
      <c r="H56" s="328">
        <f t="shared" si="12"/>
        <v>55</v>
      </c>
      <c r="I56" s="328">
        <f>IF(OR(B56="",E56=1),"",A56-VLOOKUP(B56&amp;(E56-1),$G$2:H56,2,FALSE))</f>
        <v>1</v>
      </c>
      <c r="J56" s="328">
        <f t="shared" si="13"/>
        <v>12</v>
      </c>
      <c r="K56" s="258" t="str">
        <f ca="1">IF(YEAR(NOW())-1962=A56,"*優勝校が決まったら、学校名と郡市名は値複写しておくこと。","")</f>
        <v/>
      </c>
    </row>
    <row r="57" spans="1:11" x14ac:dyDescent="0.2">
      <c r="A57" s="326">
        <v>56</v>
      </c>
      <c r="B57" s="297" t="s">
        <v>216</v>
      </c>
      <c r="C57" s="297" t="s">
        <v>208</v>
      </c>
      <c r="D57" s="326" t="str">
        <f t="shared" si="9"/>
        <v>13年連続16回目</v>
      </c>
      <c r="E57" s="328">
        <f>IF(B57="","",COUNTIF($B$2:B57,B57))</f>
        <v>16</v>
      </c>
      <c r="F57" s="328" t="str">
        <f t="shared" si="10"/>
        <v>16回目</v>
      </c>
      <c r="G57" s="328" t="str">
        <f t="shared" si="11"/>
        <v>星稜16</v>
      </c>
      <c r="H57" s="328">
        <f t="shared" si="12"/>
        <v>56</v>
      </c>
      <c r="I57" s="328">
        <f>IF(OR(B57="",E57=1),"",A57-VLOOKUP(B57&amp;(E57-1),$G$2:H57,2,FALSE))</f>
        <v>1</v>
      </c>
      <c r="J57" s="328">
        <f t="shared" si="13"/>
        <v>13</v>
      </c>
      <c r="K57" s="258" t="str">
        <f t="shared" ref="K57:K101" ca="1" si="14">IF(YEAR(NOW())-1962=A57,"*優勝校が決まったら、学校名と郡市名は値複写しておくこと。","")</f>
        <v/>
      </c>
    </row>
    <row r="58" spans="1:11" x14ac:dyDescent="0.2">
      <c r="A58" s="326">
        <v>57</v>
      </c>
      <c r="B58" s="297" t="s">
        <v>32</v>
      </c>
      <c r="C58" s="297" t="s">
        <v>701</v>
      </c>
      <c r="D58" s="326" t="str">
        <f t="shared" si="9"/>
        <v>16年ぶり5回目</v>
      </c>
      <c r="E58" s="328">
        <f>IF(B58="","",COUNTIF($B$2:B58,B58))</f>
        <v>5</v>
      </c>
      <c r="F58" s="328" t="str">
        <f t="shared" si="10"/>
        <v>5回目</v>
      </c>
      <c r="G58" s="328" t="str">
        <f t="shared" si="11"/>
        <v>松任5</v>
      </c>
      <c r="H58" s="328">
        <f t="shared" si="12"/>
        <v>57</v>
      </c>
      <c r="I58" s="328">
        <f>IF(OR(B58="",E58=1),"",A58-VLOOKUP(B58&amp;(E58-1),$G$2:H58,2,FALSE))</f>
        <v>16</v>
      </c>
      <c r="J58" s="328" t="str">
        <f t="shared" si="13"/>
        <v/>
      </c>
      <c r="K58" s="258" t="str">
        <f t="shared" ca="1" si="14"/>
        <v/>
      </c>
    </row>
    <row r="59" spans="1:11" x14ac:dyDescent="0.2">
      <c r="A59" s="326">
        <v>58</v>
      </c>
      <c r="B59" s="297" t="s">
        <v>217</v>
      </c>
      <c r="C59" s="297"/>
      <c r="D59" s="326" t="s">
        <v>218</v>
      </c>
      <c r="E59" s="328">
        <f>IF(B59="","",COUNTIF($B$2:B59,B59))</f>
        <v>1</v>
      </c>
      <c r="F59" s="328" t="str">
        <f t="shared" si="10"/>
        <v>初優勝</v>
      </c>
      <c r="G59" s="328" t="str">
        <f t="shared" si="11"/>
        <v>なし1</v>
      </c>
      <c r="H59" s="328">
        <f t="shared" si="12"/>
        <v>58</v>
      </c>
      <c r="I59" s="328" t="str">
        <f>IF(OR(B59="",E59=1),"",A59-VLOOKUP(B59&amp;(E59-1),$G$2:H59,2,FALSE))</f>
        <v/>
      </c>
      <c r="J59" s="328" t="str">
        <f t="shared" si="13"/>
        <v/>
      </c>
      <c r="K59" s="258" t="str">
        <f t="shared" ca="1" si="14"/>
        <v/>
      </c>
    </row>
    <row r="60" spans="1:11" x14ac:dyDescent="0.2">
      <c r="A60" s="326">
        <v>59</v>
      </c>
      <c r="B60" s="297" t="s">
        <v>69</v>
      </c>
      <c r="C60" s="297" t="s">
        <v>213</v>
      </c>
      <c r="D60" s="326" t="str">
        <f t="shared" si="9"/>
        <v>初優勝</v>
      </c>
      <c r="E60" s="328">
        <f>IF(B60="","",COUNTIF($B$2:B60,B60))</f>
        <v>1</v>
      </c>
      <c r="F60" s="328" t="str">
        <f t="shared" si="10"/>
        <v>初優勝</v>
      </c>
      <c r="G60" s="328" t="str">
        <f t="shared" si="11"/>
        <v>内灘1</v>
      </c>
      <c r="H60" s="328">
        <f t="shared" si="12"/>
        <v>59</v>
      </c>
      <c r="I60" s="328" t="str">
        <f>IF(OR(B60="",E60=1),"",A60-VLOOKUP(B60&amp;(E60-1),$G$2:H60,2,FALSE))</f>
        <v/>
      </c>
      <c r="J60" s="328" t="str">
        <f t="shared" si="13"/>
        <v/>
      </c>
      <c r="K60" s="258" t="str">
        <f t="shared" ca="1" si="14"/>
        <v/>
      </c>
    </row>
    <row r="61" spans="1:11" x14ac:dyDescent="0.2">
      <c r="A61" s="326">
        <v>60</v>
      </c>
      <c r="B61" s="297" t="s">
        <v>216</v>
      </c>
      <c r="C61" s="297" t="s">
        <v>208</v>
      </c>
      <c r="D61" s="326" t="str">
        <f t="shared" si="9"/>
        <v>4年ぶり17回目</v>
      </c>
      <c r="E61" s="328">
        <f>IF(B61="","",COUNTIF($B$2:B61,B61))</f>
        <v>17</v>
      </c>
      <c r="F61" s="328" t="str">
        <f t="shared" si="10"/>
        <v>17回目</v>
      </c>
      <c r="G61" s="328" t="str">
        <f t="shared" si="11"/>
        <v>星稜17</v>
      </c>
      <c r="H61" s="328">
        <f t="shared" si="12"/>
        <v>60</v>
      </c>
      <c r="I61" s="328">
        <f>IF(OR(B61="",E61=1),"",A61-VLOOKUP(B61&amp;(E61-1),$G$2:H61,2,FALSE))</f>
        <v>4</v>
      </c>
      <c r="J61" s="328" t="str">
        <f t="shared" si="13"/>
        <v/>
      </c>
      <c r="K61" s="258" t="str">
        <f t="shared" ca="1" si="14"/>
        <v/>
      </c>
    </row>
    <row r="62" spans="1:11" x14ac:dyDescent="0.2">
      <c r="A62" s="326">
        <v>61</v>
      </c>
      <c r="B62" s="297" t="s">
        <v>65</v>
      </c>
      <c r="C62" s="297" t="s">
        <v>65</v>
      </c>
      <c r="D62" s="326" t="str">
        <f t="shared" si="9"/>
        <v>初優勝</v>
      </c>
      <c r="E62" s="328">
        <f>IF(B62="","",COUNTIF($B$2:B62,B62))</f>
        <v>1</v>
      </c>
      <c r="F62" s="328" t="str">
        <f t="shared" si="10"/>
        <v>初優勝</v>
      </c>
      <c r="G62" s="328" t="str">
        <f t="shared" si="11"/>
        <v>七尾1</v>
      </c>
      <c r="H62" s="328">
        <f t="shared" si="12"/>
        <v>61</v>
      </c>
      <c r="I62" s="328" t="str">
        <f>IF(OR(B62="",E62=1),"",A62-VLOOKUP(B62&amp;(E62-1),$G$2:H62,2,FALSE))</f>
        <v/>
      </c>
      <c r="J62" s="328" t="str">
        <f t="shared" si="13"/>
        <v/>
      </c>
      <c r="K62" s="258" t="str">
        <f t="shared" ca="1" si="14"/>
        <v/>
      </c>
    </row>
    <row r="63" spans="1:11" x14ac:dyDescent="0.2">
      <c r="A63" s="326">
        <v>62</v>
      </c>
      <c r="B63" s="297" t="str">
        <f ca="1">IF(K63="","",IF('県体(赤)'!$AE$12&gt;'県体(赤)'!$AH$12,'県体(赤)'!$N$14,IF('県体(赤)'!$AH$12&gt;'県体(赤)'!$AE$12,'県体(赤)'!$AX$14,"")))</f>
        <v/>
      </c>
      <c r="C63" s="297" t="str">
        <f ca="1">IF(B63="","",LEFT(VLOOKUP(B63,県体学校名!$C$4:$F$19,2,FALSE),LEN(VLOOKUP(B63,県体学校名!$C$4:$F$19,2,FALSE))-1))</f>
        <v/>
      </c>
      <c r="D63" s="326" t="str">
        <f t="shared" ca="1" si="9"/>
        <v/>
      </c>
      <c r="E63" s="328" t="str">
        <f ca="1">IF(B63="","",COUNTIF($B$2:B63,B63))</f>
        <v/>
      </c>
      <c r="F63" s="328" t="str">
        <f t="shared" ca="1" si="10"/>
        <v/>
      </c>
      <c r="G63" s="328" t="str">
        <f t="shared" ca="1" si="11"/>
        <v/>
      </c>
      <c r="H63" s="328">
        <f t="shared" si="12"/>
        <v>62</v>
      </c>
      <c r="I63" s="328" t="str">
        <f ca="1">IF(OR(B63="",E63=1),"",A63-VLOOKUP(B63&amp;(E63-1),$G$2:H63,2,FALSE))</f>
        <v/>
      </c>
      <c r="J63" s="328" t="str">
        <f t="shared" ca="1" si="13"/>
        <v/>
      </c>
      <c r="K63" s="258" t="str">
        <f t="shared" ca="1" si="14"/>
        <v>*優勝校が決まったら、学校名と郡市名は値複写しておくこと。</v>
      </c>
    </row>
    <row r="64" spans="1:11" x14ac:dyDescent="0.2">
      <c r="A64" s="326">
        <v>63</v>
      </c>
      <c r="B64" s="297" t="str">
        <f ca="1">IF(K64="","",IF('県体(赤)'!$AE$12&gt;'県体(赤)'!$AH$12,'県体(赤)'!$N$14,IF('県体(赤)'!$AH$12&gt;'県体(赤)'!$AE$12,'県体(赤)'!$AX$14,"")))</f>
        <v/>
      </c>
      <c r="C64" s="297" t="str">
        <f ca="1">IF(B64="","",LEFT(VLOOKUP(B64,県体学校名!$C$4:$F$19,2,FALSE),LEN(VLOOKUP(B64,県体学校名!$C$4:$F$19,2,FALSE))-1))</f>
        <v/>
      </c>
      <c r="D64" s="326" t="str">
        <f t="shared" ca="1" si="9"/>
        <v/>
      </c>
      <c r="E64" s="328" t="str">
        <f ca="1">IF(B64="","",COUNTIF($B$2:B64,B64))</f>
        <v/>
      </c>
      <c r="F64" s="328" t="str">
        <f t="shared" ca="1" si="10"/>
        <v/>
      </c>
      <c r="G64" s="328" t="str">
        <f t="shared" ca="1" si="11"/>
        <v/>
      </c>
      <c r="H64" s="328">
        <f t="shared" si="12"/>
        <v>63</v>
      </c>
      <c r="I64" s="328" t="str">
        <f ca="1">IF(OR(B64="",E64=1),"",A64-VLOOKUP(B64&amp;(E64-1),$G$2:H64,2,FALSE))</f>
        <v/>
      </c>
      <c r="J64" s="328" t="str">
        <f t="shared" ca="1" si="13"/>
        <v/>
      </c>
      <c r="K64" s="258" t="str">
        <f t="shared" ca="1" si="14"/>
        <v/>
      </c>
    </row>
    <row r="65" spans="1:11" x14ac:dyDescent="0.2">
      <c r="A65" s="326">
        <v>64</v>
      </c>
      <c r="B65" s="297" t="str">
        <f ca="1">IF(K65="","",IF('県体(赤)'!$AE$12&gt;'県体(赤)'!$AH$12,'県体(赤)'!$N$14,IF('県体(赤)'!$AH$12&gt;'県体(赤)'!$AE$12,'県体(赤)'!$AX$14,"")))</f>
        <v/>
      </c>
      <c r="C65" s="297" t="str">
        <f ca="1">IF(B65="","",LEFT(VLOOKUP(B65,県体学校名!$C$4:$F$19,2,FALSE),LEN(VLOOKUP(B65,県体学校名!$C$4:$F$19,2,FALSE))-1))</f>
        <v/>
      </c>
      <c r="D65" s="326" t="str">
        <f t="shared" ca="1" si="9"/>
        <v/>
      </c>
      <c r="E65" s="328" t="str">
        <f ca="1">IF(B65="","",COUNTIF($B$2:B65,B65))</f>
        <v/>
      </c>
      <c r="F65" s="328" t="str">
        <f t="shared" ca="1" si="10"/>
        <v/>
      </c>
      <c r="G65" s="328" t="str">
        <f t="shared" ca="1" si="11"/>
        <v/>
      </c>
      <c r="H65" s="328">
        <f t="shared" si="12"/>
        <v>64</v>
      </c>
      <c r="I65" s="328" t="str">
        <f ca="1">IF(OR(B65="",E65=1),"",A65-VLOOKUP(B65&amp;(E65-1),$G$2:H65,2,FALSE))</f>
        <v/>
      </c>
      <c r="J65" s="328" t="str">
        <f t="shared" ca="1" si="13"/>
        <v/>
      </c>
      <c r="K65" s="258" t="str">
        <f t="shared" ca="1" si="14"/>
        <v/>
      </c>
    </row>
    <row r="66" spans="1:11" x14ac:dyDescent="0.2">
      <c r="A66" s="326">
        <v>65</v>
      </c>
      <c r="B66" s="297" t="str">
        <f ca="1">IF(K66="","",IF('県体(赤)'!$AE$12&gt;'県体(赤)'!$AH$12,'県体(赤)'!$N$14,IF('県体(赤)'!$AH$12&gt;'県体(赤)'!$AE$12,'県体(赤)'!$AX$14,"")))</f>
        <v/>
      </c>
      <c r="C66" s="297" t="str">
        <f ca="1">IF(B66="","",LEFT(VLOOKUP(B66,県体学校名!$C$4:$F$19,2,FALSE),LEN(VLOOKUP(B66,県体学校名!$C$4:$F$19,2,FALSE))-1))</f>
        <v/>
      </c>
      <c r="D66" s="326" t="str">
        <f t="shared" ca="1" si="9"/>
        <v/>
      </c>
      <c r="E66" s="328" t="str">
        <f ca="1">IF(B66="","",COUNTIF($B$2:B66,B66))</f>
        <v/>
      </c>
      <c r="F66" s="328" t="str">
        <f t="shared" ca="1" si="10"/>
        <v/>
      </c>
      <c r="G66" s="328" t="str">
        <f t="shared" ca="1" si="11"/>
        <v/>
      </c>
      <c r="H66" s="328">
        <f t="shared" si="12"/>
        <v>65</v>
      </c>
      <c r="I66" s="328" t="str">
        <f ca="1">IF(OR(B66="",E66=1),"",A66-VLOOKUP(B66&amp;(E66-1),$G$2:H66,2,FALSE))</f>
        <v/>
      </c>
      <c r="J66" s="328" t="str">
        <f t="shared" ca="1" si="13"/>
        <v/>
      </c>
      <c r="K66" s="258" t="str">
        <f t="shared" ca="1" si="14"/>
        <v/>
      </c>
    </row>
    <row r="67" spans="1:11" x14ac:dyDescent="0.2">
      <c r="A67" s="326">
        <v>66</v>
      </c>
      <c r="B67" s="297" t="str">
        <f ca="1">IF(K67="","",IF('県体(赤)'!$AE$12&gt;'県体(赤)'!$AH$12,'県体(赤)'!$N$14,IF('県体(赤)'!$AH$12&gt;'県体(赤)'!$AE$12,'県体(赤)'!$AX$14,"")))</f>
        <v/>
      </c>
      <c r="C67" s="297" t="str">
        <f ca="1">IF(B67="","",LEFT(VLOOKUP(B67,県体学校名!$C$4:$F$19,2,FALSE),LEN(VLOOKUP(B67,県体学校名!$C$4:$F$19,2,FALSE))-1))</f>
        <v/>
      </c>
      <c r="D67" s="326" t="str">
        <f t="shared" ca="1" si="9"/>
        <v/>
      </c>
      <c r="E67" s="328" t="str">
        <f ca="1">IF(B67="","",COUNTIF($B$2:B67,B67))</f>
        <v/>
      </c>
      <c r="F67" s="328" t="str">
        <f t="shared" ca="1" si="10"/>
        <v/>
      </c>
      <c r="G67" s="328" t="str">
        <f t="shared" ca="1" si="11"/>
        <v/>
      </c>
      <c r="H67" s="328">
        <f t="shared" si="12"/>
        <v>66</v>
      </c>
      <c r="I67" s="328" t="str">
        <f ca="1">IF(OR(B67="",E67=1),"",A67-VLOOKUP(B67&amp;(E67-1),$G$2:H67,2,FALSE))</f>
        <v/>
      </c>
      <c r="J67" s="328" t="str">
        <f t="shared" ca="1" si="13"/>
        <v/>
      </c>
      <c r="K67" s="258" t="str">
        <f t="shared" ca="1" si="14"/>
        <v/>
      </c>
    </row>
    <row r="68" spans="1:11" x14ac:dyDescent="0.2">
      <c r="A68" s="326">
        <v>67</v>
      </c>
      <c r="B68" s="297" t="str">
        <f ca="1">IF(K68="","",IF('県体(赤)'!$AE$12&gt;'県体(赤)'!$AH$12,'県体(赤)'!$N$14,IF('県体(赤)'!$AH$12&gt;'県体(赤)'!$AE$12,'県体(赤)'!$AX$14,"")))</f>
        <v/>
      </c>
      <c r="C68" s="297" t="str">
        <f ca="1">IF(B68="","",LEFT(VLOOKUP(B68,県体学校名!$C$4:$F$19,2,FALSE),LEN(VLOOKUP(B68,県体学校名!$C$4:$F$19,2,FALSE))-1))</f>
        <v/>
      </c>
      <c r="D68" s="326" t="str">
        <f t="shared" ca="1" si="9"/>
        <v/>
      </c>
      <c r="E68" s="328" t="str">
        <f ca="1">IF(B68="","",COUNTIF($B$2:B68,B68))</f>
        <v/>
      </c>
      <c r="F68" s="328" t="str">
        <f t="shared" ca="1" si="10"/>
        <v/>
      </c>
      <c r="G68" s="328" t="str">
        <f t="shared" ca="1" si="11"/>
        <v/>
      </c>
      <c r="H68" s="328">
        <f t="shared" si="12"/>
        <v>67</v>
      </c>
      <c r="I68" s="328" t="str">
        <f ca="1">IF(OR(B68="",E68=1),"",A68-VLOOKUP(B68&amp;(E68-1),$G$2:H68,2,FALSE))</f>
        <v/>
      </c>
      <c r="J68" s="328" t="str">
        <f t="shared" ca="1" si="13"/>
        <v/>
      </c>
      <c r="K68" s="258" t="str">
        <f t="shared" ca="1" si="14"/>
        <v/>
      </c>
    </row>
    <row r="69" spans="1:11" x14ac:dyDescent="0.2">
      <c r="A69" s="326">
        <v>68</v>
      </c>
      <c r="B69" s="297" t="str">
        <f ca="1">IF(K69="","",IF('県体(赤)'!$AE$12&gt;'県体(赤)'!$AH$12,'県体(赤)'!$N$14,IF('県体(赤)'!$AH$12&gt;'県体(赤)'!$AE$12,'県体(赤)'!$AX$14,"")))</f>
        <v/>
      </c>
      <c r="C69" s="297" t="str">
        <f ca="1">IF(B69="","",LEFT(VLOOKUP(B69,県体学校名!$C$4:$F$19,2,FALSE),LEN(VLOOKUP(B69,県体学校名!$C$4:$F$19,2,FALSE))-1))</f>
        <v/>
      </c>
      <c r="D69" s="326" t="str">
        <f t="shared" ca="1" si="9"/>
        <v/>
      </c>
      <c r="E69" s="328" t="str">
        <f ca="1">IF(B69="","",COUNTIF($B$2:B69,B69))</f>
        <v/>
      </c>
      <c r="F69" s="328" t="str">
        <f t="shared" ca="1" si="10"/>
        <v/>
      </c>
      <c r="G69" s="328" t="str">
        <f t="shared" ca="1" si="11"/>
        <v/>
      </c>
      <c r="H69" s="328">
        <f t="shared" si="12"/>
        <v>68</v>
      </c>
      <c r="I69" s="328" t="str">
        <f ca="1">IF(OR(B69="",E69=1),"",A69-VLOOKUP(B69&amp;(E69-1),$G$2:H69,2,FALSE))</f>
        <v/>
      </c>
      <c r="J69" s="328" t="str">
        <f t="shared" ca="1" si="13"/>
        <v/>
      </c>
      <c r="K69" s="258" t="str">
        <f t="shared" ca="1" si="14"/>
        <v/>
      </c>
    </row>
    <row r="70" spans="1:11" x14ac:dyDescent="0.2">
      <c r="A70" s="326">
        <v>69</v>
      </c>
      <c r="B70" s="297" t="str">
        <f ca="1">IF(K70="","",IF('県体(赤)'!$AE$12&gt;'県体(赤)'!$AH$12,'県体(赤)'!$N$14,IF('県体(赤)'!$AH$12&gt;'県体(赤)'!$AE$12,'県体(赤)'!$AX$14,"")))</f>
        <v/>
      </c>
      <c r="C70" s="297" t="str">
        <f ca="1">IF(B70="","",LEFT(VLOOKUP(B70,県体学校名!$C$4:$F$19,2,FALSE),LEN(VLOOKUP(B70,県体学校名!$C$4:$F$19,2,FALSE))-1))</f>
        <v/>
      </c>
      <c r="D70" s="326" t="str">
        <f t="shared" ca="1" si="9"/>
        <v/>
      </c>
      <c r="E70" s="328" t="str">
        <f ca="1">IF(B70="","",COUNTIF($B$2:B70,B70))</f>
        <v/>
      </c>
      <c r="F70" s="328" t="str">
        <f t="shared" ca="1" si="10"/>
        <v/>
      </c>
      <c r="G70" s="328" t="str">
        <f t="shared" ca="1" si="11"/>
        <v/>
      </c>
      <c r="H70" s="328">
        <f t="shared" si="12"/>
        <v>69</v>
      </c>
      <c r="I70" s="328" t="str">
        <f ca="1">IF(OR(B70="",E70=1),"",A70-VLOOKUP(B70&amp;(E70-1),$G$2:H70,2,FALSE))</f>
        <v/>
      </c>
      <c r="J70" s="328" t="str">
        <f t="shared" ca="1" si="13"/>
        <v/>
      </c>
      <c r="K70" s="258" t="str">
        <f t="shared" ca="1" si="14"/>
        <v/>
      </c>
    </row>
    <row r="71" spans="1:11" x14ac:dyDescent="0.2">
      <c r="A71" s="326">
        <v>70</v>
      </c>
      <c r="B71" s="297" t="str">
        <f ca="1">IF(K71="","",IF('県体(赤)'!$AE$12&gt;'県体(赤)'!$AH$12,'県体(赤)'!$N$14,IF('県体(赤)'!$AH$12&gt;'県体(赤)'!$AE$12,'県体(赤)'!$AX$14,"")))</f>
        <v/>
      </c>
      <c r="C71" s="297" t="str">
        <f ca="1">IF(B71="","",LEFT(VLOOKUP(B71,県体学校名!$C$4:$F$19,2,FALSE),LEN(VLOOKUP(B71,県体学校名!$C$4:$F$19,2,FALSE))-1))</f>
        <v/>
      </c>
      <c r="D71" s="326" t="str">
        <f t="shared" ca="1" si="9"/>
        <v/>
      </c>
      <c r="E71" s="328" t="str">
        <f ca="1">IF(B71="","",COUNTIF($B$2:B71,B71))</f>
        <v/>
      </c>
      <c r="F71" s="328" t="str">
        <f t="shared" ca="1" si="10"/>
        <v/>
      </c>
      <c r="G71" s="328" t="str">
        <f t="shared" ca="1" si="11"/>
        <v/>
      </c>
      <c r="H71" s="328">
        <f t="shared" si="12"/>
        <v>70</v>
      </c>
      <c r="I71" s="328" t="str">
        <f ca="1">IF(OR(B71="",E71=1),"",A71-VLOOKUP(B71&amp;(E71-1),$G$2:H71,2,FALSE))</f>
        <v/>
      </c>
      <c r="J71" s="328" t="str">
        <f t="shared" ca="1" si="13"/>
        <v/>
      </c>
      <c r="K71" s="258" t="str">
        <f t="shared" ca="1" si="14"/>
        <v/>
      </c>
    </row>
    <row r="72" spans="1:11" x14ac:dyDescent="0.2">
      <c r="A72" s="326">
        <v>71</v>
      </c>
      <c r="B72" s="297" t="str">
        <f ca="1">IF(K72="","",IF('県体(赤)'!$AE$12&gt;'県体(赤)'!$AH$12,'県体(赤)'!$N$14,IF('県体(赤)'!$AH$12&gt;'県体(赤)'!$AE$12,'県体(赤)'!$AX$14,"")))</f>
        <v/>
      </c>
      <c r="C72" s="297" t="str">
        <f ca="1">IF(B72="","",LEFT(VLOOKUP(B72,県体学校名!$C$4:$F$19,2,FALSE),LEN(VLOOKUP(B72,県体学校名!$C$4:$F$19,2,FALSE))-1))</f>
        <v/>
      </c>
      <c r="D72" s="326" t="str">
        <f t="shared" ca="1" si="9"/>
        <v/>
      </c>
      <c r="E72" s="328" t="str">
        <f ca="1">IF(B72="","",COUNTIF($B$2:B72,B72))</f>
        <v/>
      </c>
      <c r="F72" s="328" t="str">
        <f t="shared" ca="1" si="10"/>
        <v/>
      </c>
      <c r="G72" s="328" t="str">
        <f t="shared" ca="1" si="11"/>
        <v/>
      </c>
      <c r="H72" s="328">
        <f t="shared" si="12"/>
        <v>71</v>
      </c>
      <c r="I72" s="328" t="str">
        <f ca="1">IF(OR(B72="",E72=1),"",A72-VLOOKUP(B72&amp;(E72-1),$G$2:H72,2,FALSE))</f>
        <v/>
      </c>
      <c r="J72" s="328" t="str">
        <f t="shared" ca="1" si="13"/>
        <v/>
      </c>
      <c r="K72" s="258" t="str">
        <f t="shared" ca="1" si="14"/>
        <v/>
      </c>
    </row>
    <row r="73" spans="1:11" x14ac:dyDescent="0.2">
      <c r="A73" s="326">
        <v>72</v>
      </c>
      <c r="B73" s="297" t="str">
        <f ca="1">IF(K73="","",IF('県体(赤)'!$AE$12&gt;'県体(赤)'!$AH$12,'県体(赤)'!$N$14,IF('県体(赤)'!$AH$12&gt;'県体(赤)'!$AE$12,'県体(赤)'!$AX$14,"")))</f>
        <v/>
      </c>
      <c r="C73" s="297" t="str">
        <f ca="1">IF(B73="","",LEFT(VLOOKUP(B73,県体学校名!$C$4:$F$19,2,FALSE),LEN(VLOOKUP(B73,県体学校名!$C$4:$F$19,2,FALSE))-1))</f>
        <v/>
      </c>
      <c r="D73" s="326" t="str">
        <f t="shared" ca="1" si="9"/>
        <v/>
      </c>
      <c r="E73" s="328" t="str">
        <f ca="1">IF(B73="","",COUNTIF($B$2:B73,B73))</f>
        <v/>
      </c>
      <c r="F73" s="328" t="str">
        <f t="shared" ca="1" si="10"/>
        <v/>
      </c>
      <c r="G73" s="328" t="str">
        <f t="shared" ca="1" si="11"/>
        <v/>
      </c>
      <c r="H73" s="328">
        <f t="shared" si="12"/>
        <v>72</v>
      </c>
      <c r="I73" s="328" t="str">
        <f ca="1">IF(OR(B73="",E73=1),"",A73-VLOOKUP(B73&amp;(E73-1),$G$2:H73,2,FALSE))</f>
        <v/>
      </c>
      <c r="J73" s="328" t="str">
        <f t="shared" ca="1" si="13"/>
        <v/>
      </c>
      <c r="K73" s="258" t="str">
        <f t="shared" ca="1" si="14"/>
        <v/>
      </c>
    </row>
    <row r="74" spans="1:11" x14ac:dyDescent="0.2">
      <c r="A74" s="326">
        <v>73</v>
      </c>
      <c r="B74" s="297" t="str">
        <f ca="1">IF(K74="","",IF('県体(赤)'!$AE$12&gt;'県体(赤)'!$AH$12,'県体(赤)'!$N$14,IF('県体(赤)'!$AH$12&gt;'県体(赤)'!$AE$12,'県体(赤)'!$AX$14,"")))</f>
        <v/>
      </c>
      <c r="C74" s="297" t="str">
        <f ca="1">IF(B74="","",LEFT(VLOOKUP(B74,県体学校名!$C$4:$F$19,2,FALSE),LEN(VLOOKUP(B74,県体学校名!$C$4:$F$19,2,FALSE))-1))</f>
        <v/>
      </c>
      <c r="D74" s="326" t="str">
        <f t="shared" ca="1" si="9"/>
        <v/>
      </c>
      <c r="E74" s="328" t="str">
        <f ca="1">IF(B74="","",COUNTIF($B$2:B74,B74))</f>
        <v/>
      </c>
      <c r="F74" s="328" t="str">
        <f t="shared" ca="1" si="10"/>
        <v/>
      </c>
      <c r="G74" s="328" t="str">
        <f t="shared" ca="1" si="11"/>
        <v/>
      </c>
      <c r="H74" s="328">
        <f t="shared" si="12"/>
        <v>73</v>
      </c>
      <c r="I74" s="328" t="str">
        <f ca="1">IF(OR(B74="",E74=1),"",A74-VLOOKUP(B74&amp;(E74-1),$G$2:H74,2,FALSE))</f>
        <v/>
      </c>
      <c r="J74" s="328" t="str">
        <f t="shared" ca="1" si="13"/>
        <v/>
      </c>
      <c r="K74" s="258" t="str">
        <f t="shared" ca="1" si="14"/>
        <v/>
      </c>
    </row>
    <row r="75" spans="1:11" x14ac:dyDescent="0.2">
      <c r="A75" s="326">
        <v>74</v>
      </c>
      <c r="B75" s="297" t="str">
        <f ca="1">IF(K75="","",IF('県体(赤)'!$AE$12&gt;'県体(赤)'!$AH$12,'県体(赤)'!$N$14,IF('県体(赤)'!$AH$12&gt;'県体(赤)'!$AE$12,'県体(赤)'!$AX$14,"")))</f>
        <v/>
      </c>
      <c r="C75" s="297" t="str">
        <f ca="1">IF(B75="","",LEFT(VLOOKUP(B75,県体学校名!$C$4:$F$19,2,FALSE),LEN(VLOOKUP(B75,県体学校名!$C$4:$F$19,2,FALSE))-1))</f>
        <v/>
      </c>
      <c r="D75" s="326" t="str">
        <f t="shared" ca="1" si="9"/>
        <v/>
      </c>
      <c r="E75" s="328" t="str">
        <f ca="1">IF(B75="","",COUNTIF($B$2:B75,B75))</f>
        <v/>
      </c>
      <c r="F75" s="328" t="str">
        <f t="shared" ca="1" si="10"/>
        <v/>
      </c>
      <c r="G75" s="328" t="str">
        <f t="shared" ca="1" si="11"/>
        <v/>
      </c>
      <c r="H75" s="328">
        <f t="shared" si="12"/>
        <v>74</v>
      </c>
      <c r="I75" s="328" t="str">
        <f ca="1">IF(OR(B75="",E75=1),"",A75-VLOOKUP(B75&amp;(E75-1),$G$2:H75,2,FALSE))</f>
        <v/>
      </c>
      <c r="J75" s="328" t="str">
        <f t="shared" ca="1" si="13"/>
        <v/>
      </c>
      <c r="K75" s="258" t="str">
        <f t="shared" ca="1" si="14"/>
        <v/>
      </c>
    </row>
    <row r="76" spans="1:11" x14ac:dyDescent="0.2">
      <c r="A76" s="326">
        <v>75</v>
      </c>
      <c r="B76" s="297" t="str">
        <f ca="1">IF(K76="","",IF('県体(赤)'!$AE$12&gt;'県体(赤)'!$AH$12,'県体(赤)'!$N$14,IF('県体(赤)'!$AH$12&gt;'県体(赤)'!$AE$12,'県体(赤)'!$AX$14,"")))</f>
        <v/>
      </c>
      <c r="C76" s="297" t="str">
        <f ca="1">IF(B76="","",LEFT(VLOOKUP(B76,県体学校名!$C$4:$F$19,2,FALSE),LEN(VLOOKUP(B76,県体学校名!$C$4:$F$19,2,FALSE))-1))</f>
        <v/>
      </c>
      <c r="D76" s="326" t="str">
        <f t="shared" ca="1" si="9"/>
        <v/>
      </c>
      <c r="E76" s="328" t="str">
        <f ca="1">IF(B76="","",COUNTIF($B$2:B76,B76))</f>
        <v/>
      </c>
      <c r="F76" s="328" t="str">
        <f t="shared" ca="1" si="10"/>
        <v/>
      </c>
      <c r="G76" s="328" t="str">
        <f t="shared" ca="1" si="11"/>
        <v/>
      </c>
      <c r="H76" s="328">
        <f t="shared" si="12"/>
        <v>75</v>
      </c>
      <c r="I76" s="328" t="str">
        <f ca="1">IF(OR(B76="",E76=1),"",A76-VLOOKUP(B76&amp;(E76-1),$G$2:H76,2,FALSE))</f>
        <v/>
      </c>
      <c r="J76" s="328" t="str">
        <f t="shared" ca="1" si="13"/>
        <v/>
      </c>
      <c r="K76" s="258" t="str">
        <f t="shared" ca="1" si="14"/>
        <v/>
      </c>
    </row>
    <row r="77" spans="1:11" x14ac:dyDescent="0.2">
      <c r="A77" s="326">
        <v>76</v>
      </c>
      <c r="B77" s="297" t="str">
        <f ca="1">IF(K77="","",IF('県体(赤)'!$AE$12&gt;'県体(赤)'!$AH$12,'県体(赤)'!$N$14,IF('県体(赤)'!$AH$12&gt;'県体(赤)'!$AE$12,'県体(赤)'!$AX$14,"")))</f>
        <v/>
      </c>
      <c r="C77" s="297" t="str">
        <f ca="1">IF(B77="","",LEFT(VLOOKUP(B77,県体学校名!$C$4:$F$19,2,FALSE),LEN(VLOOKUP(B77,県体学校名!$C$4:$F$19,2,FALSE))-1))</f>
        <v/>
      </c>
      <c r="D77" s="326" t="str">
        <f t="shared" ca="1" si="9"/>
        <v/>
      </c>
      <c r="E77" s="328" t="str">
        <f ca="1">IF(B77="","",COUNTIF($B$2:B77,B77))</f>
        <v/>
      </c>
      <c r="F77" s="328" t="str">
        <f t="shared" ca="1" si="10"/>
        <v/>
      </c>
      <c r="G77" s="328" t="str">
        <f t="shared" ca="1" si="11"/>
        <v/>
      </c>
      <c r="H77" s="328">
        <f t="shared" si="12"/>
        <v>76</v>
      </c>
      <c r="I77" s="328" t="str">
        <f ca="1">IF(OR(B77="",E77=1),"",A77-VLOOKUP(B77&amp;(E77-1),$G$2:H77,2,FALSE))</f>
        <v/>
      </c>
      <c r="J77" s="328" t="str">
        <f t="shared" ca="1" si="13"/>
        <v/>
      </c>
      <c r="K77" s="258" t="str">
        <f t="shared" ca="1" si="14"/>
        <v/>
      </c>
    </row>
    <row r="78" spans="1:11" x14ac:dyDescent="0.2">
      <c r="A78" s="326">
        <v>77</v>
      </c>
      <c r="B78" s="297" t="str">
        <f ca="1">IF(K78="","",IF('県体(赤)'!$AE$12&gt;'県体(赤)'!$AH$12,'県体(赤)'!$N$14,IF('県体(赤)'!$AH$12&gt;'県体(赤)'!$AE$12,'県体(赤)'!$AX$14,"")))</f>
        <v/>
      </c>
      <c r="C78" s="297" t="str">
        <f ca="1">IF(B78="","",LEFT(VLOOKUP(B78,県体学校名!$C$4:$F$19,2,FALSE),LEN(VLOOKUP(B78,県体学校名!$C$4:$F$19,2,FALSE))-1))</f>
        <v/>
      </c>
      <c r="D78" s="326" t="str">
        <f t="shared" ca="1" si="9"/>
        <v/>
      </c>
      <c r="E78" s="328" t="str">
        <f ca="1">IF(B78="","",COUNTIF($B$2:B78,B78))</f>
        <v/>
      </c>
      <c r="F78" s="328" t="str">
        <f t="shared" ca="1" si="10"/>
        <v/>
      </c>
      <c r="G78" s="328" t="str">
        <f t="shared" ca="1" si="11"/>
        <v/>
      </c>
      <c r="H78" s="328">
        <f t="shared" si="12"/>
        <v>77</v>
      </c>
      <c r="I78" s="328" t="str">
        <f ca="1">IF(OR(B78="",E78=1),"",A78-VLOOKUP(B78&amp;(E78-1),$G$2:H78,2,FALSE))</f>
        <v/>
      </c>
      <c r="J78" s="328" t="str">
        <f t="shared" ca="1" si="13"/>
        <v/>
      </c>
      <c r="K78" s="258" t="str">
        <f t="shared" ca="1" si="14"/>
        <v/>
      </c>
    </row>
    <row r="79" spans="1:11" x14ac:dyDescent="0.2">
      <c r="A79" s="326">
        <v>78</v>
      </c>
      <c r="B79" s="297" t="str">
        <f ca="1">IF(K79="","",IF('県体(赤)'!$AE$12&gt;'県体(赤)'!$AH$12,'県体(赤)'!$N$14,IF('県体(赤)'!$AH$12&gt;'県体(赤)'!$AE$12,'県体(赤)'!$AX$14,"")))</f>
        <v/>
      </c>
      <c r="C79" s="297" t="str">
        <f ca="1">IF(B79="","",LEFT(VLOOKUP(B79,県体学校名!$C$4:$F$19,2,FALSE),LEN(VLOOKUP(B79,県体学校名!$C$4:$F$19,2,FALSE))-1))</f>
        <v/>
      </c>
      <c r="D79" s="326" t="str">
        <f t="shared" ca="1" si="9"/>
        <v/>
      </c>
      <c r="E79" s="328" t="str">
        <f ca="1">IF(B79="","",COUNTIF($B$2:B79,B79))</f>
        <v/>
      </c>
      <c r="F79" s="328" t="str">
        <f t="shared" ca="1" si="10"/>
        <v/>
      </c>
      <c r="G79" s="328" t="str">
        <f t="shared" ca="1" si="11"/>
        <v/>
      </c>
      <c r="H79" s="328">
        <f t="shared" si="12"/>
        <v>78</v>
      </c>
      <c r="I79" s="328" t="str">
        <f ca="1">IF(OR(B79="",E79=1),"",A79-VLOOKUP(B79&amp;(E79-1),$G$2:H79,2,FALSE))</f>
        <v/>
      </c>
      <c r="J79" s="328" t="str">
        <f t="shared" ca="1" si="13"/>
        <v/>
      </c>
      <c r="K79" s="258" t="str">
        <f t="shared" ca="1" si="14"/>
        <v/>
      </c>
    </row>
    <row r="80" spans="1:11" x14ac:dyDescent="0.2">
      <c r="A80" s="326">
        <v>79</v>
      </c>
      <c r="B80" s="297" t="str">
        <f ca="1">IF(K80="","",IF('県体(赤)'!$AE$12&gt;'県体(赤)'!$AH$12,'県体(赤)'!$N$14,IF('県体(赤)'!$AH$12&gt;'県体(赤)'!$AE$12,'県体(赤)'!$AX$14,"")))</f>
        <v/>
      </c>
      <c r="C80" s="297" t="str">
        <f ca="1">IF(B80="","",LEFT(VLOOKUP(B80,県体学校名!$C$4:$F$19,2,FALSE),LEN(VLOOKUP(B80,県体学校名!$C$4:$F$19,2,FALSE))-1))</f>
        <v/>
      </c>
      <c r="D80" s="326" t="str">
        <f t="shared" ca="1" si="9"/>
        <v/>
      </c>
      <c r="E80" s="328" t="str">
        <f ca="1">IF(B80="","",COUNTIF($B$2:B80,B80))</f>
        <v/>
      </c>
      <c r="F80" s="328" t="str">
        <f t="shared" ca="1" si="10"/>
        <v/>
      </c>
      <c r="G80" s="328" t="str">
        <f t="shared" ca="1" si="11"/>
        <v/>
      </c>
      <c r="H80" s="328">
        <f t="shared" si="12"/>
        <v>79</v>
      </c>
      <c r="I80" s="328" t="str">
        <f ca="1">IF(OR(B80="",E80=1),"",A80-VLOOKUP(B80&amp;(E80-1),$G$2:H80,2,FALSE))</f>
        <v/>
      </c>
      <c r="J80" s="328" t="str">
        <f t="shared" ca="1" si="13"/>
        <v/>
      </c>
      <c r="K80" s="258" t="str">
        <f t="shared" ca="1" si="14"/>
        <v/>
      </c>
    </row>
    <row r="81" spans="1:11" x14ac:dyDescent="0.2">
      <c r="A81" s="326">
        <v>80</v>
      </c>
      <c r="B81" s="297" t="str">
        <f ca="1">IF(K81="","",IF('県体(赤)'!$AE$12&gt;'県体(赤)'!$AH$12,'県体(赤)'!$N$14,IF('県体(赤)'!$AH$12&gt;'県体(赤)'!$AE$12,'県体(赤)'!$AX$14,"")))</f>
        <v/>
      </c>
      <c r="C81" s="297" t="str">
        <f ca="1">IF(B81="","",LEFT(VLOOKUP(B81,県体学校名!$C$4:$F$19,2,FALSE),LEN(VLOOKUP(B81,県体学校名!$C$4:$F$19,2,FALSE))-1))</f>
        <v/>
      </c>
      <c r="D81" s="326" t="str">
        <f t="shared" ca="1" si="9"/>
        <v/>
      </c>
      <c r="E81" s="328" t="str">
        <f ca="1">IF(B81="","",COUNTIF($B$2:B81,B81))</f>
        <v/>
      </c>
      <c r="F81" s="328" t="str">
        <f t="shared" ca="1" si="10"/>
        <v/>
      </c>
      <c r="G81" s="328" t="str">
        <f t="shared" ca="1" si="11"/>
        <v/>
      </c>
      <c r="H81" s="328">
        <f t="shared" si="12"/>
        <v>80</v>
      </c>
      <c r="I81" s="328" t="str">
        <f ca="1">IF(OR(B81="",E81=1),"",A81-VLOOKUP(B81&amp;(E81-1),$G$2:H81,2,FALSE))</f>
        <v/>
      </c>
      <c r="J81" s="328" t="str">
        <f t="shared" ca="1" si="13"/>
        <v/>
      </c>
      <c r="K81" s="258" t="str">
        <f t="shared" ca="1" si="14"/>
        <v/>
      </c>
    </row>
    <row r="82" spans="1:11" x14ac:dyDescent="0.2">
      <c r="A82" s="326">
        <v>81</v>
      </c>
      <c r="B82" s="297" t="str">
        <f ca="1">IF(K82="","",IF('県体(赤)'!$AE$12&gt;'県体(赤)'!$AH$12,'県体(赤)'!$N$14,IF('県体(赤)'!$AH$12&gt;'県体(赤)'!$AE$12,'県体(赤)'!$AX$14,"")))</f>
        <v/>
      </c>
      <c r="C82" s="297" t="str">
        <f ca="1">IF(B82="","",LEFT(VLOOKUP(B82,県体学校名!$C$4:$F$19,2,FALSE),LEN(VLOOKUP(B82,県体学校名!$C$4:$F$19,2,FALSE))-1))</f>
        <v/>
      </c>
      <c r="D82" s="326" t="str">
        <f t="shared" ca="1" si="9"/>
        <v/>
      </c>
      <c r="E82" s="328" t="str">
        <f ca="1">IF(B82="","",COUNTIF($B$2:B82,B82))</f>
        <v/>
      </c>
      <c r="F82" s="328" t="str">
        <f t="shared" ca="1" si="10"/>
        <v/>
      </c>
      <c r="G82" s="328" t="str">
        <f t="shared" ca="1" si="11"/>
        <v/>
      </c>
      <c r="H82" s="328">
        <f t="shared" si="12"/>
        <v>81</v>
      </c>
      <c r="I82" s="328" t="str">
        <f ca="1">IF(OR(B82="",E82=1),"",A82-VLOOKUP(B82&amp;(E82-1),$G$2:H82,2,FALSE))</f>
        <v/>
      </c>
      <c r="J82" s="328" t="str">
        <f t="shared" ca="1" si="13"/>
        <v/>
      </c>
      <c r="K82" s="258" t="str">
        <f t="shared" ca="1" si="14"/>
        <v/>
      </c>
    </row>
    <row r="83" spans="1:11" x14ac:dyDescent="0.2">
      <c r="A83" s="326">
        <v>82</v>
      </c>
      <c r="B83" s="297" t="str">
        <f ca="1">IF(K83="","",IF('県体(赤)'!$AE$12&gt;'県体(赤)'!$AH$12,'県体(赤)'!$N$14,IF('県体(赤)'!$AH$12&gt;'県体(赤)'!$AE$12,'県体(赤)'!$AX$14,"")))</f>
        <v/>
      </c>
      <c r="C83" s="297" t="str">
        <f ca="1">IF(B83="","",LEFT(VLOOKUP(B83,県体学校名!$C$4:$F$19,2,FALSE),LEN(VLOOKUP(B83,県体学校名!$C$4:$F$19,2,FALSE))-1))</f>
        <v/>
      </c>
      <c r="D83" s="326" t="str">
        <f t="shared" ca="1" si="9"/>
        <v/>
      </c>
      <c r="E83" s="328" t="str">
        <f ca="1">IF(B83="","",COUNTIF($B$2:B83,B83))</f>
        <v/>
      </c>
      <c r="F83" s="328" t="str">
        <f t="shared" ca="1" si="10"/>
        <v/>
      </c>
      <c r="G83" s="328" t="str">
        <f t="shared" ca="1" si="11"/>
        <v/>
      </c>
      <c r="H83" s="328">
        <f t="shared" si="12"/>
        <v>82</v>
      </c>
      <c r="I83" s="328" t="str">
        <f ca="1">IF(OR(B83="",E83=1),"",A83-VLOOKUP(B83&amp;(E83-1),$G$2:H83,2,FALSE))</f>
        <v/>
      </c>
      <c r="J83" s="328" t="str">
        <f t="shared" ca="1" si="13"/>
        <v/>
      </c>
      <c r="K83" s="258" t="str">
        <f t="shared" ca="1" si="14"/>
        <v/>
      </c>
    </row>
    <row r="84" spans="1:11" x14ac:dyDescent="0.2">
      <c r="A84" s="326">
        <v>83</v>
      </c>
      <c r="B84" s="297" t="str">
        <f ca="1">IF(K84="","",IF('県体(赤)'!$AE$12&gt;'県体(赤)'!$AH$12,'県体(赤)'!$N$14,IF('県体(赤)'!$AH$12&gt;'県体(赤)'!$AE$12,'県体(赤)'!$AX$14,"")))</f>
        <v/>
      </c>
      <c r="C84" s="297" t="str">
        <f ca="1">IF(B84="","",LEFT(VLOOKUP(B84,県体学校名!$C$4:$F$19,2,FALSE),LEN(VLOOKUP(B84,県体学校名!$C$4:$F$19,2,FALSE))-1))</f>
        <v/>
      </c>
      <c r="D84" s="326" t="str">
        <f t="shared" ca="1" si="9"/>
        <v/>
      </c>
      <c r="E84" s="328" t="str">
        <f ca="1">IF(B84="","",COUNTIF($B$2:B84,B84))</f>
        <v/>
      </c>
      <c r="F84" s="328" t="str">
        <f t="shared" ca="1" si="10"/>
        <v/>
      </c>
      <c r="G84" s="328" t="str">
        <f t="shared" ca="1" si="11"/>
        <v/>
      </c>
      <c r="H84" s="328">
        <f t="shared" si="12"/>
        <v>83</v>
      </c>
      <c r="I84" s="328" t="str">
        <f ca="1">IF(OR(B84="",E84=1),"",A84-VLOOKUP(B84&amp;(E84-1),$G$2:H84,2,FALSE))</f>
        <v/>
      </c>
      <c r="J84" s="328" t="str">
        <f t="shared" ca="1" si="13"/>
        <v/>
      </c>
      <c r="K84" s="258" t="str">
        <f t="shared" ca="1" si="14"/>
        <v/>
      </c>
    </row>
    <row r="85" spans="1:11" x14ac:dyDescent="0.2">
      <c r="A85" s="326">
        <v>84</v>
      </c>
      <c r="B85" s="297" t="str">
        <f ca="1">IF(K85="","",IF('県体(赤)'!$AE$12&gt;'県体(赤)'!$AH$12,'県体(赤)'!$N$14,IF('県体(赤)'!$AH$12&gt;'県体(赤)'!$AE$12,'県体(赤)'!$AX$14,"")))</f>
        <v/>
      </c>
      <c r="C85" s="297" t="str">
        <f ca="1">IF(B85="","",LEFT(VLOOKUP(B85,県体学校名!$C$4:$F$19,2,FALSE),LEN(VLOOKUP(B85,県体学校名!$C$4:$F$19,2,FALSE))-1))</f>
        <v/>
      </c>
      <c r="D85" s="326" t="str">
        <f t="shared" ca="1" si="9"/>
        <v/>
      </c>
      <c r="E85" s="328" t="str">
        <f ca="1">IF(B85="","",COUNTIF($B$2:B85,B85))</f>
        <v/>
      </c>
      <c r="F85" s="328" t="str">
        <f t="shared" ca="1" si="10"/>
        <v/>
      </c>
      <c r="G85" s="328" t="str">
        <f t="shared" ca="1" si="11"/>
        <v/>
      </c>
      <c r="H85" s="328">
        <f t="shared" si="12"/>
        <v>84</v>
      </c>
      <c r="I85" s="328" t="str">
        <f ca="1">IF(OR(B85="",E85=1),"",A85-VLOOKUP(B85&amp;(E85-1),$G$2:H85,2,FALSE))</f>
        <v/>
      </c>
      <c r="J85" s="328" t="str">
        <f t="shared" ca="1" si="13"/>
        <v/>
      </c>
      <c r="K85" s="258" t="str">
        <f t="shared" ca="1" si="14"/>
        <v/>
      </c>
    </row>
    <row r="86" spans="1:11" x14ac:dyDescent="0.2">
      <c r="A86" s="326">
        <v>85</v>
      </c>
      <c r="B86" s="297" t="str">
        <f ca="1">IF(K86="","",IF('県体(赤)'!$AE$12&gt;'県体(赤)'!$AH$12,'県体(赤)'!$N$14,IF('県体(赤)'!$AH$12&gt;'県体(赤)'!$AE$12,'県体(赤)'!$AX$14,"")))</f>
        <v/>
      </c>
      <c r="C86" s="297" t="str">
        <f ca="1">IF(B86="","",LEFT(VLOOKUP(B86,県体学校名!$C$4:$F$19,2,FALSE),LEN(VLOOKUP(B86,県体学校名!$C$4:$F$19,2,FALSE))-1))</f>
        <v/>
      </c>
      <c r="D86" s="326" t="str">
        <f t="shared" ca="1" si="9"/>
        <v/>
      </c>
      <c r="E86" s="328" t="str">
        <f ca="1">IF(B86="","",COUNTIF($B$2:B86,B86))</f>
        <v/>
      </c>
      <c r="F86" s="328" t="str">
        <f t="shared" ca="1" si="10"/>
        <v/>
      </c>
      <c r="G86" s="328" t="str">
        <f t="shared" ca="1" si="11"/>
        <v/>
      </c>
      <c r="H86" s="328">
        <f t="shared" si="12"/>
        <v>85</v>
      </c>
      <c r="I86" s="328" t="str">
        <f ca="1">IF(OR(B86="",E86=1),"",A86-VLOOKUP(B86&amp;(E86-1),$G$2:H86,2,FALSE))</f>
        <v/>
      </c>
      <c r="J86" s="328" t="str">
        <f t="shared" ca="1" si="13"/>
        <v/>
      </c>
      <c r="K86" s="258" t="str">
        <f t="shared" ca="1" si="14"/>
        <v/>
      </c>
    </row>
    <row r="87" spans="1:11" x14ac:dyDescent="0.2">
      <c r="A87" s="326">
        <v>86</v>
      </c>
      <c r="B87" s="297" t="str">
        <f ca="1">IF(K87="","",IF('県体(赤)'!$AE$12&gt;'県体(赤)'!$AH$12,'県体(赤)'!$N$14,IF('県体(赤)'!$AH$12&gt;'県体(赤)'!$AE$12,'県体(赤)'!$AX$14,"")))</f>
        <v/>
      </c>
      <c r="C87" s="297" t="str">
        <f ca="1">IF(B87="","",LEFT(VLOOKUP(B87,県体学校名!$C$4:$F$19,2,FALSE),LEN(VLOOKUP(B87,県体学校名!$C$4:$F$19,2,FALSE))-1))</f>
        <v/>
      </c>
      <c r="D87" s="326" t="str">
        <f t="shared" ca="1" si="9"/>
        <v/>
      </c>
      <c r="E87" s="328" t="str">
        <f ca="1">IF(B87="","",COUNTIF($B$2:B87,B87))</f>
        <v/>
      </c>
      <c r="F87" s="328" t="str">
        <f t="shared" ca="1" si="10"/>
        <v/>
      </c>
      <c r="G87" s="328" t="str">
        <f t="shared" ca="1" si="11"/>
        <v/>
      </c>
      <c r="H87" s="328">
        <f t="shared" si="12"/>
        <v>86</v>
      </c>
      <c r="I87" s="328" t="str">
        <f ca="1">IF(OR(B87="",E87=1),"",A87-VLOOKUP(B87&amp;(E87-1),$G$2:H87,2,FALSE))</f>
        <v/>
      </c>
      <c r="J87" s="328" t="str">
        <f t="shared" ca="1" si="13"/>
        <v/>
      </c>
      <c r="K87" s="258" t="str">
        <f t="shared" ca="1" si="14"/>
        <v/>
      </c>
    </row>
    <row r="88" spans="1:11" x14ac:dyDescent="0.2">
      <c r="A88" s="326">
        <v>87</v>
      </c>
      <c r="B88" s="297" t="str">
        <f ca="1">IF(K88="","",IF('県体(赤)'!$AE$12&gt;'県体(赤)'!$AH$12,'県体(赤)'!$N$14,IF('県体(赤)'!$AH$12&gt;'県体(赤)'!$AE$12,'県体(赤)'!$AX$14,"")))</f>
        <v/>
      </c>
      <c r="C88" s="297" t="str">
        <f ca="1">IF(B88="","",LEFT(VLOOKUP(B88,県体学校名!$C$4:$F$19,2,FALSE),LEN(VLOOKUP(B88,県体学校名!$C$4:$F$19,2,FALSE))-1))</f>
        <v/>
      </c>
      <c r="D88" s="326" t="str">
        <f t="shared" ca="1" si="9"/>
        <v/>
      </c>
      <c r="E88" s="328" t="str">
        <f ca="1">IF(B88="","",COUNTIF($B$2:B88,B88))</f>
        <v/>
      </c>
      <c r="F88" s="328" t="str">
        <f t="shared" ca="1" si="10"/>
        <v/>
      </c>
      <c r="G88" s="328" t="str">
        <f t="shared" ca="1" si="11"/>
        <v/>
      </c>
      <c r="H88" s="328">
        <f t="shared" si="12"/>
        <v>87</v>
      </c>
      <c r="I88" s="328" t="str">
        <f ca="1">IF(OR(B88="",E88=1),"",A88-VLOOKUP(B88&amp;(E88-1),$G$2:H88,2,FALSE))</f>
        <v/>
      </c>
      <c r="J88" s="328" t="str">
        <f t="shared" ca="1" si="13"/>
        <v/>
      </c>
      <c r="K88" s="258" t="str">
        <f t="shared" ca="1" si="14"/>
        <v/>
      </c>
    </row>
    <row r="89" spans="1:11" x14ac:dyDescent="0.2">
      <c r="A89" s="326">
        <v>88</v>
      </c>
      <c r="B89" s="297" t="str">
        <f ca="1">IF(K89="","",IF('県体(赤)'!$AE$12&gt;'県体(赤)'!$AH$12,'県体(赤)'!$N$14,IF('県体(赤)'!$AH$12&gt;'県体(赤)'!$AE$12,'県体(赤)'!$AX$14,"")))</f>
        <v/>
      </c>
      <c r="C89" s="297" t="str">
        <f ca="1">IF(B89="","",LEFT(VLOOKUP(B89,県体学校名!$C$4:$F$19,2,FALSE),LEN(VLOOKUP(B89,県体学校名!$C$4:$F$19,2,FALSE))-1))</f>
        <v/>
      </c>
      <c r="D89" s="326" t="str">
        <f t="shared" ca="1" si="9"/>
        <v/>
      </c>
      <c r="E89" s="328" t="str">
        <f ca="1">IF(B89="","",COUNTIF($B$2:B89,B89))</f>
        <v/>
      </c>
      <c r="F89" s="328" t="str">
        <f t="shared" ca="1" si="10"/>
        <v/>
      </c>
      <c r="G89" s="328" t="str">
        <f t="shared" ca="1" si="11"/>
        <v/>
      </c>
      <c r="H89" s="328">
        <f t="shared" si="12"/>
        <v>88</v>
      </c>
      <c r="I89" s="328" t="str">
        <f ca="1">IF(OR(B89="",E89=1),"",A89-VLOOKUP(B89&amp;(E89-1),$G$2:H89,2,FALSE))</f>
        <v/>
      </c>
      <c r="J89" s="328" t="str">
        <f t="shared" ca="1" si="13"/>
        <v/>
      </c>
      <c r="K89" s="258" t="str">
        <f t="shared" ca="1" si="14"/>
        <v/>
      </c>
    </row>
    <row r="90" spans="1:11" x14ac:dyDescent="0.2">
      <c r="A90" s="326">
        <v>89</v>
      </c>
      <c r="B90" s="297" t="str">
        <f ca="1">IF(K90="","",IF('県体(赤)'!$AE$12&gt;'県体(赤)'!$AH$12,'県体(赤)'!$N$14,IF('県体(赤)'!$AH$12&gt;'県体(赤)'!$AE$12,'県体(赤)'!$AX$14,"")))</f>
        <v/>
      </c>
      <c r="C90" s="297" t="str">
        <f ca="1">IF(B90="","",LEFT(VLOOKUP(B90,県体学校名!$C$4:$F$19,2,FALSE),LEN(VLOOKUP(B90,県体学校名!$C$4:$F$19,2,FALSE))-1))</f>
        <v/>
      </c>
      <c r="D90" s="326" t="str">
        <f t="shared" ca="1" si="9"/>
        <v/>
      </c>
      <c r="E90" s="328" t="str">
        <f ca="1">IF(B90="","",COUNTIF($B$2:B90,B90))</f>
        <v/>
      </c>
      <c r="F90" s="328" t="str">
        <f t="shared" ca="1" si="10"/>
        <v/>
      </c>
      <c r="G90" s="328" t="str">
        <f t="shared" ca="1" si="11"/>
        <v/>
      </c>
      <c r="H90" s="328">
        <f t="shared" si="12"/>
        <v>89</v>
      </c>
      <c r="I90" s="328" t="str">
        <f ca="1">IF(OR(B90="",E90=1),"",A90-VLOOKUP(B90&amp;(E90-1),$G$2:H90,2,FALSE))</f>
        <v/>
      </c>
      <c r="J90" s="328" t="str">
        <f t="shared" ca="1" si="13"/>
        <v/>
      </c>
      <c r="K90" s="258" t="str">
        <f t="shared" ca="1" si="14"/>
        <v/>
      </c>
    </row>
    <row r="91" spans="1:11" x14ac:dyDescent="0.2">
      <c r="A91" s="326">
        <v>90</v>
      </c>
      <c r="B91" s="297" t="str">
        <f ca="1">IF(K91="","",IF('県体(赤)'!$AE$12&gt;'県体(赤)'!$AH$12,'県体(赤)'!$N$14,IF('県体(赤)'!$AH$12&gt;'県体(赤)'!$AE$12,'県体(赤)'!$AX$14,"")))</f>
        <v/>
      </c>
      <c r="C91" s="297" t="str">
        <f ca="1">IF(B91="","",LEFT(VLOOKUP(B91,県体学校名!$C$4:$F$19,2,FALSE),LEN(VLOOKUP(B91,県体学校名!$C$4:$F$19,2,FALSE))-1))</f>
        <v/>
      </c>
      <c r="D91" s="326" t="str">
        <f t="shared" ca="1" si="9"/>
        <v/>
      </c>
      <c r="E91" s="328" t="str">
        <f ca="1">IF(B91="","",COUNTIF($B$2:B91,B91))</f>
        <v/>
      </c>
      <c r="F91" s="328" t="str">
        <f t="shared" ca="1" si="10"/>
        <v/>
      </c>
      <c r="G91" s="328" t="str">
        <f t="shared" ca="1" si="11"/>
        <v/>
      </c>
      <c r="H91" s="328">
        <f t="shared" si="12"/>
        <v>90</v>
      </c>
      <c r="I91" s="328" t="str">
        <f ca="1">IF(OR(B91="",E91=1),"",A91-VLOOKUP(B91&amp;(E91-1),$G$2:H91,2,FALSE))</f>
        <v/>
      </c>
      <c r="J91" s="328" t="str">
        <f t="shared" ca="1" si="13"/>
        <v/>
      </c>
      <c r="K91" s="258" t="str">
        <f t="shared" ca="1" si="14"/>
        <v/>
      </c>
    </row>
    <row r="92" spans="1:11" x14ac:dyDescent="0.2">
      <c r="A92" s="326">
        <v>91</v>
      </c>
      <c r="B92" s="297" t="str">
        <f ca="1">IF(K92="","",IF('県体(赤)'!$AE$12&gt;'県体(赤)'!$AH$12,'県体(赤)'!$N$14,IF('県体(赤)'!$AH$12&gt;'県体(赤)'!$AE$12,'県体(赤)'!$AX$14,"")))</f>
        <v/>
      </c>
      <c r="C92" s="297" t="str">
        <f ca="1">IF(B92="","",LEFT(VLOOKUP(B92,県体学校名!$C$4:$F$19,2,FALSE),LEN(VLOOKUP(B92,県体学校名!$C$4:$F$19,2,FALSE))-1))</f>
        <v/>
      </c>
      <c r="D92" s="326" t="str">
        <f t="shared" ca="1" si="9"/>
        <v/>
      </c>
      <c r="E92" s="328" t="str">
        <f ca="1">IF(B92="","",COUNTIF($B$2:B92,B92))</f>
        <v/>
      </c>
      <c r="F92" s="328" t="str">
        <f t="shared" ca="1" si="10"/>
        <v/>
      </c>
      <c r="G92" s="328" t="str">
        <f t="shared" ca="1" si="11"/>
        <v/>
      </c>
      <c r="H92" s="328">
        <f t="shared" si="12"/>
        <v>91</v>
      </c>
      <c r="I92" s="328" t="str">
        <f ca="1">IF(OR(B92="",E92=1),"",A92-VLOOKUP(B92&amp;(E92-1),$G$2:H92,2,FALSE))</f>
        <v/>
      </c>
      <c r="J92" s="328" t="str">
        <f t="shared" ca="1" si="13"/>
        <v/>
      </c>
      <c r="K92" s="258" t="str">
        <f t="shared" ca="1" si="14"/>
        <v/>
      </c>
    </row>
    <row r="93" spans="1:11" x14ac:dyDescent="0.2">
      <c r="A93" s="326">
        <v>92</v>
      </c>
      <c r="B93" s="297" t="str">
        <f ca="1">IF(K93="","",IF('県体(赤)'!$AE$12&gt;'県体(赤)'!$AH$12,'県体(赤)'!$N$14,IF('県体(赤)'!$AH$12&gt;'県体(赤)'!$AE$12,'県体(赤)'!$AX$14,"")))</f>
        <v/>
      </c>
      <c r="C93" s="297" t="str">
        <f ca="1">IF(B93="","",LEFT(VLOOKUP(B93,県体学校名!$C$4:$F$19,2,FALSE),LEN(VLOOKUP(B93,県体学校名!$C$4:$F$19,2,FALSE))-1))</f>
        <v/>
      </c>
      <c r="D93" s="326" t="str">
        <f t="shared" ca="1" si="9"/>
        <v/>
      </c>
      <c r="E93" s="328" t="str">
        <f ca="1">IF(B93="","",COUNTIF($B$2:B93,B93))</f>
        <v/>
      </c>
      <c r="F93" s="328" t="str">
        <f t="shared" ca="1" si="10"/>
        <v/>
      </c>
      <c r="G93" s="328" t="str">
        <f t="shared" ca="1" si="11"/>
        <v/>
      </c>
      <c r="H93" s="328">
        <f t="shared" si="12"/>
        <v>92</v>
      </c>
      <c r="I93" s="328" t="str">
        <f ca="1">IF(OR(B93="",E93=1),"",A93-VLOOKUP(B93&amp;(E93-1),$G$2:H93,2,FALSE))</f>
        <v/>
      </c>
      <c r="J93" s="328" t="str">
        <f t="shared" ca="1" si="13"/>
        <v/>
      </c>
      <c r="K93" s="258" t="str">
        <f t="shared" ca="1" si="14"/>
        <v/>
      </c>
    </row>
    <row r="94" spans="1:11" x14ac:dyDescent="0.2">
      <c r="A94" s="326">
        <v>93</v>
      </c>
      <c r="B94" s="297" t="str">
        <f ca="1">IF(K94="","",IF('県体(赤)'!$AE$12&gt;'県体(赤)'!$AH$12,'県体(赤)'!$N$14,IF('県体(赤)'!$AH$12&gt;'県体(赤)'!$AE$12,'県体(赤)'!$AX$14,"")))</f>
        <v/>
      </c>
      <c r="C94" s="297" t="str">
        <f ca="1">IF(B94="","",LEFT(VLOOKUP(B94,県体学校名!$C$4:$F$19,2,FALSE),LEN(VLOOKUP(B94,県体学校名!$C$4:$F$19,2,FALSE))-1))</f>
        <v/>
      </c>
      <c r="D94" s="326" t="str">
        <f t="shared" ca="1" si="9"/>
        <v/>
      </c>
      <c r="E94" s="328" t="str">
        <f ca="1">IF(B94="","",COUNTIF($B$2:B94,B94))</f>
        <v/>
      </c>
      <c r="F94" s="328" t="str">
        <f t="shared" ca="1" si="10"/>
        <v/>
      </c>
      <c r="G94" s="328" t="str">
        <f t="shared" ca="1" si="11"/>
        <v/>
      </c>
      <c r="H94" s="328">
        <f t="shared" si="12"/>
        <v>93</v>
      </c>
      <c r="I94" s="328" t="str">
        <f ca="1">IF(OR(B94="",E94=1),"",A94-VLOOKUP(B94&amp;(E94-1),$G$2:H94,2,FALSE))</f>
        <v/>
      </c>
      <c r="J94" s="328" t="str">
        <f t="shared" ca="1" si="13"/>
        <v/>
      </c>
      <c r="K94" s="258" t="str">
        <f t="shared" ca="1" si="14"/>
        <v/>
      </c>
    </row>
    <row r="95" spans="1:11" x14ac:dyDescent="0.2">
      <c r="A95" s="326">
        <v>94</v>
      </c>
      <c r="B95" s="297" t="str">
        <f ca="1">IF(K95="","",IF('県体(赤)'!$AE$12&gt;'県体(赤)'!$AH$12,'県体(赤)'!$N$14,IF('県体(赤)'!$AH$12&gt;'県体(赤)'!$AE$12,'県体(赤)'!$AX$14,"")))</f>
        <v/>
      </c>
      <c r="C95" s="297" t="str">
        <f ca="1">IF(B95="","",LEFT(VLOOKUP(B95,県体学校名!$C$4:$F$19,2,FALSE),LEN(VLOOKUP(B95,県体学校名!$C$4:$F$19,2,FALSE))-1))</f>
        <v/>
      </c>
      <c r="D95" s="326" t="str">
        <f t="shared" ca="1" si="9"/>
        <v/>
      </c>
      <c r="E95" s="328" t="str">
        <f ca="1">IF(B95="","",COUNTIF($B$2:B95,B95))</f>
        <v/>
      </c>
      <c r="F95" s="328" t="str">
        <f t="shared" ca="1" si="10"/>
        <v/>
      </c>
      <c r="G95" s="328" t="str">
        <f t="shared" ca="1" si="11"/>
        <v/>
      </c>
      <c r="H95" s="328">
        <f t="shared" si="12"/>
        <v>94</v>
      </c>
      <c r="I95" s="328" t="str">
        <f ca="1">IF(OR(B95="",E95=1),"",A95-VLOOKUP(B95&amp;(E95-1),$G$2:H95,2,FALSE))</f>
        <v/>
      </c>
      <c r="J95" s="328" t="str">
        <f t="shared" ca="1" si="13"/>
        <v/>
      </c>
      <c r="K95" s="258" t="str">
        <f t="shared" ca="1" si="14"/>
        <v/>
      </c>
    </row>
    <row r="96" spans="1:11" x14ac:dyDescent="0.2">
      <c r="A96" s="326">
        <v>95</v>
      </c>
      <c r="B96" s="297" t="str">
        <f ca="1">IF(K96="","",IF('県体(赤)'!$AE$12&gt;'県体(赤)'!$AH$12,'県体(赤)'!$N$14,IF('県体(赤)'!$AH$12&gt;'県体(赤)'!$AE$12,'県体(赤)'!$AX$14,"")))</f>
        <v/>
      </c>
      <c r="C96" s="297" t="str">
        <f ca="1">IF(B96="","",LEFT(VLOOKUP(B96,県体学校名!$C$4:$F$19,2,FALSE),LEN(VLOOKUP(B96,県体学校名!$C$4:$F$19,2,FALSE))-1))</f>
        <v/>
      </c>
      <c r="D96" s="326" t="str">
        <f t="shared" ca="1" si="9"/>
        <v/>
      </c>
      <c r="E96" s="328" t="str">
        <f ca="1">IF(B96="","",COUNTIF($B$2:B96,B96))</f>
        <v/>
      </c>
      <c r="F96" s="328" t="str">
        <f t="shared" ca="1" si="10"/>
        <v/>
      </c>
      <c r="G96" s="328" t="str">
        <f t="shared" ca="1" si="11"/>
        <v/>
      </c>
      <c r="H96" s="328">
        <f t="shared" si="12"/>
        <v>95</v>
      </c>
      <c r="I96" s="328" t="str">
        <f ca="1">IF(OR(B96="",E96=1),"",A96-VLOOKUP(B96&amp;(E96-1),$G$2:H96,2,FALSE))</f>
        <v/>
      </c>
      <c r="J96" s="328" t="str">
        <f t="shared" ca="1" si="13"/>
        <v/>
      </c>
      <c r="K96" s="258" t="str">
        <f t="shared" ca="1" si="14"/>
        <v/>
      </c>
    </row>
    <row r="97" spans="1:11" x14ac:dyDescent="0.2">
      <c r="A97" s="326">
        <v>96</v>
      </c>
      <c r="B97" s="297" t="str">
        <f ca="1">IF(K97="","",IF('県体(赤)'!$AE$12&gt;'県体(赤)'!$AH$12,'県体(赤)'!$N$14,IF('県体(赤)'!$AH$12&gt;'県体(赤)'!$AE$12,'県体(赤)'!$AX$14,"")))</f>
        <v/>
      </c>
      <c r="C97" s="297" t="str">
        <f ca="1">IF(B97="","",LEFT(VLOOKUP(B97,県体学校名!$C$4:$F$19,2,FALSE),LEN(VLOOKUP(B97,県体学校名!$C$4:$F$19,2,FALSE))-1))</f>
        <v/>
      </c>
      <c r="D97" s="326" t="str">
        <f t="shared" ca="1" si="9"/>
        <v/>
      </c>
      <c r="E97" s="328" t="str">
        <f ca="1">IF(B97="","",COUNTIF($B$2:B97,B97))</f>
        <v/>
      </c>
      <c r="F97" s="328" t="str">
        <f t="shared" ca="1" si="10"/>
        <v/>
      </c>
      <c r="G97" s="328" t="str">
        <f t="shared" ca="1" si="11"/>
        <v/>
      </c>
      <c r="H97" s="328">
        <f t="shared" si="12"/>
        <v>96</v>
      </c>
      <c r="I97" s="328" t="str">
        <f ca="1">IF(OR(B97="",E97=1),"",A97-VLOOKUP(B97&amp;(E97-1),$G$2:H97,2,FALSE))</f>
        <v/>
      </c>
      <c r="J97" s="328" t="str">
        <f t="shared" ca="1" si="13"/>
        <v/>
      </c>
      <c r="K97" s="258" t="str">
        <f t="shared" ca="1" si="14"/>
        <v/>
      </c>
    </row>
    <row r="98" spans="1:11" x14ac:dyDescent="0.2">
      <c r="A98" s="326">
        <v>97</v>
      </c>
      <c r="B98" s="297" t="str">
        <f ca="1">IF(K98="","",IF('県体(赤)'!$AE$12&gt;'県体(赤)'!$AH$12,'県体(赤)'!$N$14,IF('県体(赤)'!$AH$12&gt;'県体(赤)'!$AE$12,'県体(赤)'!$AX$14,"")))</f>
        <v/>
      </c>
      <c r="C98" s="297" t="str">
        <f ca="1">IF(B98="","",LEFT(VLOOKUP(B98,県体学校名!$C$4:$F$19,2,FALSE),LEN(VLOOKUP(B98,県体学校名!$C$4:$F$19,2,FALSE))-1))</f>
        <v/>
      </c>
      <c r="D98" s="326" t="str">
        <f t="shared" ca="1" si="9"/>
        <v/>
      </c>
      <c r="E98" s="328" t="str">
        <f ca="1">IF(B98="","",COUNTIF($B$2:B98,B98))</f>
        <v/>
      </c>
      <c r="F98" s="328" t="str">
        <f t="shared" ca="1" si="10"/>
        <v/>
      </c>
      <c r="G98" s="328" t="str">
        <f t="shared" ca="1" si="11"/>
        <v/>
      </c>
      <c r="H98" s="328">
        <f t="shared" si="12"/>
        <v>97</v>
      </c>
      <c r="I98" s="328" t="str">
        <f ca="1">IF(OR(B98="",E98=1),"",A98-VLOOKUP(B98&amp;(E98-1),$G$2:H98,2,FALSE))</f>
        <v/>
      </c>
      <c r="J98" s="328" t="str">
        <f t="shared" ca="1" si="13"/>
        <v/>
      </c>
      <c r="K98" s="258" t="str">
        <f t="shared" ca="1" si="14"/>
        <v/>
      </c>
    </row>
    <row r="99" spans="1:11" x14ac:dyDescent="0.2">
      <c r="A99" s="326">
        <v>98</v>
      </c>
      <c r="B99" s="297" t="str">
        <f ca="1">IF(K99="","",IF('県体(赤)'!$AE$12&gt;'県体(赤)'!$AH$12,'県体(赤)'!$N$14,IF('県体(赤)'!$AH$12&gt;'県体(赤)'!$AE$12,'県体(赤)'!$AX$14,"")))</f>
        <v/>
      </c>
      <c r="C99" s="297" t="str">
        <f ca="1">IF(B99="","",LEFT(VLOOKUP(B99,県体学校名!$C$4:$F$19,2,FALSE),LEN(VLOOKUP(B99,県体学校名!$C$4:$F$19,2,FALSE))-1))</f>
        <v/>
      </c>
      <c r="D99" s="326" t="str">
        <f t="shared" ca="1" si="9"/>
        <v/>
      </c>
      <c r="E99" s="328" t="str">
        <f ca="1">IF(B99="","",COUNTIF($B$2:B99,B99))</f>
        <v/>
      </c>
      <c r="F99" s="328" t="str">
        <f t="shared" ca="1" si="10"/>
        <v/>
      </c>
      <c r="G99" s="328" t="str">
        <f t="shared" ca="1" si="11"/>
        <v/>
      </c>
      <c r="H99" s="328">
        <f t="shared" si="12"/>
        <v>98</v>
      </c>
      <c r="I99" s="328" t="str">
        <f ca="1">IF(OR(B99="",E99=1),"",A99-VLOOKUP(B99&amp;(E99-1),$G$2:H99,2,FALSE))</f>
        <v/>
      </c>
      <c r="J99" s="328" t="str">
        <f t="shared" ca="1" si="13"/>
        <v/>
      </c>
      <c r="K99" s="258" t="str">
        <f t="shared" ca="1" si="14"/>
        <v/>
      </c>
    </row>
    <row r="100" spans="1:11" x14ac:dyDescent="0.2">
      <c r="A100" s="326">
        <v>99</v>
      </c>
      <c r="B100" s="297" t="str">
        <f ca="1">IF(K100="","",IF('県体(赤)'!$AE$12&gt;'県体(赤)'!$AH$12,'県体(赤)'!$N$14,IF('県体(赤)'!$AH$12&gt;'県体(赤)'!$AE$12,'県体(赤)'!$AX$14,"")))</f>
        <v/>
      </c>
      <c r="C100" s="297" t="str">
        <f ca="1">IF(B100="","",LEFT(VLOOKUP(B100,県体学校名!$C$4:$F$19,2,FALSE),LEN(VLOOKUP(B100,県体学校名!$C$4:$F$19,2,FALSE))-1))</f>
        <v/>
      </c>
      <c r="D100" s="326" t="str">
        <f t="shared" ca="1" si="9"/>
        <v/>
      </c>
      <c r="E100" s="328" t="str">
        <f ca="1">IF(B100="","",COUNTIF($B$2:B100,B100))</f>
        <v/>
      </c>
      <c r="F100" s="328" t="str">
        <f t="shared" ca="1" si="10"/>
        <v/>
      </c>
      <c r="G100" s="328" t="str">
        <f t="shared" ca="1" si="11"/>
        <v/>
      </c>
      <c r="H100" s="328">
        <f t="shared" si="12"/>
        <v>99</v>
      </c>
      <c r="I100" s="328" t="str">
        <f ca="1">IF(OR(B100="",E100=1),"",A100-VLOOKUP(B100&amp;(E100-1),$G$2:H100,2,FALSE))</f>
        <v/>
      </c>
      <c r="J100" s="328" t="str">
        <f t="shared" ca="1" si="13"/>
        <v/>
      </c>
      <c r="K100" s="258" t="str">
        <f t="shared" ca="1" si="14"/>
        <v/>
      </c>
    </row>
    <row r="101" spans="1:11" x14ac:dyDescent="0.2">
      <c r="A101" s="326">
        <v>100</v>
      </c>
      <c r="B101" s="297" t="str">
        <f ca="1">IF(K101="","",IF('県体(赤)'!$AE$12&gt;'県体(赤)'!$AH$12,'県体(赤)'!$N$14,IF('県体(赤)'!$AH$12&gt;'県体(赤)'!$AE$12,'県体(赤)'!$AX$14,"")))</f>
        <v/>
      </c>
      <c r="C101" s="297" t="str">
        <f ca="1">IF(B101="","",LEFT(VLOOKUP(B101,県体学校名!$C$4:$F$19,2,FALSE),LEN(VLOOKUP(B101,県体学校名!$C$4:$F$19,2,FALSE))-1))</f>
        <v/>
      </c>
      <c r="D101" s="326" t="str">
        <f t="shared" ca="1" si="9"/>
        <v/>
      </c>
      <c r="E101" s="328" t="str">
        <f ca="1">IF(B101="","",COUNTIF($B$2:B101,B101))</f>
        <v/>
      </c>
      <c r="F101" s="328" t="str">
        <f t="shared" ca="1" si="10"/>
        <v/>
      </c>
      <c r="G101" s="328" t="str">
        <f t="shared" ca="1" si="11"/>
        <v/>
      </c>
      <c r="H101" s="328">
        <f t="shared" si="12"/>
        <v>100</v>
      </c>
      <c r="I101" s="328" t="str">
        <f ca="1">IF(OR(B101="",E101=1),"",A101-VLOOKUP(B101&amp;(E101-1),$G$2:H101,2,FALSE))</f>
        <v/>
      </c>
      <c r="J101" s="328" t="str">
        <f t="shared" ca="1" si="13"/>
        <v/>
      </c>
      <c r="K101" s="258" t="str">
        <f t="shared" ca="1" si="14"/>
        <v/>
      </c>
    </row>
  </sheetData>
  <phoneticPr fontId="2"/>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378"/>
  <sheetViews>
    <sheetView topLeftCell="A306" workbookViewId="0">
      <selection activeCell="P326" sqref="P326"/>
    </sheetView>
  </sheetViews>
  <sheetFormatPr defaultColWidth="9" defaultRowHeight="14.25" x14ac:dyDescent="0.15"/>
  <cols>
    <col min="1" max="1" width="9" style="258" customWidth="1"/>
    <col min="2" max="3" width="9" style="258"/>
    <col min="4" max="4" width="8.875" style="258" customWidth="1"/>
    <col min="5" max="11" width="4.375" style="258" customWidth="1"/>
    <col min="12" max="12" width="3.125" style="258" customWidth="1"/>
    <col min="13" max="13" width="19.625" style="258" bestFit="1" customWidth="1"/>
    <col min="14" max="15" width="9" style="258"/>
    <col min="16" max="16" width="6" style="258" bestFit="1" customWidth="1"/>
    <col min="17" max="17" width="7.375" style="258" bestFit="1" customWidth="1"/>
    <col min="18" max="18" width="8.875" style="258" bestFit="1" customWidth="1"/>
    <col min="19" max="19" width="3.625" style="258" bestFit="1" customWidth="1"/>
    <col min="20" max="20" width="4" style="258" bestFit="1" customWidth="1"/>
    <col min="21" max="21" width="10.875" style="258" bestFit="1" customWidth="1"/>
    <col min="22" max="16384" width="9" style="258"/>
  </cols>
  <sheetData>
    <row r="1" spans="1:21" x14ac:dyDescent="0.15">
      <c r="A1" s="329"/>
      <c r="O1" s="329"/>
    </row>
    <row r="2" spans="1:21" x14ac:dyDescent="0.15">
      <c r="P2" s="258">
        <v>500</v>
      </c>
      <c r="Q2" s="258" t="s">
        <v>219</v>
      </c>
      <c r="R2" s="258">
        <f>SUM(R10:R325)/500+32</f>
        <v>388</v>
      </c>
      <c r="U2" s="258">
        <f>SUM(P8:P325)-17*8+32</f>
        <v>388</v>
      </c>
    </row>
    <row r="3" spans="1:21" x14ac:dyDescent="0.15">
      <c r="T3" s="258" t="s">
        <v>220</v>
      </c>
      <c r="U3" s="258">
        <f t="array" ref="U3">SUM(IF($U$5:$U$336=$T3,$P$5:$P$336,""))+16</f>
        <v>16</v>
      </c>
    </row>
    <row r="4" spans="1:21" ht="15" thickBot="1" x14ac:dyDescent="0.2">
      <c r="T4" s="258" t="s">
        <v>202</v>
      </c>
      <c r="U4" s="258">
        <f t="array" ref="U4">SUM(IF($U$5:$U$336=$T4,$P$5:$P$336,""))+16</f>
        <v>16</v>
      </c>
    </row>
    <row r="5" spans="1:21" ht="26.25" customHeight="1" x14ac:dyDescent="0.15">
      <c r="B5" s="330"/>
      <c r="C5" s="331"/>
      <c r="D5" s="331"/>
      <c r="E5" s="331"/>
      <c r="F5" s="331"/>
      <c r="G5" s="331"/>
      <c r="H5" s="331"/>
      <c r="I5" s="331"/>
      <c r="J5" s="331"/>
      <c r="K5" s="331"/>
      <c r="L5" s="331"/>
      <c r="M5" s="331"/>
      <c r="N5" s="332"/>
    </row>
    <row r="6" spans="1:21" ht="27.75" thickBot="1" x14ac:dyDescent="0.2">
      <c r="B6" s="333"/>
      <c r="C6" s="334"/>
      <c r="D6" s="334"/>
      <c r="E6" s="334"/>
      <c r="F6" s="1136" t="s">
        <v>221</v>
      </c>
      <c r="G6" s="1136"/>
      <c r="H6" s="1136"/>
      <c r="I6" s="1136"/>
      <c r="J6" s="1136"/>
      <c r="K6" s="1136"/>
      <c r="L6" s="334"/>
      <c r="M6" s="334"/>
      <c r="N6" s="335"/>
    </row>
    <row r="7" spans="1:21" ht="15" thickTop="1" x14ac:dyDescent="0.15">
      <c r="B7" s="333"/>
      <c r="N7" s="335"/>
    </row>
    <row r="8" spans="1:21" ht="27" x14ac:dyDescent="0.15">
      <c r="B8" s="333"/>
      <c r="C8" s="1135" t="str">
        <f>VLOOKUP(P8,県体学校名!$B$4:$I$19,8,FALSE)&amp;" 様"</f>
        <v>金沢学院大学附属中学校 様</v>
      </c>
      <c r="D8" s="1135"/>
      <c r="E8" s="1135"/>
      <c r="F8" s="1135"/>
      <c r="G8" s="1135"/>
      <c r="H8" s="1135"/>
      <c r="I8" s="1135"/>
      <c r="M8" s="336">
        <f ca="1">'県体(赤)'!A61</f>
        <v>45486</v>
      </c>
      <c r="N8" s="335"/>
      <c r="P8" s="258">
        <v>1</v>
      </c>
    </row>
    <row r="9" spans="1:21" ht="15" thickBot="1" x14ac:dyDescent="0.2">
      <c r="B9" s="333"/>
      <c r="E9" s="296">
        <v>6</v>
      </c>
      <c r="F9" s="296">
        <v>5</v>
      </c>
      <c r="G9" s="296">
        <v>4</v>
      </c>
      <c r="H9" s="296">
        <v>3</v>
      </c>
      <c r="I9" s="296">
        <v>2</v>
      </c>
      <c r="J9" s="296">
        <v>1</v>
      </c>
      <c r="K9" s="296">
        <v>0</v>
      </c>
      <c r="N9" s="335"/>
    </row>
    <row r="10" spans="1:21" ht="33.75" customHeight="1" thickBot="1" x14ac:dyDescent="0.2">
      <c r="B10" s="333"/>
      <c r="D10" s="337" t="s">
        <v>222</v>
      </c>
      <c r="E10" s="338" t="str">
        <f t="shared" ref="E10:K10" si="0">IF(E9&gt;=$T10,"",MID($R10,$T10-E9,1))</f>
        <v/>
      </c>
      <c r="F10" s="339" t="str">
        <f t="shared" si="0"/>
        <v/>
      </c>
      <c r="G10" s="340" t="str">
        <f t="shared" si="0"/>
        <v>2</v>
      </c>
      <c r="H10" s="341" t="str">
        <f t="shared" si="0"/>
        <v>5</v>
      </c>
      <c r="I10" s="342" t="str">
        <f t="shared" si="0"/>
        <v>0</v>
      </c>
      <c r="J10" s="340" t="str">
        <f t="shared" si="0"/>
        <v>0</v>
      </c>
      <c r="K10" s="340" t="str">
        <f t="shared" si="0"/>
        <v>0</v>
      </c>
      <c r="L10" s="343" t="s">
        <v>223</v>
      </c>
      <c r="N10" s="335"/>
      <c r="P10" s="258">
        <v>50</v>
      </c>
      <c r="Q10" s="258" t="s">
        <v>224</v>
      </c>
      <c r="R10" s="258">
        <f>P10*$P$2</f>
        <v>25000</v>
      </c>
      <c r="S10" s="258" t="s">
        <v>223</v>
      </c>
      <c r="T10" s="258">
        <f>LEN(R10)</f>
        <v>5</v>
      </c>
      <c r="U10" s="258">
        <f>'県体(赤)'!D$63</f>
        <v>0</v>
      </c>
    </row>
    <row r="11" spans="1:21" ht="22.5" customHeight="1" x14ac:dyDescent="0.2">
      <c r="B11" s="333"/>
      <c r="D11" s="344" t="s">
        <v>225</v>
      </c>
      <c r="E11" s="344"/>
      <c r="F11" s="344"/>
      <c r="G11" s="344"/>
      <c r="H11" s="344"/>
      <c r="I11" s="344"/>
      <c r="J11" s="345"/>
      <c r="K11" s="345"/>
      <c r="L11" s="345"/>
      <c r="N11" s="335"/>
    </row>
    <row r="12" spans="1:21" x14ac:dyDescent="0.15">
      <c r="B12" s="333"/>
      <c r="N12" s="335"/>
    </row>
    <row r="13" spans="1:21" x14ac:dyDescent="0.15">
      <c r="B13" s="333"/>
      <c r="D13" s="258" t="s">
        <v>226</v>
      </c>
      <c r="N13" s="335"/>
    </row>
    <row r="14" spans="1:21" x14ac:dyDescent="0.15">
      <c r="B14" s="333"/>
      <c r="N14" s="335"/>
    </row>
    <row r="15" spans="1:21" x14ac:dyDescent="0.15">
      <c r="B15" s="333"/>
      <c r="H15" s="258" t="s">
        <v>227</v>
      </c>
      <c r="N15" s="335"/>
    </row>
    <row r="16" spans="1:21" ht="24.75" x14ac:dyDescent="0.15">
      <c r="B16" s="333"/>
      <c r="K16" s="270" t="s">
        <v>228</v>
      </c>
      <c r="M16" s="1020" t="s">
        <v>229</v>
      </c>
      <c r="N16" s="1137"/>
    </row>
    <row r="17" spans="1:21" ht="26.25" customHeight="1" thickBot="1" x14ac:dyDescent="0.2">
      <c r="B17" s="346"/>
      <c r="C17" s="347"/>
      <c r="D17" s="347"/>
      <c r="E17" s="347"/>
      <c r="F17" s="347"/>
      <c r="G17" s="347"/>
      <c r="H17" s="347"/>
      <c r="I17" s="347"/>
      <c r="J17" s="347"/>
      <c r="K17" s="347"/>
      <c r="L17" s="347"/>
      <c r="M17" s="347"/>
      <c r="N17" s="348"/>
    </row>
    <row r="22" spans="1:21" x14ac:dyDescent="0.15">
      <c r="A22" s="329"/>
      <c r="O22" s="329"/>
    </row>
    <row r="25" spans="1:21" ht="15" thickBot="1" x14ac:dyDescent="0.2"/>
    <row r="26" spans="1:21" ht="26.25" customHeight="1" x14ac:dyDescent="0.15">
      <c r="B26" s="330"/>
      <c r="C26" s="331"/>
      <c r="D26" s="331"/>
      <c r="E26" s="331"/>
      <c r="F26" s="331"/>
      <c r="G26" s="331"/>
      <c r="H26" s="331"/>
      <c r="I26" s="331"/>
      <c r="J26" s="331"/>
      <c r="K26" s="331"/>
      <c r="L26" s="331"/>
      <c r="M26" s="331"/>
      <c r="N26" s="332"/>
    </row>
    <row r="27" spans="1:21" ht="27.75" thickBot="1" x14ac:dyDescent="0.2">
      <c r="B27" s="333"/>
      <c r="C27" s="334"/>
      <c r="D27" s="334"/>
      <c r="E27" s="334"/>
      <c r="F27" s="1136" t="s">
        <v>221</v>
      </c>
      <c r="G27" s="1136"/>
      <c r="H27" s="1136"/>
      <c r="I27" s="1136"/>
      <c r="J27" s="1136"/>
      <c r="K27" s="1136"/>
      <c r="L27" s="334"/>
      <c r="M27" s="334"/>
      <c r="N27" s="335"/>
    </row>
    <row r="28" spans="1:21" ht="15" thickTop="1" x14ac:dyDescent="0.15">
      <c r="B28" s="333"/>
      <c r="N28" s="335"/>
    </row>
    <row r="29" spans="1:21" ht="27" x14ac:dyDescent="0.15">
      <c r="B29" s="333"/>
      <c r="C29" s="1135" t="str">
        <f>VLOOKUP(P29,県体学校名!$B$4:$I$19,8,FALSE)&amp;" 様"</f>
        <v>金沢市立紫錦台中学校 様</v>
      </c>
      <c r="D29" s="1135"/>
      <c r="E29" s="1135"/>
      <c r="F29" s="1135"/>
      <c r="G29" s="1135"/>
      <c r="H29" s="1135"/>
      <c r="I29" s="1135"/>
      <c r="M29" s="349">
        <f ca="1">$M$8</f>
        <v>45486</v>
      </c>
      <c r="N29" s="335"/>
      <c r="P29" s="258">
        <f>P8+1</f>
        <v>2</v>
      </c>
    </row>
    <row r="30" spans="1:21" ht="15" thickBot="1" x14ac:dyDescent="0.2">
      <c r="B30" s="333"/>
      <c r="E30" s="296">
        <v>6</v>
      </c>
      <c r="F30" s="296">
        <v>5</v>
      </c>
      <c r="G30" s="296">
        <v>4</v>
      </c>
      <c r="H30" s="296">
        <v>3</v>
      </c>
      <c r="I30" s="296">
        <v>2</v>
      </c>
      <c r="J30" s="296">
        <v>1</v>
      </c>
      <c r="K30" s="296">
        <v>0</v>
      </c>
      <c r="N30" s="335"/>
    </row>
    <row r="31" spans="1:21" ht="33.75" customHeight="1" thickBot="1" x14ac:dyDescent="0.2">
      <c r="B31" s="333"/>
      <c r="D31" s="337" t="s">
        <v>222</v>
      </c>
      <c r="E31" s="338" t="str">
        <f t="shared" ref="E31:K31" si="1">IF(E30&gt;=$T31,"",MID($R31,$T31-E30,1))</f>
        <v/>
      </c>
      <c r="F31" s="339" t="str">
        <f t="shared" si="1"/>
        <v/>
      </c>
      <c r="G31" s="340" t="str">
        <f t="shared" si="1"/>
        <v/>
      </c>
      <c r="H31" s="341" t="str">
        <f t="shared" si="1"/>
        <v>9</v>
      </c>
      <c r="I31" s="342" t="str">
        <f t="shared" si="1"/>
        <v>5</v>
      </c>
      <c r="J31" s="340" t="str">
        <f t="shared" si="1"/>
        <v>0</v>
      </c>
      <c r="K31" s="340" t="str">
        <f t="shared" si="1"/>
        <v>0</v>
      </c>
      <c r="L31" s="343" t="s">
        <v>223</v>
      </c>
      <c r="N31" s="335"/>
      <c r="P31" s="258">
        <v>19</v>
      </c>
      <c r="Q31" s="258" t="s">
        <v>224</v>
      </c>
      <c r="R31" s="258">
        <f>P31*$P$2</f>
        <v>9500</v>
      </c>
      <c r="S31" s="258" t="s">
        <v>223</v>
      </c>
      <c r="T31" s="258">
        <f>LEN(R31)</f>
        <v>4</v>
      </c>
      <c r="U31" s="258">
        <f>U10</f>
        <v>0</v>
      </c>
    </row>
    <row r="32" spans="1:21" ht="22.5" customHeight="1" x14ac:dyDescent="0.2">
      <c r="B32" s="333"/>
      <c r="D32" s="344" t="s">
        <v>225</v>
      </c>
      <c r="E32" s="344"/>
      <c r="F32" s="344"/>
      <c r="G32" s="344"/>
      <c r="H32" s="344"/>
      <c r="I32" s="344"/>
      <c r="J32" s="345"/>
      <c r="K32" s="345"/>
      <c r="L32" s="345"/>
      <c r="N32" s="335"/>
    </row>
    <row r="33" spans="1:15" x14ac:dyDescent="0.15">
      <c r="B33" s="333"/>
      <c r="N33" s="335"/>
    </row>
    <row r="34" spans="1:15" x14ac:dyDescent="0.15">
      <c r="B34" s="333"/>
      <c r="D34" s="258" t="s">
        <v>226</v>
      </c>
      <c r="N34" s="335"/>
    </row>
    <row r="35" spans="1:15" x14ac:dyDescent="0.15">
      <c r="B35" s="333"/>
      <c r="N35" s="335"/>
    </row>
    <row r="36" spans="1:15" x14ac:dyDescent="0.15">
      <c r="B36" s="333"/>
      <c r="H36" s="258" t="s">
        <v>227</v>
      </c>
      <c r="N36" s="335"/>
    </row>
    <row r="37" spans="1:15" ht="24.75" x14ac:dyDescent="0.15">
      <c r="B37" s="333"/>
      <c r="K37" s="270" t="s">
        <v>228</v>
      </c>
      <c r="M37" s="1020" t="str">
        <f>$M$16</f>
        <v>山 本　悠 祐</v>
      </c>
      <c r="N37" s="1137"/>
    </row>
    <row r="38" spans="1:15" ht="26.25" customHeight="1" thickBot="1" x14ac:dyDescent="0.2">
      <c r="B38" s="346"/>
      <c r="C38" s="347"/>
      <c r="D38" s="347"/>
      <c r="E38" s="347"/>
      <c r="F38" s="347"/>
      <c r="G38" s="347"/>
      <c r="H38" s="347"/>
      <c r="I38" s="347"/>
      <c r="J38" s="347"/>
      <c r="K38" s="347"/>
      <c r="L38" s="347"/>
      <c r="M38" s="347"/>
      <c r="N38" s="348"/>
    </row>
    <row r="43" spans="1:15" x14ac:dyDescent="0.15">
      <c r="A43" s="329"/>
      <c r="O43" s="329"/>
    </row>
    <row r="46" spans="1:15" ht="15" thickBot="1" x14ac:dyDescent="0.2"/>
    <row r="47" spans="1:15" ht="26.25" customHeight="1" x14ac:dyDescent="0.15">
      <c r="B47" s="330"/>
      <c r="C47" s="331"/>
      <c r="D47" s="331"/>
      <c r="E47" s="331"/>
      <c r="F47" s="331"/>
      <c r="G47" s="331"/>
      <c r="H47" s="331"/>
      <c r="I47" s="331"/>
      <c r="J47" s="331"/>
      <c r="K47" s="331"/>
      <c r="L47" s="331"/>
      <c r="M47" s="331"/>
      <c r="N47" s="332"/>
    </row>
    <row r="48" spans="1:15" ht="27.75" thickBot="1" x14ac:dyDescent="0.2">
      <c r="B48" s="333"/>
      <c r="C48" s="334"/>
      <c r="D48" s="334"/>
      <c r="E48" s="334"/>
      <c r="F48" s="1136" t="s">
        <v>221</v>
      </c>
      <c r="G48" s="1136"/>
      <c r="H48" s="1136"/>
      <c r="I48" s="1136"/>
      <c r="J48" s="1136"/>
      <c r="K48" s="1136"/>
      <c r="L48" s="334"/>
      <c r="M48" s="334"/>
      <c r="N48" s="335"/>
    </row>
    <row r="49" spans="1:21" ht="15" thickTop="1" x14ac:dyDescent="0.15">
      <c r="B49" s="333"/>
      <c r="N49" s="335"/>
    </row>
    <row r="50" spans="1:21" ht="27" x14ac:dyDescent="0.15">
      <c r="B50" s="333"/>
      <c r="C50" s="1135" t="str">
        <f>VLOOKUP(P50,県体学校名!$B$4:$I$19,8,FALSE)&amp;" 様"</f>
        <v>津幡町立津幡南中学校 様</v>
      </c>
      <c r="D50" s="1135"/>
      <c r="E50" s="1135"/>
      <c r="F50" s="1135"/>
      <c r="G50" s="1135"/>
      <c r="H50" s="1135"/>
      <c r="I50" s="1135"/>
      <c r="M50" s="349">
        <f ca="1">$M$8</f>
        <v>45486</v>
      </c>
      <c r="N50" s="335"/>
      <c r="P50" s="258">
        <f>P29+1</f>
        <v>3</v>
      </c>
    </row>
    <row r="51" spans="1:21" ht="15" thickBot="1" x14ac:dyDescent="0.2">
      <c r="B51" s="333"/>
      <c r="E51" s="296">
        <v>6</v>
      </c>
      <c r="F51" s="296">
        <v>5</v>
      </c>
      <c r="G51" s="296">
        <v>4</v>
      </c>
      <c r="H51" s="296">
        <v>3</v>
      </c>
      <c r="I51" s="296">
        <v>2</v>
      </c>
      <c r="J51" s="296">
        <v>1</v>
      </c>
      <c r="K51" s="296">
        <v>0</v>
      </c>
      <c r="N51" s="335"/>
    </row>
    <row r="52" spans="1:21" ht="33.75" customHeight="1" thickBot="1" x14ac:dyDescent="0.2">
      <c r="B52" s="333"/>
      <c r="D52" s="337" t="s">
        <v>222</v>
      </c>
      <c r="E52" s="338" t="str">
        <f t="shared" ref="E52:K52" si="2">IF(E51&gt;=$T52,"",MID($R52,$T52-E51,1))</f>
        <v/>
      </c>
      <c r="F52" s="339" t="str">
        <f t="shared" si="2"/>
        <v/>
      </c>
      <c r="G52" s="340" t="str">
        <f t="shared" si="2"/>
        <v/>
      </c>
      <c r="H52" s="341" t="str">
        <f t="shared" si="2"/>
        <v>9</v>
      </c>
      <c r="I52" s="342" t="str">
        <f t="shared" si="2"/>
        <v>0</v>
      </c>
      <c r="J52" s="340" t="str">
        <f t="shared" si="2"/>
        <v>0</v>
      </c>
      <c r="K52" s="340" t="str">
        <f t="shared" si="2"/>
        <v>0</v>
      </c>
      <c r="L52" s="343" t="s">
        <v>223</v>
      </c>
      <c r="N52" s="335"/>
      <c r="P52" s="258">
        <v>18</v>
      </c>
      <c r="Q52" s="258" t="s">
        <v>224</v>
      </c>
      <c r="R52" s="258">
        <f>P52*$P$2</f>
        <v>9000</v>
      </c>
      <c r="S52" s="258" t="s">
        <v>223</v>
      </c>
      <c r="T52" s="258">
        <f>LEN(R52)</f>
        <v>4</v>
      </c>
      <c r="U52" s="258">
        <f>'県体(赤)'!L$63</f>
        <v>0</v>
      </c>
    </row>
    <row r="53" spans="1:21" ht="22.5" customHeight="1" x14ac:dyDescent="0.2">
      <c r="B53" s="333"/>
      <c r="D53" s="344" t="s">
        <v>225</v>
      </c>
      <c r="E53" s="344"/>
      <c r="F53" s="344"/>
      <c r="G53" s="344"/>
      <c r="H53" s="344"/>
      <c r="I53" s="344"/>
      <c r="J53" s="345"/>
      <c r="K53" s="345"/>
      <c r="L53" s="345"/>
      <c r="N53" s="335"/>
    </row>
    <row r="54" spans="1:21" x14ac:dyDescent="0.15">
      <c r="B54" s="333"/>
      <c r="N54" s="335"/>
    </row>
    <row r="55" spans="1:21" x14ac:dyDescent="0.15">
      <c r="B55" s="333"/>
      <c r="D55" s="258" t="s">
        <v>226</v>
      </c>
      <c r="N55" s="335"/>
    </row>
    <row r="56" spans="1:21" x14ac:dyDescent="0.15">
      <c r="B56" s="333"/>
      <c r="N56" s="335"/>
    </row>
    <row r="57" spans="1:21" x14ac:dyDescent="0.15">
      <c r="B57" s="333"/>
      <c r="H57" s="258" t="s">
        <v>227</v>
      </c>
      <c r="N57" s="335"/>
    </row>
    <row r="58" spans="1:21" ht="24.75" x14ac:dyDescent="0.15">
      <c r="B58" s="333"/>
      <c r="K58" s="270" t="s">
        <v>228</v>
      </c>
      <c r="M58" s="1020" t="str">
        <f>$M$16</f>
        <v>山 本　悠 祐</v>
      </c>
      <c r="N58" s="1137"/>
    </row>
    <row r="59" spans="1:21" ht="26.25" customHeight="1" thickBot="1" x14ac:dyDescent="0.2">
      <c r="B59" s="346"/>
      <c r="C59" s="347"/>
      <c r="D59" s="347"/>
      <c r="E59" s="347"/>
      <c r="F59" s="347"/>
      <c r="G59" s="347"/>
      <c r="H59" s="347"/>
      <c r="I59" s="347"/>
      <c r="J59" s="347"/>
      <c r="K59" s="347"/>
      <c r="L59" s="347"/>
      <c r="M59" s="347"/>
      <c r="N59" s="348"/>
    </row>
    <row r="63" spans="1:21" x14ac:dyDescent="0.15">
      <c r="A63" s="350"/>
      <c r="O63" s="350"/>
    </row>
    <row r="64" spans="1:21" x14ac:dyDescent="0.15">
      <c r="A64" s="329"/>
      <c r="O64" s="329"/>
    </row>
    <row r="67" spans="2:21" ht="15" thickBot="1" x14ac:dyDescent="0.2"/>
    <row r="68" spans="2:21" ht="26.25" customHeight="1" x14ac:dyDescent="0.15">
      <c r="B68" s="330"/>
      <c r="C68" s="331"/>
      <c r="D68" s="331"/>
      <c r="E68" s="331"/>
      <c r="F68" s="331"/>
      <c r="G68" s="331"/>
      <c r="H68" s="331"/>
      <c r="I68" s="331"/>
      <c r="J68" s="331"/>
      <c r="K68" s="331"/>
      <c r="L68" s="331"/>
      <c r="M68" s="331"/>
      <c r="N68" s="332"/>
    </row>
    <row r="69" spans="2:21" ht="27.75" thickBot="1" x14ac:dyDescent="0.2">
      <c r="B69" s="333"/>
      <c r="C69" s="334"/>
      <c r="D69" s="334"/>
      <c r="E69" s="334"/>
      <c r="F69" s="1136" t="s">
        <v>221</v>
      </c>
      <c r="G69" s="1136"/>
      <c r="H69" s="1136"/>
      <c r="I69" s="1136"/>
      <c r="J69" s="1136"/>
      <c r="K69" s="1136"/>
      <c r="L69" s="334"/>
      <c r="M69" s="334"/>
      <c r="N69" s="335"/>
    </row>
    <row r="70" spans="2:21" ht="15" thickTop="1" x14ac:dyDescent="0.15">
      <c r="B70" s="333"/>
      <c r="N70" s="335"/>
    </row>
    <row r="71" spans="2:21" ht="27" x14ac:dyDescent="0.15">
      <c r="B71" s="333"/>
      <c r="C71" s="1135" t="str">
        <f>VLOOKUP(P71,県体学校名!$B$4:$I$19,8,FALSE)&amp;" 様"</f>
        <v>白山市立北辰中学校 様</v>
      </c>
      <c r="D71" s="1135"/>
      <c r="E71" s="1135"/>
      <c r="F71" s="1135"/>
      <c r="G71" s="1135"/>
      <c r="H71" s="1135"/>
      <c r="I71" s="1135"/>
      <c r="M71" s="349">
        <f ca="1">$M$8</f>
        <v>45486</v>
      </c>
      <c r="N71" s="335"/>
      <c r="P71" s="258">
        <f>P50+1</f>
        <v>4</v>
      </c>
    </row>
    <row r="72" spans="2:21" ht="15" thickBot="1" x14ac:dyDescent="0.2">
      <c r="B72" s="333"/>
      <c r="E72" s="296">
        <v>6</v>
      </c>
      <c r="F72" s="296">
        <v>5</v>
      </c>
      <c r="G72" s="296">
        <v>4</v>
      </c>
      <c r="H72" s="296">
        <v>3</v>
      </c>
      <c r="I72" s="296">
        <v>2</v>
      </c>
      <c r="J72" s="296">
        <v>1</v>
      </c>
      <c r="K72" s="296">
        <v>0</v>
      </c>
      <c r="N72" s="335"/>
    </row>
    <row r="73" spans="2:21" ht="33.75" customHeight="1" thickBot="1" x14ac:dyDescent="0.2">
      <c r="B73" s="333"/>
      <c r="D73" s="337" t="s">
        <v>222</v>
      </c>
      <c r="E73" s="338" t="str">
        <f t="shared" ref="E73:K73" si="3">IF(E72&gt;=$T73,"",MID($R73,$T73-E72,1))</f>
        <v/>
      </c>
      <c r="F73" s="339" t="str">
        <f t="shared" si="3"/>
        <v/>
      </c>
      <c r="G73" s="340" t="str">
        <f t="shared" si="3"/>
        <v>1</v>
      </c>
      <c r="H73" s="341" t="str">
        <f t="shared" si="3"/>
        <v>0</v>
      </c>
      <c r="I73" s="342" t="str">
        <f t="shared" si="3"/>
        <v>0</v>
      </c>
      <c r="J73" s="340" t="str">
        <f t="shared" si="3"/>
        <v>0</v>
      </c>
      <c r="K73" s="340" t="str">
        <f t="shared" si="3"/>
        <v>0</v>
      </c>
      <c r="L73" s="343" t="s">
        <v>223</v>
      </c>
      <c r="N73" s="335"/>
      <c r="P73" s="258">
        <v>20</v>
      </c>
      <c r="Q73" s="258" t="s">
        <v>224</v>
      </c>
      <c r="R73" s="258">
        <f>P73*$P$2</f>
        <v>10000</v>
      </c>
      <c r="S73" s="258" t="s">
        <v>223</v>
      </c>
      <c r="T73" s="258">
        <f>LEN(R73)</f>
        <v>5</v>
      </c>
      <c r="U73" s="258">
        <f>U52</f>
        <v>0</v>
      </c>
    </row>
    <row r="74" spans="2:21" ht="22.5" customHeight="1" x14ac:dyDescent="0.2">
      <c r="B74" s="333"/>
      <c r="D74" s="344" t="s">
        <v>225</v>
      </c>
      <c r="E74" s="344"/>
      <c r="F74" s="344"/>
      <c r="G74" s="344"/>
      <c r="H74" s="344"/>
      <c r="I74" s="344"/>
      <c r="J74" s="345"/>
      <c r="K74" s="345"/>
      <c r="L74" s="345"/>
      <c r="N74" s="335"/>
    </row>
    <row r="75" spans="2:21" x14ac:dyDescent="0.15">
      <c r="B75" s="333"/>
      <c r="N75" s="335"/>
    </row>
    <row r="76" spans="2:21" x14ac:dyDescent="0.15">
      <c r="B76" s="333"/>
      <c r="D76" s="258" t="s">
        <v>226</v>
      </c>
      <c r="N76" s="335"/>
    </row>
    <row r="77" spans="2:21" x14ac:dyDescent="0.15">
      <c r="B77" s="333"/>
      <c r="N77" s="335"/>
    </row>
    <row r="78" spans="2:21" x14ac:dyDescent="0.15">
      <c r="B78" s="333"/>
      <c r="H78" s="258" t="s">
        <v>227</v>
      </c>
      <c r="N78" s="335"/>
    </row>
    <row r="79" spans="2:21" ht="24.75" x14ac:dyDescent="0.15">
      <c r="B79" s="333"/>
      <c r="K79" s="270" t="s">
        <v>228</v>
      </c>
      <c r="M79" s="1020" t="str">
        <f>$M$16</f>
        <v>山 本　悠 祐</v>
      </c>
      <c r="N79" s="1137"/>
    </row>
    <row r="80" spans="2:21" ht="26.25" customHeight="1" thickBot="1" x14ac:dyDescent="0.2">
      <c r="B80" s="346"/>
      <c r="C80" s="347"/>
      <c r="D80" s="347"/>
      <c r="E80" s="347"/>
      <c r="F80" s="347"/>
      <c r="G80" s="347"/>
      <c r="H80" s="347"/>
      <c r="I80" s="347"/>
      <c r="J80" s="347"/>
      <c r="K80" s="347"/>
      <c r="L80" s="347"/>
      <c r="M80" s="347"/>
      <c r="N80" s="348"/>
    </row>
    <row r="85" spans="1:21" x14ac:dyDescent="0.15">
      <c r="A85" s="329"/>
      <c r="O85" s="329"/>
    </row>
    <row r="88" spans="1:21" ht="15" thickBot="1" x14ac:dyDescent="0.2"/>
    <row r="89" spans="1:21" ht="26.25" customHeight="1" x14ac:dyDescent="0.15">
      <c r="B89" s="330"/>
      <c r="C89" s="331"/>
      <c r="D89" s="331"/>
      <c r="E89" s="331"/>
      <c r="F89" s="331"/>
      <c r="G89" s="331"/>
      <c r="H89" s="331"/>
      <c r="I89" s="331"/>
      <c r="J89" s="331"/>
      <c r="K89" s="331"/>
      <c r="L89" s="331"/>
      <c r="M89" s="331"/>
      <c r="N89" s="332"/>
    </row>
    <row r="90" spans="1:21" ht="27.75" thickBot="1" x14ac:dyDescent="0.2">
      <c r="B90" s="333"/>
      <c r="C90" s="334"/>
      <c r="D90" s="334"/>
      <c r="E90" s="334"/>
      <c r="F90" s="1136" t="s">
        <v>221</v>
      </c>
      <c r="G90" s="1136"/>
      <c r="H90" s="1136"/>
      <c r="I90" s="1136"/>
      <c r="J90" s="1136"/>
      <c r="K90" s="1136"/>
      <c r="L90" s="334"/>
      <c r="M90" s="334"/>
      <c r="N90" s="335"/>
    </row>
    <row r="91" spans="1:21" ht="15" thickTop="1" x14ac:dyDescent="0.15">
      <c r="B91" s="333"/>
      <c r="N91" s="335"/>
    </row>
    <row r="92" spans="1:21" ht="27" x14ac:dyDescent="0.15">
      <c r="B92" s="333"/>
      <c r="C92" s="1135" t="str">
        <f>VLOOKUP(P92,県体学校名!$B$4:$I$19,8,FALSE)&amp;" 様"</f>
        <v>野々市市立野々市中学校 様</v>
      </c>
      <c r="D92" s="1135"/>
      <c r="E92" s="1135"/>
      <c r="F92" s="1135"/>
      <c r="G92" s="1135"/>
      <c r="H92" s="1135"/>
      <c r="I92" s="1135"/>
      <c r="M92" s="349">
        <f ca="1">$M$8</f>
        <v>45486</v>
      </c>
      <c r="N92" s="335"/>
      <c r="P92" s="258">
        <f>P71+1</f>
        <v>5</v>
      </c>
    </row>
    <row r="93" spans="1:21" ht="15" thickBot="1" x14ac:dyDescent="0.2">
      <c r="B93" s="333"/>
      <c r="E93" s="296">
        <v>6</v>
      </c>
      <c r="F93" s="296">
        <v>5</v>
      </c>
      <c r="G93" s="296">
        <v>4</v>
      </c>
      <c r="H93" s="296">
        <v>3</v>
      </c>
      <c r="I93" s="296">
        <v>2</v>
      </c>
      <c r="J93" s="296">
        <v>1</v>
      </c>
      <c r="K93" s="296">
        <v>0</v>
      </c>
      <c r="N93" s="335"/>
    </row>
    <row r="94" spans="1:21" ht="33.75" customHeight="1" thickBot="1" x14ac:dyDescent="0.2">
      <c r="B94" s="333"/>
      <c r="D94" s="337" t="s">
        <v>222</v>
      </c>
      <c r="E94" s="338" t="str">
        <f t="shared" ref="E94:K94" si="4">IF(E93&gt;=$T94,"",MID($R94,$T94-E93,1))</f>
        <v/>
      </c>
      <c r="F94" s="339" t="str">
        <f t="shared" si="4"/>
        <v/>
      </c>
      <c r="G94" s="340" t="str">
        <f t="shared" si="4"/>
        <v/>
      </c>
      <c r="H94" s="341" t="str">
        <f t="shared" si="4"/>
        <v>9</v>
      </c>
      <c r="I94" s="342" t="str">
        <f t="shared" si="4"/>
        <v>0</v>
      </c>
      <c r="J94" s="340" t="str">
        <f t="shared" si="4"/>
        <v>0</v>
      </c>
      <c r="K94" s="340" t="str">
        <f t="shared" si="4"/>
        <v>0</v>
      </c>
      <c r="L94" s="343" t="s">
        <v>223</v>
      </c>
      <c r="N94" s="335"/>
      <c r="P94" s="258">
        <v>18</v>
      </c>
      <c r="Q94" s="258" t="s">
        <v>224</v>
      </c>
      <c r="R94" s="258">
        <f>P94*$P$2</f>
        <v>9000</v>
      </c>
      <c r="S94" s="258" t="s">
        <v>223</v>
      </c>
      <c r="T94" s="258">
        <f>LEN(R94)</f>
        <v>4</v>
      </c>
      <c r="U94" s="258">
        <f>'県体(赤)'!T$63</f>
        <v>0</v>
      </c>
    </row>
    <row r="95" spans="1:21" ht="22.5" customHeight="1" x14ac:dyDescent="0.2">
      <c r="B95" s="333"/>
      <c r="D95" s="344" t="s">
        <v>225</v>
      </c>
      <c r="E95" s="344"/>
      <c r="F95" s="344"/>
      <c r="G95" s="344"/>
      <c r="H95" s="344"/>
      <c r="I95" s="344"/>
      <c r="J95" s="345"/>
      <c r="K95" s="345"/>
      <c r="L95" s="345"/>
      <c r="N95" s="335"/>
    </row>
    <row r="96" spans="1:21" x14ac:dyDescent="0.15">
      <c r="B96" s="333"/>
      <c r="N96" s="335"/>
    </row>
    <row r="97" spans="1:15" x14ac:dyDescent="0.15">
      <c r="B97" s="333"/>
      <c r="D97" s="258" t="s">
        <v>226</v>
      </c>
      <c r="N97" s="335"/>
    </row>
    <row r="98" spans="1:15" x14ac:dyDescent="0.15">
      <c r="B98" s="333"/>
      <c r="N98" s="335"/>
    </row>
    <row r="99" spans="1:15" x14ac:dyDescent="0.15">
      <c r="B99" s="333"/>
      <c r="H99" s="258" t="s">
        <v>227</v>
      </c>
      <c r="N99" s="335"/>
    </row>
    <row r="100" spans="1:15" ht="24.75" x14ac:dyDescent="0.15">
      <c r="B100" s="333"/>
      <c r="K100" s="270" t="s">
        <v>228</v>
      </c>
      <c r="M100" s="1020" t="str">
        <f>$M$16</f>
        <v>山 本　悠 祐</v>
      </c>
      <c r="N100" s="1137"/>
    </row>
    <row r="101" spans="1:15" ht="26.25" customHeight="1" thickBot="1" x14ac:dyDescent="0.2">
      <c r="B101" s="346"/>
      <c r="C101" s="347"/>
      <c r="D101" s="347"/>
      <c r="E101" s="347"/>
      <c r="F101" s="347"/>
      <c r="G101" s="347"/>
      <c r="H101" s="347"/>
      <c r="I101" s="347"/>
      <c r="J101" s="347"/>
      <c r="K101" s="347"/>
      <c r="L101" s="347"/>
      <c r="M101" s="347"/>
      <c r="N101" s="348"/>
    </row>
    <row r="106" spans="1:15" x14ac:dyDescent="0.15">
      <c r="A106" s="329"/>
      <c r="O106" s="329"/>
    </row>
    <row r="109" spans="1:15" ht="15" thickBot="1" x14ac:dyDescent="0.2"/>
    <row r="110" spans="1:15" ht="26.25" customHeight="1" x14ac:dyDescent="0.15">
      <c r="B110" s="330"/>
      <c r="C110" s="331"/>
      <c r="D110" s="331"/>
      <c r="E110" s="331"/>
      <c r="F110" s="331"/>
      <c r="G110" s="331"/>
      <c r="H110" s="331"/>
      <c r="I110" s="331"/>
      <c r="J110" s="331"/>
      <c r="K110" s="331"/>
      <c r="L110" s="331"/>
      <c r="M110" s="331"/>
      <c r="N110" s="332"/>
    </row>
    <row r="111" spans="1:15" ht="27.75" thickBot="1" x14ac:dyDescent="0.2">
      <c r="B111" s="333"/>
      <c r="C111" s="334"/>
      <c r="D111" s="334"/>
      <c r="E111" s="334"/>
      <c r="F111" s="1136" t="s">
        <v>221</v>
      </c>
      <c r="G111" s="1136"/>
      <c r="H111" s="1136"/>
      <c r="I111" s="1136"/>
      <c r="J111" s="1136"/>
      <c r="K111" s="1136"/>
      <c r="L111" s="334"/>
      <c r="M111" s="334"/>
      <c r="N111" s="335"/>
    </row>
    <row r="112" spans="1:15" ht="15" thickTop="1" x14ac:dyDescent="0.15">
      <c r="B112" s="333"/>
      <c r="N112" s="335"/>
    </row>
    <row r="113" spans="1:21" ht="27" x14ac:dyDescent="0.15">
      <c r="B113" s="333"/>
      <c r="C113" s="1135" t="str">
        <f>VLOOKUP(P113,県体学校名!$B$4:$I$19,8,FALSE)&amp;" 様"</f>
        <v>金沢市立浅野川中学校 様</v>
      </c>
      <c r="D113" s="1135"/>
      <c r="E113" s="1135"/>
      <c r="F113" s="1135"/>
      <c r="G113" s="1135"/>
      <c r="H113" s="1135"/>
      <c r="I113" s="1135"/>
      <c r="M113" s="349">
        <f ca="1">$M$8</f>
        <v>45486</v>
      </c>
      <c r="N113" s="335"/>
      <c r="P113" s="258">
        <f>P92+1</f>
        <v>6</v>
      </c>
    </row>
    <row r="114" spans="1:21" ht="15" thickBot="1" x14ac:dyDescent="0.2">
      <c r="B114" s="333"/>
      <c r="E114" s="296">
        <v>6</v>
      </c>
      <c r="F114" s="296">
        <v>5</v>
      </c>
      <c r="G114" s="296">
        <v>4</v>
      </c>
      <c r="H114" s="296">
        <v>3</v>
      </c>
      <c r="I114" s="296">
        <v>2</v>
      </c>
      <c r="J114" s="296">
        <v>1</v>
      </c>
      <c r="K114" s="296">
        <v>0</v>
      </c>
      <c r="N114" s="335"/>
    </row>
    <row r="115" spans="1:21" ht="33.75" customHeight="1" thickBot="1" x14ac:dyDescent="0.2">
      <c r="B115" s="333"/>
      <c r="D115" s="337" t="s">
        <v>222</v>
      </c>
      <c r="E115" s="338" t="str">
        <f t="shared" ref="E115:K115" si="5">IF(E114&gt;=$T115,"",MID($R115,$T115-E114,1))</f>
        <v/>
      </c>
      <c r="F115" s="339" t="str">
        <f t="shared" si="5"/>
        <v/>
      </c>
      <c r="G115" s="340" t="str">
        <f t="shared" si="5"/>
        <v/>
      </c>
      <c r="H115" s="341" t="str">
        <f t="shared" si="5"/>
        <v>8</v>
      </c>
      <c r="I115" s="342" t="str">
        <f t="shared" si="5"/>
        <v>5</v>
      </c>
      <c r="J115" s="340" t="str">
        <f t="shared" si="5"/>
        <v>0</v>
      </c>
      <c r="K115" s="340" t="str">
        <f t="shared" si="5"/>
        <v>0</v>
      </c>
      <c r="L115" s="343" t="s">
        <v>223</v>
      </c>
      <c r="N115" s="335"/>
      <c r="P115" s="258">
        <v>17</v>
      </c>
      <c r="Q115" s="258" t="s">
        <v>224</v>
      </c>
      <c r="R115" s="258">
        <f>P115*$P$2</f>
        <v>8500</v>
      </c>
      <c r="S115" s="258" t="s">
        <v>223</v>
      </c>
      <c r="T115" s="258">
        <f>LEN(R115)</f>
        <v>4</v>
      </c>
      <c r="U115" s="258">
        <f t="shared" ref="U115" si="6">U94</f>
        <v>0</v>
      </c>
    </row>
    <row r="116" spans="1:21" ht="22.5" customHeight="1" x14ac:dyDescent="0.2">
      <c r="B116" s="333"/>
      <c r="D116" s="344" t="s">
        <v>225</v>
      </c>
      <c r="E116" s="344"/>
      <c r="F116" s="344"/>
      <c r="G116" s="344"/>
      <c r="H116" s="344"/>
      <c r="I116" s="344"/>
      <c r="J116" s="345"/>
      <c r="K116" s="345"/>
      <c r="L116" s="345"/>
      <c r="N116" s="335"/>
    </row>
    <row r="117" spans="1:21" x14ac:dyDescent="0.15">
      <c r="B117" s="333"/>
      <c r="N117" s="335"/>
    </row>
    <row r="118" spans="1:21" x14ac:dyDescent="0.15">
      <c r="B118" s="333"/>
      <c r="D118" s="258" t="s">
        <v>226</v>
      </c>
      <c r="N118" s="335"/>
    </row>
    <row r="119" spans="1:21" x14ac:dyDescent="0.15">
      <c r="B119" s="333"/>
      <c r="N119" s="335"/>
    </row>
    <row r="120" spans="1:21" x14ac:dyDescent="0.15">
      <c r="B120" s="333"/>
      <c r="H120" s="258" t="s">
        <v>227</v>
      </c>
      <c r="N120" s="335"/>
    </row>
    <row r="121" spans="1:21" ht="24.75" x14ac:dyDescent="0.15">
      <c r="B121" s="333"/>
      <c r="K121" s="270" t="s">
        <v>228</v>
      </c>
      <c r="M121" s="1020" t="str">
        <f>$M$16</f>
        <v>山 本　悠 祐</v>
      </c>
      <c r="N121" s="1137"/>
    </row>
    <row r="122" spans="1:21" ht="26.25" customHeight="1" thickBot="1" x14ac:dyDescent="0.2">
      <c r="B122" s="346"/>
      <c r="C122" s="347"/>
      <c r="D122" s="347"/>
      <c r="E122" s="347"/>
      <c r="F122" s="347"/>
      <c r="G122" s="347"/>
      <c r="H122" s="347"/>
      <c r="I122" s="347"/>
      <c r="J122" s="347"/>
      <c r="K122" s="347"/>
      <c r="L122" s="347"/>
      <c r="M122" s="347"/>
      <c r="N122" s="348"/>
    </row>
    <row r="126" spans="1:21" x14ac:dyDescent="0.15">
      <c r="A126" s="350"/>
      <c r="O126" s="350"/>
    </row>
    <row r="127" spans="1:21" x14ac:dyDescent="0.15">
      <c r="A127" s="329"/>
      <c r="O127" s="329"/>
    </row>
    <row r="130" spans="2:21" ht="15" thickBot="1" x14ac:dyDescent="0.2"/>
    <row r="131" spans="2:21" ht="26.25" customHeight="1" x14ac:dyDescent="0.15">
      <c r="B131" s="330"/>
      <c r="C131" s="331"/>
      <c r="D131" s="331"/>
      <c r="E131" s="331"/>
      <c r="F131" s="331"/>
      <c r="G131" s="331"/>
      <c r="H131" s="331"/>
      <c r="I131" s="331"/>
      <c r="J131" s="331"/>
      <c r="K131" s="331"/>
      <c r="L131" s="331"/>
      <c r="M131" s="331"/>
      <c r="N131" s="332"/>
    </row>
    <row r="132" spans="2:21" ht="27.75" thickBot="1" x14ac:dyDescent="0.2">
      <c r="B132" s="333"/>
      <c r="C132" s="334"/>
      <c r="D132" s="334"/>
      <c r="E132" s="334"/>
      <c r="F132" s="1136" t="s">
        <v>221</v>
      </c>
      <c r="G132" s="1136"/>
      <c r="H132" s="1136"/>
      <c r="I132" s="1136"/>
      <c r="J132" s="1136"/>
      <c r="K132" s="1136"/>
      <c r="L132" s="334"/>
      <c r="M132" s="334"/>
      <c r="N132" s="335"/>
    </row>
    <row r="133" spans="2:21" ht="15" thickTop="1" x14ac:dyDescent="0.15">
      <c r="B133" s="333"/>
      <c r="N133" s="335"/>
    </row>
    <row r="134" spans="2:21" ht="27" x14ac:dyDescent="0.15">
      <c r="B134" s="333"/>
      <c r="C134" s="1135" t="str">
        <f>VLOOKUP(P134,県体学校名!$B$4:$I$19,8,FALSE)&amp;" 様"</f>
        <v>金沢市立清泉中学校 様</v>
      </c>
      <c r="D134" s="1135"/>
      <c r="E134" s="1135"/>
      <c r="F134" s="1135"/>
      <c r="G134" s="1135"/>
      <c r="H134" s="1135"/>
      <c r="I134" s="1135"/>
      <c r="M134" s="349">
        <f ca="1">$M$8</f>
        <v>45486</v>
      </c>
      <c r="N134" s="335"/>
      <c r="P134" s="258">
        <f>P113+1</f>
        <v>7</v>
      </c>
    </row>
    <row r="135" spans="2:21" ht="15" thickBot="1" x14ac:dyDescent="0.2">
      <c r="B135" s="333"/>
      <c r="E135" s="296">
        <v>6</v>
      </c>
      <c r="F135" s="296">
        <v>5</v>
      </c>
      <c r="G135" s="296">
        <v>4</v>
      </c>
      <c r="H135" s="296">
        <v>3</v>
      </c>
      <c r="I135" s="296">
        <v>2</v>
      </c>
      <c r="J135" s="296">
        <v>1</v>
      </c>
      <c r="K135" s="296">
        <v>0</v>
      </c>
      <c r="N135" s="335"/>
    </row>
    <row r="136" spans="2:21" ht="33.75" customHeight="1" thickBot="1" x14ac:dyDescent="0.2">
      <c r="B136" s="333"/>
      <c r="D136" s="337" t="s">
        <v>222</v>
      </c>
      <c r="E136" s="338" t="str">
        <f t="shared" ref="E136:K136" si="7">IF(E135&gt;=$T136,"",MID($R136,$T136-E135,1))</f>
        <v/>
      </c>
      <c r="F136" s="339" t="str">
        <f t="shared" si="7"/>
        <v/>
      </c>
      <c r="G136" s="340" t="str">
        <f t="shared" si="7"/>
        <v/>
      </c>
      <c r="H136" s="341" t="str">
        <f t="shared" si="7"/>
        <v>9</v>
      </c>
      <c r="I136" s="342" t="str">
        <f t="shared" si="7"/>
        <v>0</v>
      </c>
      <c r="J136" s="340" t="str">
        <f t="shared" si="7"/>
        <v>0</v>
      </c>
      <c r="K136" s="340" t="str">
        <f t="shared" si="7"/>
        <v>0</v>
      </c>
      <c r="L136" s="343" t="s">
        <v>223</v>
      </c>
      <c r="N136" s="335"/>
      <c r="P136" s="258">
        <v>18</v>
      </c>
      <c r="Q136" s="258" t="s">
        <v>224</v>
      </c>
      <c r="R136" s="258">
        <f>P136*$P$2</f>
        <v>9000</v>
      </c>
      <c r="S136" s="258" t="s">
        <v>223</v>
      </c>
      <c r="T136" s="258">
        <f>LEN(R136)</f>
        <v>4</v>
      </c>
      <c r="U136" s="258">
        <f>'県体(赤)'!AB$63</f>
        <v>0</v>
      </c>
    </row>
    <row r="137" spans="2:21" ht="22.5" customHeight="1" x14ac:dyDescent="0.2">
      <c r="B137" s="333"/>
      <c r="D137" s="344" t="s">
        <v>225</v>
      </c>
      <c r="E137" s="344"/>
      <c r="F137" s="344"/>
      <c r="G137" s="344"/>
      <c r="H137" s="344"/>
      <c r="I137" s="344"/>
      <c r="J137" s="345"/>
      <c r="K137" s="345"/>
      <c r="L137" s="345"/>
      <c r="N137" s="335"/>
    </row>
    <row r="138" spans="2:21" x14ac:dyDescent="0.15">
      <c r="B138" s="333"/>
      <c r="N138" s="335"/>
    </row>
    <row r="139" spans="2:21" x14ac:dyDescent="0.15">
      <c r="B139" s="333"/>
      <c r="D139" s="258" t="s">
        <v>226</v>
      </c>
      <c r="N139" s="335"/>
    </row>
    <row r="140" spans="2:21" x14ac:dyDescent="0.15">
      <c r="B140" s="333"/>
      <c r="N140" s="335"/>
    </row>
    <row r="141" spans="2:21" x14ac:dyDescent="0.15">
      <c r="B141" s="333"/>
      <c r="H141" s="258" t="s">
        <v>227</v>
      </c>
      <c r="N141" s="335"/>
    </row>
    <row r="142" spans="2:21" ht="24.75" x14ac:dyDescent="0.15">
      <c r="B142" s="333"/>
      <c r="K142" s="270" t="s">
        <v>228</v>
      </c>
      <c r="M142" s="1020" t="str">
        <f>$M$16</f>
        <v>山 本　悠 祐</v>
      </c>
      <c r="N142" s="1137"/>
    </row>
    <row r="143" spans="2:21" ht="26.25" customHeight="1" thickBot="1" x14ac:dyDescent="0.2">
      <c r="B143" s="346"/>
      <c r="C143" s="347"/>
      <c r="D143" s="347"/>
      <c r="E143" s="347"/>
      <c r="F143" s="347"/>
      <c r="G143" s="347"/>
      <c r="H143" s="347"/>
      <c r="I143" s="347"/>
      <c r="J143" s="347"/>
      <c r="K143" s="347"/>
      <c r="L143" s="347"/>
      <c r="M143" s="347"/>
      <c r="N143" s="348"/>
    </row>
    <row r="148" spans="1:21" x14ac:dyDescent="0.15">
      <c r="A148" s="329"/>
      <c r="O148" s="329"/>
    </row>
    <row r="151" spans="1:21" ht="15" thickBot="1" x14ac:dyDescent="0.2"/>
    <row r="152" spans="1:21" ht="26.25" customHeight="1" x14ac:dyDescent="0.15">
      <c r="B152" s="330"/>
      <c r="C152" s="331"/>
      <c r="D152" s="331"/>
      <c r="E152" s="331"/>
      <c r="F152" s="331"/>
      <c r="G152" s="331"/>
      <c r="H152" s="331"/>
      <c r="I152" s="331"/>
      <c r="J152" s="331"/>
      <c r="K152" s="331"/>
      <c r="L152" s="331"/>
      <c r="M152" s="331"/>
      <c r="N152" s="332"/>
    </row>
    <row r="153" spans="1:21" ht="27.75" thickBot="1" x14ac:dyDescent="0.2">
      <c r="B153" s="333"/>
      <c r="C153" s="334"/>
      <c r="D153" s="334"/>
      <c r="E153" s="334"/>
      <c r="F153" s="1136" t="s">
        <v>221</v>
      </c>
      <c r="G153" s="1136"/>
      <c r="H153" s="1136"/>
      <c r="I153" s="1136"/>
      <c r="J153" s="1136"/>
      <c r="K153" s="1136"/>
      <c r="L153" s="334"/>
      <c r="M153" s="334"/>
      <c r="N153" s="335"/>
    </row>
    <row r="154" spans="1:21" ht="15" thickTop="1" x14ac:dyDescent="0.15">
      <c r="B154" s="333"/>
      <c r="N154" s="335"/>
    </row>
    <row r="155" spans="1:21" ht="27" x14ac:dyDescent="0.15">
      <c r="B155" s="333"/>
      <c r="C155" s="1135" t="str">
        <f>VLOOKUP(P155,県体学校名!$B$4:$I$19,8,FALSE)&amp;" 様"</f>
        <v>金沢市立兼六中学校 様</v>
      </c>
      <c r="D155" s="1135"/>
      <c r="E155" s="1135"/>
      <c r="F155" s="1135"/>
      <c r="G155" s="1135"/>
      <c r="H155" s="1135"/>
      <c r="I155" s="1135"/>
      <c r="M155" s="349">
        <f ca="1">$M$8</f>
        <v>45486</v>
      </c>
      <c r="N155" s="335"/>
      <c r="P155" s="258">
        <f>P134+1</f>
        <v>8</v>
      </c>
    </row>
    <row r="156" spans="1:21" ht="15" thickBot="1" x14ac:dyDescent="0.2">
      <c r="B156" s="333"/>
      <c r="E156" s="296">
        <v>6</v>
      </c>
      <c r="F156" s="296">
        <v>5</v>
      </c>
      <c r="G156" s="296">
        <v>4</v>
      </c>
      <c r="H156" s="296">
        <v>3</v>
      </c>
      <c r="I156" s="296">
        <v>2</v>
      </c>
      <c r="J156" s="296">
        <v>1</v>
      </c>
      <c r="K156" s="296">
        <v>0</v>
      </c>
      <c r="N156" s="335"/>
    </row>
    <row r="157" spans="1:21" ht="33.75" customHeight="1" thickBot="1" x14ac:dyDescent="0.2">
      <c r="B157" s="333"/>
      <c r="D157" s="337" t="s">
        <v>222</v>
      </c>
      <c r="E157" s="338" t="str">
        <f t="shared" ref="E157:K157" si="8">IF(E156&gt;=$T157,"",MID($R157,$T157-E156,1))</f>
        <v/>
      </c>
      <c r="F157" s="339" t="str">
        <f t="shared" si="8"/>
        <v/>
      </c>
      <c r="G157" s="340" t="str">
        <f t="shared" si="8"/>
        <v/>
      </c>
      <c r="H157" s="341" t="str">
        <f t="shared" si="8"/>
        <v>9</v>
      </c>
      <c r="I157" s="342" t="str">
        <f t="shared" si="8"/>
        <v>0</v>
      </c>
      <c r="J157" s="340" t="str">
        <f t="shared" si="8"/>
        <v>0</v>
      </c>
      <c r="K157" s="340" t="str">
        <f t="shared" si="8"/>
        <v>0</v>
      </c>
      <c r="L157" s="343" t="s">
        <v>223</v>
      </c>
      <c r="N157" s="335"/>
      <c r="P157" s="258">
        <v>18</v>
      </c>
      <c r="Q157" s="258" t="s">
        <v>224</v>
      </c>
      <c r="R157" s="258">
        <f>P157*$P$2</f>
        <v>9000</v>
      </c>
      <c r="S157" s="258" t="s">
        <v>223</v>
      </c>
      <c r="T157" s="258">
        <f>LEN(R157)</f>
        <v>4</v>
      </c>
      <c r="U157" s="258">
        <f t="shared" ref="U157" si="9">U136</f>
        <v>0</v>
      </c>
    </row>
    <row r="158" spans="1:21" ht="22.5" customHeight="1" x14ac:dyDescent="0.2">
      <c r="B158" s="333"/>
      <c r="D158" s="344" t="s">
        <v>225</v>
      </c>
      <c r="E158" s="344"/>
      <c r="F158" s="344"/>
      <c r="G158" s="344"/>
      <c r="H158" s="344"/>
      <c r="I158" s="344"/>
      <c r="J158" s="345"/>
      <c r="K158" s="345"/>
      <c r="L158" s="345"/>
      <c r="N158" s="335"/>
    </row>
    <row r="159" spans="1:21" x14ac:dyDescent="0.15">
      <c r="B159" s="333"/>
      <c r="N159" s="335"/>
    </row>
    <row r="160" spans="1:21" x14ac:dyDescent="0.15">
      <c r="B160" s="333"/>
      <c r="D160" s="258" t="s">
        <v>226</v>
      </c>
      <c r="N160" s="335"/>
    </row>
    <row r="161" spans="1:16" x14ac:dyDescent="0.15">
      <c r="B161" s="333"/>
      <c r="N161" s="335"/>
    </row>
    <row r="162" spans="1:16" x14ac:dyDescent="0.15">
      <c r="B162" s="333"/>
      <c r="H162" s="258" t="s">
        <v>227</v>
      </c>
      <c r="N162" s="335"/>
    </row>
    <row r="163" spans="1:16" ht="24.75" x14ac:dyDescent="0.15">
      <c r="B163" s="333"/>
      <c r="K163" s="270" t="s">
        <v>228</v>
      </c>
      <c r="M163" s="1020" t="str">
        <f>$M$16</f>
        <v>山 本　悠 祐</v>
      </c>
      <c r="N163" s="1137"/>
    </row>
    <row r="164" spans="1:16" ht="26.25" customHeight="1" thickBot="1" x14ac:dyDescent="0.2">
      <c r="B164" s="346"/>
      <c r="C164" s="347"/>
      <c r="D164" s="347"/>
      <c r="E164" s="347"/>
      <c r="F164" s="347"/>
      <c r="G164" s="347"/>
      <c r="H164" s="347"/>
      <c r="I164" s="347"/>
      <c r="J164" s="347"/>
      <c r="K164" s="347"/>
      <c r="L164" s="347"/>
      <c r="M164" s="347"/>
      <c r="N164" s="348"/>
    </row>
    <row r="169" spans="1:16" x14ac:dyDescent="0.15">
      <c r="A169" s="329"/>
      <c r="O169" s="329"/>
    </row>
    <row r="172" spans="1:16" ht="15" thickBot="1" x14ac:dyDescent="0.2"/>
    <row r="173" spans="1:16" ht="26.25" customHeight="1" x14ac:dyDescent="0.15">
      <c r="B173" s="330"/>
      <c r="C173" s="331"/>
      <c r="D173" s="331"/>
      <c r="E173" s="331"/>
      <c r="F173" s="331"/>
      <c r="G173" s="331"/>
      <c r="H173" s="331"/>
      <c r="I173" s="331"/>
      <c r="J173" s="331"/>
      <c r="K173" s="331"/>
      <c r="L173" s="331"/>
      <c r="M173" s="331"/>
      <c r="N173" s="332"/>
    </row>
    <row r="174" spans="1:16" ht="27.75" thickBot="1" x14ac:dyDescent="0.2">
      <c r="B174" s="333"/>
      <c r="C174" s="334"/>
      <c r="D174" s="334"/>
      <c r="E174" s="334"/>
      <c r="F174" s="1136" t="s">
        <v>221</v>
      </c>
      <c r="G174" s="1136"/>
      <c r="H174" s="1136"/>
      <c r="I174" s="1136"/>
      <c r="J174" s="1136"/>
      <c r="K174" s="1136"/>
      <c r="L174" s="334"/>
      <c r="M174" s="334"/>
      <c r="N174" s="335"/>
    </row>
    <row r="175" spans="1:16" ht="15" thickTop="1" x14ac:dyDescent="0.15">
      <c r="B175" s="333"/>
      <c r="N175" s="335"/>
    </row>
    <row r="176" spans="1:16" ht="27" x14ac:dyDescent="0.15">
      <c r="B176" s="333"/>
      <c r="C176" s="1135" t="str">
        <f>VLOOKUP(P176,県体学校名!$B$4:$I$19,8,FALSE)&amp;" 様"</f>
        <v>星稜中学校 様</v>
      </c>
      <c r="D176" s="1135"/>
      <c r="E176" s="1135"/>
      <c r="F176" s="1135"/>
      <c r="G176" s="1135"/>
      <c r="H176" s="1135"/>
      <c r="I176" s="1135"/>
      <c r="M176" s="349">
        <f ca="1">$M$8</f>
        <v>45486</v>
      </c>
      <c r="N176" s="335"/>
      <c r="P176" s="258">
        <f>P155+1</f>
        <v>9</v>
      </c>
    </row>
    <row r="177" spans="1:21" ht="15" thickBot="1" x14ac:dyDescent="0.2">
      <c r="B177" s="333"/>
      <c r="E177" s="296">
        <v>6</v>
      </c>
      <c r="F177" s="296">
        <v>5</v>
      </c>
      <c r="G177" s="296">
        <v>4</v>
      </c>
      <c r="H177" s="296">
        <v>3</v>
      </c>
      <c r="I177" s="296">
        <v>2</v>
      </c>
      <c r="J177" s="296">
        <v>1</v>
      </c>
      <c r="K177" s="296">
        <v>0</v>
      </c>
      <c r="N177" s="335"/>
    </row>
    <row r="178" spans="1:21" ht="33.75" customHeight="1" thickBot="1" x14ac:dyDescent="0.2">
      <c r="B178" s="333"/>
      <c r="D178" s="337" t="s">
        <v>222</v>
      </c>
      <c r="E178" s="338" t="str">
        <f t="shared" ref="E178:K178" si="10">IF(E177&gt;=$T178,"",MID($R178,$T178-E177,1))</f>
        <v/>
      </c>
      <c r="F178" s="339" t="str">
        <f t="shared" si="10"/>
        <v/>
      </c>
      <c r="G178" s="340" t="str">
        <f t="shared" si="10"/>
        <v>2</v>
      </c>
      <c r="H178" s="341" t="str">
        <f t="shared" si="10"/>
        <v>1</v>
      </c>
      <c r="I178" s="342" t="str">
        <f t="shared" si="10"/>
        <v>0</v>
      </c>
      <c r="J178" s="340" t="str">
        <f t="shared" si="10"/>
        <v>0</v>
      </c>
      <c r="K178" s="340" t="str">
        <f t="shared" si="10"/>
        <v>0</v>
      </c>
      <c r="L178" s="343" t="s">
        <v>223</v>
      </c>
      <c r="N178" s="335"/>
      <c r="P178" s="258">
        <v>42</v>
      </c>
      <c r="Q178" s="258" t="s">
        <v>224</v>
      </c>
      <c r="R178" s="258">
        <f>P178*$P$2</f>
        <v>21000</v>
      </c>
      <c r="S178" s="258" t="s">
        <v>223</v>
      </c>
      <c r="T178" s="258">
        <f>LEN(R178)</f>
        <v>5</v>
      </c>
      <c r="U178" s="258">
        <f>'県体(赤)'!AJ$63</f>
        <v>0</v>
      </c>
    </row>
    <row r="179" spans="1:21" ht="22.5" customHeight="1" x14ac:dyDescent="0.2">
      <c r="B179" s="333"/>
      <c r="D179" s="344" t="s">
        <v>225</v>
      </c>
      <c r="E179" s="344"/>
      <c r="F179" s="344"/>
      <c r="G179" s="344"/>
      <c r="H179" s="344"/>
      <c r="I179" s="344"/>
      <c r="J179" s="345"/>
      <c r="K179" s="345"/>
      <c r="L179" s="345"/>
      <c r="N179" s="335"/>
    </row>
    <row r="180" spans="1:21" x14ac:dyDescent="0.15">
      <c r="B180" s="333"/>
      <c r="N180" s="335"/>
    </row>
    <row r="181" spans="1:21" x14ac:dyDescent="0.15">
      <c r="B181" s="333"/>
      <c r="D181" s="258" t="s">
        <v>226</v>
      </c>
      <c r="N181" s="335"/>
    </row>
    <row r="182" spans="1:21" x14ac:dyDescent="0.15">
      <c r="B182" s="333"/>
      <c r="N182" s="335"/>
    </row>
    <row r="183" spans="1:21" x14ac:dyDescent="0.15">
      <c r="B183" s="333"/>
      <c r="H183" s="258" t="s">
        <v>227</v>
      </c>
      <c r="N183" s="335"/>
    </row>
    <row r="184" spans="1:21" ht="24.75" x14ac:dyDescent="0.15">
      <c r="B184" s="333"/>
      <c r="K184" s="270" t="s">
        <v>228</v>
      </c>
      <c r="M184" s="1020" t="str">
        <f>$M$16</f>
        <v>山 本　悠 祐</v>
      </c>
      <c r="N184" s="1137"/>
    </row>
    <row r="185" spans="1:21" ht="26.25" customHeight="1" thickBot="1" x14ac:dyDescent="0.2">
      <c r="B185" s="346"/>
      <c r="C185" s="347"/>
      <c r="D185" s="347"/>
      <c r="E185" s="347"/>
      <c r="F185" s="347"/>
      <c r="G185" s="347"/>
      <c r="H185" s="347"/>
      <c r="I185" s="347"/>
      <c r="J185" s="347"/>
      <c r="K185" s="347"/>
      <c r="L185" s="347"/>
      <c r="M185" s="347"/>
      <c r="N185" s="348"/>
    </row>
    <row r="189" spans="1:21" x14ac:dyDescent="0.15">
      <c r="A189" s="350"/>
      <c r="O189" s="350"/>
    </row>
    <row r="190" spans="1:21" x14ac:dyDescent="0.15">
      <c r="A190" s="329"/>
      <c r="O190" s="329"/>
    </row>
    <row r="193" spans="2:21" ht="15" thickBot="1" x14ac:dyDescent="0.2"/>
    <row r="194" spans="2:21" ht="26.25" customHeight="1" x14ac:dyDescent="0.15">
      <c r="B194" s="330"/>
      <c r="C194" s="331"/>
      <c r="D194" s="331"/>
      <c r="E194" s="331"/>
      <c r="F194" s="331"/>
      <c r="G194" s="331"/>
      <c r="H194" s="331"/>
      <c r="I194" s="331"/>
      <c r="J194" s="331"/>
      <c r="K194" s="331"/>
      <c r="L194" s="331"/>
      <c r="M194" s="331"/>
      <c r="N194" s="332"/>
    </row>
    <row r="195" spans="2:21" ht="27.75" thickBot="1" x14ac:dyDescent="0.2">
      <c r="B195" s="333"/>
      <c r="C195" s="334"/>
      <c r="D195" s="334"/>
      <c r="E195" s="334"/>
      <c r="F195" s="1136" t="s">
        <v>221</v>
      </c>
      <c r="G195" s="1136"/>
      <c r="H195" s="1136"/>
      <c r="I195" s="1136"/>
      <c r="J195" s="1136"/>
      <c r="K195" s="1136"/>
      <c r="L195" s="334"/>
      <c r="M195" s="334"/>
      <c r="N195" s="335"/>
    </row>
    <row r="196" spans="2:21" ht="15" thickTop="1" x14ac:dyDescent="0.15">
      <c r="B196" s="333"/>
      <c r="N196" s="335"/>
    </row>
    <row r="197" spans="2:21" ht="27" x14ac:dyDescent="0.15">
      <c r="B197" s="333"/>
      <c r="C197" s="1135" t="str">
        <f>VLOOKUP(P197,県体学校名!$B$4:$I$19,8,FALSE)&amp;" 様"</f>
        <v>輪島市立輪島中学校 様</v>
      </c>
      <c r="D197" s="1135"/>
      <c r="E197" s="1135"/>
      <c r="F197" s="1135"/>
      <c r="G197" s="1135"/>
      <c r="H197" s="1135"/>
      <c r="I197" s="1135"/>
      <c r="M197" s="349">
        <f ca="1">$M$8</f>
        <v>45486</v>
      </c>
      <c r="N197" s="335"/>
      <c r="P197" s="258">
        <f>P176+1</f>
        <v>10</v>
      </c>
    </row>
    <row r="198" spans="2:21" ht="15" thickBot="1" x14ac:dyDescent="0.2">
      <c r="B198" s="333"/>
      <c r="E198" s="296">
        <v>6</v>
      </c>
      <c r="F198" s="296">
        <v>5</v>
      </c>
      <c r="G198" s="296">
        <v>4</v>
      </c>
      <c r="H198" s="296">
        <v>3</v>
      </c>
      <c r="I198" s="296">
        <v>2</v>
      </c>
      <c r="J198" s="296">
        <v>1</v>
      </c>
      <c r="K198" s="296">
        <v>0</v>
      </c>
      <c r="N198" s="335"/>
    </row>
    <row r="199" spans="2:21" ht="33.75" customHeight="1" thickBot="1" x14ac:dyDescent="0.2">
      <c r="B199" s="333"/>
      <c r="D199" s="337" t="s">
        <v>222</v>
      </c>
      <c r="E199" s="338" t="str">
        <f t="shared" ref="E199:K199" si="11">IF(E198&gt;=$T199,"",MID($R199,$T199-E198,1))</f>
        <v/>
      </c>
      <c r="F199" s="339" t="str">
        <f t="shared" si="11"/>
        <v/>
      </c>
      <c r="G199" s="340" t="str">
        <f t="shared" si="11"/>
        <v/>
      </c>
      <c r="H199" s="341" t="str">
        <f t="shared" si="11"/>
        <v>9</v>
      </c>
      <c r="I199" s="342" t="str">
        <f t="shared" si="11"/>
        <v>0</v>
      </c>
      <c r="J199" s="340" t="str">
        <f t="shared" si="11"/>
        <v>0</v>
      </c>
      <c r="K199" s="340" t="str">
        <f t="shared" si="11"/>
        <v>0</v>
      </c>
      <c r="L199" s="343" t="s">
        <v>223</v>
      </c>
      <c r="N199" s="335"/>
      <c r="P199" s="258">
        <v>18</v>
      </c>
      <c r="Q199" s="258" t="s">
        <v>224</v>
      </c>
      <c r="R199" s="258">
        <f>P199*$P$2</f>
        <v>9000</v>
      </c>
      <c r="S199" s="258" t="s">
        <v>223</v>
      </c>
      <c r="T199" s="258">
        <f>LEN(R199)</f>
        <v>4</v>
      </c>
      <c r="U199" s="258">
        <f t="shared" ref="U199" si="12">U178</f>
        <v>0</v>
      </c>
    </row>
    <row r="200" spans="2:21" ht="22.5" customHeight="1" x14ac:dyDescent="0.2">
      <c r="B200" s="333"/>
      <c r="D200" s="344" t="s">
        <v>225</v>
      </c>
      <c r="E200" s="344"/>
      <c r="F200" s="344"/>
      <c r="G200" s="344"/>
      <c r="H200" s="344"/>
      <c r="I200" s="344"/>
      <c r="J200" s="345"/>
      <c r="K200" s="345"/>
      <c r="L200" s="345"/>
      <c r="N200" s="335"/>
    </row>
    <row r="201" spans="2:21" x14ac:dyDescent="0.15">
      <c r="B201" s="333"/>
      <c r="N201" s="335"/>
    </row>
    <row r="202" spans="2:21" x14ac:dyDescent="0.15">
      <c r="B202" s="333"/>
      <c r="D202" s="258" t="s">
        <v>226</v>
      </c>
      <c r="N202" s="335"/>
    </row>
    <row r="203" spans="2:21" x14ac:dyDescent="0.15">
      <c r="B203" s="333"/>
      <c r="N203" s="335"/>
    </row>
    <row r="204" spans="2:21" x14ac:dyDescent="0.15">
      <c r="B204" s="333"/>
      <c r="H204" s="258" t="s">
        <v>227</v>
      </c>
      <c r="N204" s="335"/>
    </row>
    <row r="205" spans="2:21" ht="24.75" x14ac:dyDescent="0.15">
      <c r="B205" s="333"/>
      <c r="K205" s="270" t="s">
        <v>228</v>
      </c>
      <c r="M205" s="1020" t="str">
        <f>$M$16</f>
        <v>山 本　悠 祐</v>
      </c>
      <c r="N205" s="1137"/>
    </row>
    <row r="206" spans="2:21" ht="26.25" customHeight="1" thickBot="1" x14ac:dyDescent="0.2">
      <c r="B206" s="346"/>
      <c r="C206" s="347"/>
      <c r="D206" s="347"/>
      <c r="E206" s="347"/>
      <c r="F206" s="347"/>
      <c r="G206" s="347"/>
      <c r="H206" s="347"/>
      <c r="I206" s="347"/>
      <c r="J206" s="347"/>
      <c r="K206" s="347"/>
      <c r="L206" s="347"/>
      <c r="M206" s="347"/>
      <c r="N206" s="348"/>
    </row>
    <row r="211" spans="1:21" x14ac:dyDescent="0.15">
      <c r="A211" s="329"/>
      <c r="O211" s="329"/>
    </row>
    <row r="214" spans="1:21" ht="15" thickBot="1" x14ac:dyDescent="0.2"/>
    <row r="215" spans="1:21" ht="26.25" customHeight="1" x14ac:dyDescent="0.15">
      <c r="B215" s="330"/>
      <c r="C215" s="331"/>
      <c r="D215" s="331"/>
      <c r="E215" s="331"/>
      <c r="F215" s="331"/>
      <c r="G215" s="331"/>
      <c r="H215" s="331"/>
      <c r="I215" s="331"/>
      <c r="J215" s="331"/>
      <c r="K215" s="331"/>
      <c r="L215" s="331"/>
      <c r="M215" s="331"/>
      <c r="N215" s="332"/>
    </row>
    <row r="216" spans="1:21" ht="27.75" thickBot="1" x14ac:dyDescent="0.2">
      <c r="B216" s="333"/>
      <c r="C216" s="334"/>
      <c r="D216" s="334"/>
      <c r="E216" s="334"/>
      <c r="F216" s="1136" t="s">
        <v>221</v>
      </c>
      <c r="G216" s="1136"/>
      <c r="H216" s="1136"/>
      <c r="I216" s="1136"/>
      <c r="J216" s="1136"/>
      <c r="K216" s="1136"/>
      <c r="L216" s="334"/>
      <c r="M216" s="334"/>
      <c r="N216" s="335"/>
    </row>
    <row r="217" spans="1:21" ht="15" thickTop="1" x14ac:dyDescent="0.15">
      <c r="B217" s="333"/>
      <c r="N217" s="335"/>
    </row>
    <row r="218" spans="1:21" ht="27" x14ac:dyDescent="0.15">
      <c r="B218" s="333"/>
      <c r="C218" s="1135" t="str">
        <f>VLOOKUP(P218,県体学校名!$B$4:$I$19,8,FALSE)&amp;" 様"</f>
        <v>金沢市立西南部中学校 様</v>
      </c>
      <c r="D218" s="1135"/>
      <c r="E218" s="1135"/>
      <c r="F218" s="1135"/>
      <c r="G218" s="1135"/>
      <c r="H218" s="1135"/>
      <c r="I218" s="1135"/>
      <c r="M218" s="349">
        <f ca="1">$M$8</f>
        <v>45486</v>
      </c>
      <c r="N218" s="335"/>
      <c r="P218" s="258">
        <f>P197+1</f>
        <v>11</v>
      </c>
    </row>
    <row r="219" spans="1:21" ht="15" thickBot="1" x14ac:dyDescent="0.2">
      <c r="B219" s="333"/>
      <c r="E219" s="296">
        <v>6</v>
      </c>
      <c r="F219" s="296">
        <v>5</v>
      </c>
      <c r="G219" s="296">
        <v>4</v>
      </c>
      <c r="H219" s="296">
        <v>3</v>
      </c>
      <c r="I219" s="296">
        <v>2</v>
      </c>
      <c r="J219" s="296">
        <v>1</v>
      </c>
      <c r="K219" s="296">
        <v>0</v>
      </c>
      <c r="N219" s="335"/>
    </row>
    <row r="220" spans="1:21" ht="33.75" customHeight="1" thickBot="1" x14ac:dyDescent="0.2">
      <c r="B220" s="333"/>
      <c r="D220" s="337" t="s">
        <v>222</v>
      </c>
      <c r="E220" s="338" t="str">
        <f t="shared" ref="E220:K220" si="13">IF(E219&gt;=$T220,"",MID($R220,$T220-E219,1))</f>
        <v/>
      </c>
      <c r="F220" s="339" t="str">
        <f t="shared" si="13"/>
        <v/>
      </c>
      <c r="G220" s="340" t="str">
        <f t="shared" si="13"/>
        <v/>
      </c>
      <c r="H220" s="341" t="str">
        <f t="shared" si="13"/>
        <v>9</v>
      </c>
      <c r="I220" s="342" t="str">
        <f t="shared" si="13"/>
        <v>0</v>
      </c>
      <c r="J220" s="340" t="str">
        <f t="shared" si="13"/>
        <v>0</v>
      </c>
      <c r="K220" s="340" t="str">
        <f t="shared" si="13"/>
        <v>0</v>
      </c>
      <c r="L220" s="343" t="s">
        <v>223</v>
      </c>
      <c r="N220" s="335"/>
      <c r="P220" s="258">
        <v>18</v>
      </c>
      <c r="Q220" s="258" t="s">
        <v>224</v>
      </c>
      <c r="R220" s="258">
        <f>P220*$P$2</f>
        <v>9000</v>
      </c>
      <c r="S220" s="258" t="s">
        <v>223</v>
      </c>
      <c r="T220" s="258">
        <f>LEN(R220)</f>
        <v>4</v>
      </c>
      <c r="U220" s="258">
        <f>'県体(赤)'!AR$63</f>
        <v>0</v>
      </c>
    </row>
    <row r="221" spans="1:21" ht="22.5" customHeight="1" x14ac:dyDescent="0.2">
      <c r="B221" s="333"/>
      <c r="D221" s="344" t="s">
        <v>225</v>
      </c>
      <c r="E221" s="344"/>
      <c r="F221" s="344"/>
      <c r="G221" s="344"/>
      <c r="H221" s="344"/>
      <c r="I221" s="344"/>
      <c r="J221" s="345"/>
      <c r="K221" s="345"/>
      <c r="L221" s="345"/>
      <c r="N221" s="335"/>
    </row>
    <row r="222" spans="1:21" x14ac:dyDescent="0.15">
      <c r="B222" s="333"/>
      <c r="N222" s="335"/>
    </row>
    <row r="223" spans="1:21" x14ac:dyDescent="0.15">
      <c r="B223" s="333"/>
      <c r="D223" s="258" t="s">
        <v>226</v>
      </c>
      <c r="N223" s="335"/>
    </row>
    <row r="224" spans="1:21" x14ac:dyDescent="0.15">
      <c r="B224" s="333"/>
      <c r="N224" s="335"/>
    </row>
    <row r="225" spans="1:16" x14ac:dyDescent="0.15">
      <c r="B225" s="333"/>
      <c r="H225" s="258" t="s">
        <v>227</v>
      </c>
      <c r="N225" s="335"/>
    </row>
    <row r="226" spans="1:16" ht="24.75" x14ac:dyDescent="0.15">
      <c r="B226" s="333"/>
      <c r="K226" s="270" t="s">
        <v>228</v>
      </c>
      <c r="M226" s="1020" t="str">
        <f>$M$16</f>
        <v>山 本　悠 祐</v>
      </c>
      <c r="N226" s="1137"/>
    </row>
    <row r="227" spans="1:16" ht="26.25" customHeight="1" thickBot="1" x14ac:dyDescent="0.2">
      <c r="B227" s="346"/>
      <c r="C227" s="347"/>
      <c r="D227" s="347"/>
      <c r="E227" s="347"/>
      <c r="F227" s="347"/>
      <c r="G227" s="347"/>
      <c r="H227" s="347"/>
      <c r="I227" s="347"/>
      <c r="J227" s="347"/>
      <c r="K227" s="347"/>
      <c r="L227" s="347"/>
      <c r="M227" s="347"/>
      <c r="N227" s="348"/>
    </row>
    <row r="232" spans="1:16" x14ac:dyDescent="0.15">
      <c r="A232" s="329"/>
      <c r="O232" s="329"/>
    </row>
    <row r="235" spans="1:16" ht="15" thickBot="1" x14ac:dyDescent="0.2"/>
    <row r="236" spans="1:16" ht="26.25" customHeight="1" x14ac:dyDescent="0.15">
      <c r="B236" s="330"/>
      <c r="C236" s="331"/>
      <c r="D236" s="331"/>
      <c r="E236" s="331"/>
      <c r="F236" s="331"/>
      <c r="G236" s="331"/>
      <c r="H236" s="331"/>
      <c r="I236" s="331"/>
      <c r="J236" s="331"/>
      <c r="K236" s="331"/>
      <c r="L236" s="331"/>
      <c r="M236" s="331"/>
      <c r="N236" s="332"/>
    </row>
    <row r="237" spans="1:16" ht="27.75" thickBot="1" x14ac:dyDescent="0.2">
      <c r="B237" s="333"/>
      <c r="C237" s="334"/>
      <c r="D237" s="334"/>
      <c r="E237" s="334"/>
      <c r="F237" s="1136" t="s">
        <v>221</v>
      </c>
      <c r="G237" s="1136"/>
      <c r="H237" s="1136"/>
      <c r="I237" s="1136"/>
      <c r="J237" s="1136"/>
      <c r="K237" s="1136"/>
      <c r="L237" s="334"/>
      <c r="M237" s="334"/>
      <c r="N237" s="335"/>
    </row>
    <row r="238" spans="1:16" ht="15" thickTop="1" x14ac:dyDescent="0.15">
      <c r="B238" s="333"/>
      <c r="N238" s="335"/>
    </row>
    <row r="239" spans="1:16" ht="27" x14ac:dyDescent="0.15">
      <c r="B239" s="333"/>
      <c r="C239" s="1135" t="str">
        <f>VLOOKUP(P239,県体学校名!$B$4:$I$19,8,FALSE)&amp;" 様"</f>
        <v>中能登町立中能登中学校 様</v>
      </c>
      <c r="D239" s="1135"/>
      <c r="E239" s="1135"/>
      <c r="F239" s="1135"/>
      <c r="G239" s="1135"/>
      <c r="H239" s="1135"/>
      <c r="I239" s="1135"/>
      <c r="M239" s="349">
        <f ca="1">$M$8</f>
        <v>45486</v>
      </c>
      <c r="N239" s="335"/>
      <c r="P239" s="258">
        <f>P218+1</f>
        <v>12</v>
      </c>
    </row>
    <row r="240" spans="1:16" ht="15" thickBot="1" x14ac:dyDescent="0.2">
      <c r="B240" s="333"/>
      <c r="E240" s="296">
        <v>6</v>
      </c>
      <c r="F240" s="296">
        <v>5</v>
      </c>
      <c r="G240" s="296">
        <v>4</v>
      </c>
      <c r="H240" s="296">
        <v>3</v>
      </c>
      <c r="I240" s="296">
        <v>2</v>
      </c>
      <c r="J240" s="296">
        <v>1</v>
      </c>
      <c r="K240" s="296">
        <v>0</v>
      </c>
      <c r="N240" s="335"/>
    </row>
    <row r="241" spans="1:21" ht="33.75" customHeight="1" thickBot="1" x14ac:dyDescent="0.2">
      <c r="B241" s="333"/>
      <c r="D241" s="337" t="s">
        <v>222</v>
      </c>
      <c r="E241" s="338" t="str">
        <f t="shared" ref="E241:K241" si="14">IF(E240&gt;=$T241,"",MID($R241,$T241-E240,1))</f>
        <v/>
      </c>
      <c r="F241" s="339" t="str">
        <f t="shared" si="14"/>
        <v/>
      </c>
      <c r="G241" s="340" t="str">
        <f t="shared" si="14"/>
        <v>1</v>
      </c>
      <c r="H241" s="341" t="str">
        <f t="shared" si="14"/>
        <v>3</v>
      </c>
      <c r="I241" s="342" t="str">
        <f t="shared" si="14"/>
        <v>5</v>
      </c>
      <c r="J241" s="340" t="str">
        <f t="shared" si="14"/>
        <v>0</v>
      </c>
      <c r="K241" s="340" t="str">
        <f t="shared" si="14"/>
        <v>0</v>
      </c>
      <c r="L241" s="343" t="s">
        <v>223</v>
      </c>
      <c r="N241" s="335"/>
      <c r="P241" s="258">
        <v>27</v>
      </c>
      <c r="Q241" s="258" t="s">
        <v>224</v>
      </c>
      <c r="R241" s="258">
        <f>P241*$P$2</f>
        <v>13500</v>
      </c>
      <c r="S241" s="258" t="s">
        <v>223</v>
      </c>
      <c r="T241" s="258">
        <f>LEN(R241)</f>
        <v>5</v>
      </c>
      <c r="U241" s="258">
        <f t="shared" ref="U241" si="15">U220</f>
        <v>0</v>
      </c>
    </row>
    <row r="242" spans="1:21" ht="22.5" customHeight="1" x14ac:dyDescent="0.2">
      <c r="B242" s="333"/>
      <c r="D242" s="344" t="s">
        <v>225</v>
      </c>
      <c r="E242" s="344"/>
      <c r="F242" s="344"/>
      <c r="G242" s="344"/>
      <c r="H242" s="344"/>
      <c r="I242" s="344"/>
      <c r="J242" s="345"/>
      <c r="K242" s="345"/>
      <c r="L242" s="345"/>
      <c r="N242" s="335"/>
    </row>
    <row r="243" spans="1:21" x14ac:dyDescent="0.15">
      <c r="B243" s="333"/>
      <c r="N243" s="335"/>
    </row>
    <row r="244" spans="1:21" x14ac:dyDescent="0.15">
      <c r="B244" s="333"/>
      <c r="D244" s="258" t="s">
        <v>226</v>
      </c>
      <c r="N244" s="335"/>
    </row>
    <row r="245" spans="1:21" x14ac:dyDescent="0.15">
      <c r="B245" s="333"/>
      <c r="N245" s="335"/>
    </row>
    <row r="246" spans="1:21" x14ac:dyDescent="0.15">
      <c r="B246" s="333"/>
      <c r="H246" s="258" t="s">
        <v>227</v>
      </c>
      <c r="N246" s="335"/>
    </row>
    <row r="247" spans="1:21" ht="24.75" x14ac:dyDescent="0.15">
      <c r="B247" s="333"/>
      <c r="K247" s="270" t="s">
        <v>228</v>
      </c>
      <c r="M247" s="1020" t="str">
        <f>$M$16</f>
        <v>山 本　悠 祐</v>
      </c>
      <c r="N247" s="1137"/>
    </row>
    <row r="248" spans="1:21" ht="26.25" customHeight="1" thickBot="1" x14ac:dyDescent="0.2">
      <c r="B248" s="346"/>
      <c r="C248" s="347"/>
      <c r="D248" s="347"/>
      <c r="E248" s="347"/>
      <c r="F248" s="347"/>
      <c r="G248" s="347"/>
      <c r="H248" s="347"/>
      <c r="I248" s="347"/>
      <c r="J248" s="347"/>
      <c r="K248" s="347"/>
      <c r="L248" s="347"/>
      <c r="M248" s="347"/>
      <c r="N248" s="348"/>
    </row>
    <row r="252" spans="1:21" x14ac:dyDescent="0.15">
      <c r="A252" s="350"/>
      <c r="O252" s="350"/>
    </row>
    <row r="253" spans="1:21" x14ac:dyDescent="0.15">
      <c r="A253" s="329"/>
      <c r="O253" s="329"/>
    </row>
    <row r="256" spans="1:21" ht="15" thickBot="1" x14ac:dyDescent="0.2"/>
    <row r="257" spans="2:21" ht="26.25" customHeight="1" x14ac:dyDescent="0.15">
      <c r="B257" s="330"/>
      <c r="C257" s="331"/>
      <c r="D257" s="331"/>
      <c r="E257" s="331"/>
      <c r="F257" s="331"/>
      <c r="G257" s="331"/>
      <c r="H257" s="331"/>
      <c r="I257" s="331"/>
      <c r="J257" s="331"/>
      <c r="K257" s="331"/>
      <c r="L257" s="331"/>
      <c r="M257" s="331"/>
      <c r="N257" s="332"/>
    </row>
    <row r="258" spans="2:21" ht="27.75" thickBot="1" x14ac:dyDescent="0.2">
      <c r="B258" s="333"/>
      <c r="C258" s="334"/>
      <c r="D258" s="334"/>
      <c r="E258" s="334"/>
      <c r="F258" s="1136" t="s">
        <v>221</v>
      </c>
      <c r="G258" s="1136"/>
      <c r="H258" s="1136"/>
      <c r="I258" s="1136"/>
      <c r="J258" s="1136"/>
      <c r="K258" s="1136"/>
      <c r="L258" s="334"/>
      <c r="M258" s="334"/>
      <c r="N258" s="335"/>
    </row>
    <row r="259" spans="2:21" ht="15" thickTop="1" x14ac:dyDescent="0.15">
      <c r="B259" s="333"/>
      <c r="N259" s="335"/>
    </row>
    <row r="260" spans="2:21" ht="27" x14ac:dyDescent="0.15">
      <c r="B260" s="333"/>
      <c r="C260" s="1135" t="str">
        <f>VLOOKUP(P260,県体学校名!$B$4:$I$19,8,FALSE)&amp;" 様"</f>
        <v>白山市立北星中学校 様</v>
      </c>
      <c r="D260" s="1135"/>
      <c r="E260" s="1135"/>
      <c r="F260" s="1135"/>
      <c r="G260" s="1135"/>
      <c r="H260" s="1135"/>
      <c r="I260" s="1135"/>
      <c r="M260" s="349">
        <f ca="1">$M$8</f>
        <v>45486</v>
      </c>
      <c r="N260" s="335"/>
      <c r="P260" s="258">
        <f>P239+1</f>
        <v>13</v>
      </c>
    </row>
    <row r="261" spans="2:21" ht="15" thickBot="1" x14ac:dyDescent="0.2">
      <c r="B261" s="333"/>
      <c r="E261" s="296">
        <v>6</v>
      </c>
      <c r="F261" s="296">
        <v>5</v>
      </c>
      <c r="G261" s="296">
        <v>4</v>
      </c>
      <c r="H261" s="296">
        <v>3</v>
      </c>
      <c r="I261" s="296">
        <v>2</v>
      </c>
      <c r="J261" s="296">
        <v>1</v>
      </c>
      <c r="K261" s="296">
        <v>0</v>
      </c>
      <c r="N261" s="335"/>
    </row>
    <row r="262" spans="2:21" ht="33.75" customHeight="1" thickBot="1" x14ac:dyDescent="0.2">
      <c r="B262" s="333"/>
      <c r="D262" s="337" t="s">
        <v>222</v>
      </c>
      <c r="E262" s="338" t="str">
        <f t="shared" ref="E262:K262" si="16">IF(E261&gt;=$T262,"",MID($R262,$T262-E261,1))</f>
        <v/>
      </c>
      <c r="F262" s="339" t="str">
        <f t="shared" si="16"/>
        <v/>
      </c>
      <c r="G262" s="340" t="str">
        <f t="shared" si="16"/>
        <v/>
      </c>
      <c r="H262" s="341" t="str">
        <f t="shared" si="16"/>
        <v>9</v>
      </c>
      <c r="I262" s="342" t="str">
        <f t="shared" si="16"/>
        <v>0</v>
      </c>
      <c r="J262" s="340" t="str">
        <f t="shared" si="16"/>
        <v>0</v>
      </c>
      <c r="K262" s="340" t="str">
        <f t="shared" si="16"/>
        <v>0</v>
      </c>
      <c r="L262" s="343" t="s">
        <v>223</v>
      </c>
      <c r="N262" s="335"/>
      <c r="P262" s="258">
        <v>18</v>
      </c>
      <c r="Q262" s="258" t="s">
        <v>224</v>
      </c>
      <c r="R262" s="258">
        <f>P262*$P$2</f>
        <v>9000</v>
      </c>
      <c r="S262" s="258" t="s">
        <v>223</v>
      </c>
      <c r="T262" s="258">
        <f>LEN(R262)</f>
        <v>4</v>
      </c>
      <c r="U262" s="258">
        <f>'県体(赤)'!AZ$63</f>
        <v>0</v>
      </c>
    </row>
    <row r="263" spans="2:21" ht="22.5" customHeight="1" x14ac:dyDescent="0.2">
      <c r="B263" s="333"/>
      <c r="D263" s="344" t="s">
        <v>225</v>
      </c>
      <c r="E263" s="344"/>
      <c r="F263" s="344"/>
      <c r="G263" s="344"/>
      <c r="H263" s="344"/>
      <c r="I263" s="344"/>
      <c r="J263" s="345"/>
      <c r="K263" s="345"/>
      <c r="L263" s="345"/>
      <c r="N263" s="335"/>
    </row>
    <row r="264" spans="2:21" x14ac:dyDescent="0.15">
      <c r="B264" s="333"/>
      <c r="N264" s="335"/>
    </row>
    <row r="265" spans="2:21" x14ac:dyDescent="0.15">
      <c r="B265" s="333"/>
      <c r="D265" s="258" t="s">
        <v>226</v>
      </c>
      <c r="N265" s="335"/>
    </row>
    <row r="266" spans="2:21" x14ac:dyDescent="0.15">
      <c r="B266" s="333"/>
      <c r="N266" s="335"/>
    </row>
    <row r="267" spans="2:21" x14ac:dyDescent="0.15">
      <c r="B267" s="333"/>
      <c r="H267" s="258" t="s">
        <v>227</v>
      </c>
      <c r="N267" s="335"/>
    </row>
    <row r="268" spans="2:21" ht="24.75" x14ac:dyDescent="0.15">
      <c r="B268" s="333"/>
      <c r="K268" s="270" t="s">
        <v>228</v>
      </c>
      <c r="M268" s="1020" t="str">
        <f>$M$16</f>
        <v>山 本　悠 祐</v>
      </c>
      <c r="N268" s="1137"/>
    </row>
    <row r="269" spans="2:21" ht="26.25" customHeight="1" thickBot="1" x14ac:dyDescent="0.2">
      <c r="B269" s="346"/>
      <c r="C269" s="347"/>
      <c r="D269" s="347"/>
      <c r="E269" s="347"/>
      <c r="F269" s="347"/>
      <c r="G269" s="347"/>
      <c r="H269" s="347"/>
      <c r="I269" s="347"/>
      <c r="J269" s="347"/>
      <c r="K269" s="347"/>
      <c r="L269" s="347"/>
      <c r="M269" s="347"/>
      <c r="N269" s="348"/>
    </row>
    <row r="274" spans="1:21" x14ac:dyDescent="0.15">
      <c r="A274" s="329"/>
      <c r="O274" s="329"/>
    </row>
    <row r="277" spans="1:21" ht="15" thickBot="1" x14ac:dyDescent="0.2"/>
    <row r="278" spans="1:21" ht="26.25" customHeight="1" x14ac:dyDescent="0.15">
      <c r="B278" s="330"/>
      <c r="C278" s="331"/>
      <c r="D278" s="331"/>
      <c r="E278" s="331"/>
      <c r="F278" s="331"/>
      <c r="G278" s="331"/>
      <c r="H278" s="331"/>
      <c r="I278" s="331"/>
      <c r="J278" s="331"/>
      <c r="K278" s="331"/>
      <c r="L278" s="331"/>
      <c r="M278" s="331"/>
      <c r="N278" s="332"/>
    </row>
    <row r="279" spans="1:21" ht="27.75" thickBot="1" x14ac:dyDescent="0.2">
      <c r="B279" s="333"/>
      <c r="C279" s="334"/>
      <c r="D279" s="334"/>
      <c r="E279" s="334"/>
      <c r="F279" s="1136" t="s">
        <v>221</v>
      </c>
      <c r="G279" s="1136"/>
      <c r="H279" s="1136"/>
      <c r="I279" s="1136"/>
      <c r="J279" s="1136"/>
      <c r="K279" s="1136"/>
      <c r="L279" s="334"/>
      <c r="M279" s="334"/>
      <c r="N279" s="335"/>
    </row>
    <row r="280" spans="1:21" ht="15" thickTop="1" x14ac:dyDescent="0.15">
      <c r="B280" s="333"/>
      <c r="N280" s="335"/>
    </row>
    <row r="281" spans="1:21" ht="27" x14ac:dyDescent="0.15">
      <c r="B281" s="333"/>
      <c r="C281" s="1135" t="str">
        <f>VLOOKUP(P281,県体学校名!$B$4:$I$19,8,FALSE)&amp;" 様"</f>
        <v>野々市市立布水中学校 様</v>
      </c>
      <c r="D281" s="1135"/>
      <c r="E281" s="1135"/>
      <c r="F281" s="1135"/>
      <c r="G281" s="1135"/>
      <c r="H281" s="1135"/>
      <c r="I281" s="1135"/>
      <c r="M281" s="349">
        <f ca="1">$M$8</f>
        <v>45486</v>
      </c>
      <c r="N281" s="335"/>
      <c r="P281" s="258">
        <f>P260+1</f>
        <v>14</v>
      </c>
    </row>
    <row r="282" spans="1:21" ht="15" thickBot="1" x14ac:dyDescent="0.2">
      <c r="B282" s="333"/>
      <c r="E282" s="296">
        <v>6</v>
      </c>
      <c r="F282" s="296">
        <v>5</v>
      </c>
      <c r="G282" s="296">
        <v>4</v>
      </c>
      <c r="H282" s="296">
        <v>3</v>
      </c>
      <c r="I282" s="296">
        <v>2</v>
      </c>
      <c r="J282" s="296">
        <v>1</v>
      </c>
      <c r="K282" s="296">
        <v>0</v>
      </c>
      <c r="N282" s="335"/>
    </row>
    <row r="283" spans="1:21" ht="33.75" customHeight="1" thickBot="1" x14ac:dyDescent="0.2">
      <c r="B283" s="333"/>
      <c r="D283" s="337" t="s">
        <v>222</v>
      </c>
      <c r="E283" s="338" t="str">
        <f t="shared" ref="E283:K283" si="17">IF(E282&gt;=$T283,"",MID($R283,$T283-E282,1))</f>
        <v/>
      </c>
      <c r="F283" s="339" t="str">
        <f t="shared" si="17"/>
        <v/>
      </c>
      <c r="G283" s="340" t="str">
        <f t="shared" si="17"/>
        <v/>
      </c>
      <c r="H283" s="341" t="str">
        <f t="shared" si="17"/>
        <v>9</v>
      </c>
      <c r="I283" s="342" t="str">
        <f t="shared" si="17"/>
        <v>0</v>
      </c>
      <c r="J283" s="340" t="str">
        <f t="shared" si="17"/>
        <v>0</v>
      </c>
      <c r="K283" s="340" t="str">
        <f t="shared" si="17"/>
        <v>0</v>
      </c>
      <c r="L283" s="343" t="s">
        <v>223</v>
      </c>
      <c r="N283" s="335"/>
      <c r="P283" s="258">
        <v>18</v>
      </c>
      <c r="Q283" s="258" t="s">
        <v>224</v>
      </c>
      <c r="R283" s="258">
        <f>P283*$P$2</f>
        <v>9000</v>
      </c>
      <c r="S283" s="258" t="s">
        <v>223</v>
      </c>
      <c r="T283" s="258">
        <f>LEN(R283)</f>
        <v>4</v>
      </c>
      <c r="U283" s="258">
        <f t="shared" ref="U283" si="18">U262</f>
        <v>0</v>
      </c>
    </row>
    <row r="284" spans="1:21" ht="22.5" customHeight="1" x14ac:dyDescent="0.2">
      <c r="B284" s="333"/>
      <c r="D284" s="344" t="s">
        <v>225</v>
      </c>
      <c r="E284" s="344"/>
      <c r="F284" s="344"/>
      <c r="G284" s="344"/>
      <c r="H284" s="344"/>
      <c r="I284" s="344"/>
      <c r="J284" s="345"/>
      <c r="K284" s="345"/>
      <c r="L284" s="345"/>
      <c r="N284" s="335"/>
    </row>
    <row r="285" spans="1:21" x14ac:dyDescent="0.15">
      <c r="B285" s="333"/>
      <c r="N285" s="335"/>
    </row>
    <row r="286" spans="1:21" x14ac:dyDescent="0.15">
      <c r="B286" s="333"/>
      <c r="D286" s="258" t="s">
        <v>226</v>
      </c>
      <c r="N286" s="335"/>
    </row>
    <row r="287" spans="1:21" x14ac:dyDescent="0.15">
      <c r="B287" s="333"/>
      <c r="N287" s="335"/>
    </row>
    <row r="288" spans="1:21" x14ac:dyDescent="0.15">
      <c r="B288" s="333"/>
      <c r="H288" s="258" t="s">
        <v>227</v>
      </c>
      <c r="N288" s="335"/>
    </row>
    <row r="289" spans="1:21" ht="24.75" x14ac:dyDescent="0.15">
      <c r="B289" s="333"/>
      <c r="K289" s="270" t="s">
        <v>228</v>
      </c>
      <c r="M289" s="1020" t="str">
        <f>$M$16</f>
        <v>山 本　悠 祐</v>
      </c>
      <c r="N289" s="1137"/>
    </row>
    <row r="290" spans="1:21" ht="26.25" customHeight="1" thickBot="1" x14ac:dyDescent="0.2">
      <c r="B290" s="346"/>
      <c r="C290" s="347"/>
      <c r="D290" s="347"/>
      <c r="E290" s="347"/>
      <c r="F290" s="347"/>
      <c r="G290" s="347"/>
      <c r="H290" s="347"/>
      <c r="I290" s="347"/>
      <c r="J290" s="347"/>
      <c r="K290" s="347"/>
      <c r="L290" s="347"/>
      <c r="M290" s="347"/>
      <c r="N290" s="348"/>
    </row>
    <row r="295" spans="1:21" x14ac:dyDescent="0.15">
      <c r="A295" s="329"/>
      <c r="O295" s="329"/>
    </row>
    <row r="298" spans="1:21" ht="15" thickBot="1" x14ac:dyDescent="0.2"/>
    <row r="299" spans="1:21" ht="26.25" customHeight="1" x14ac:dyDescent="0.15">
      <c r="B299" s="330"/>
      <c r="C299" s="331"/>
      <c r="D299" s="331"/>
      <c r="E299" s="331"/>
      <c r="F299" s="331"/>
      <c r="G299" s="331"/>
      <c r="H299" s="331"/>
      <c r="I299" s="331"/>
      <c r="J299" s="331"/>
      <c r="K299" s="331"/>
      <c r="L299" s="331"/>
      <c r="M299" s="331"/>
      <c r="N299" s="332"/>
    </row>
    <row r="300" spans="1:21" ht="27.75" thickBot="1" x14ac:dyDescent="0.2">
      <c r="B300" s="333"/>
      <c r="C300" s="334"/>
      <c r="D300" s="334"/>
      <c r="E300" s="334"/>
      <c r="F300" s="1136" t="s">
        <v>221</v>
      </c>
      <c r="G300" s="1136"/>
      <c r="H300" s="1136"/>
      <c r="I300" s="1136"/>
      <c r="J300" s="1136"/>
      <c r="K300" s="1136"/>
      <c r="L300" s="334"/>
      <c r="M300" s="334"/>
      <c r="N300" s="335"/>
    </row>
    <row r="301" spans="1:21" ht="15" thickTop="1" x14ac:dyDescent="0.15">
      <c r="B301" s="333"/>
      <c r="N301" s="335"/>
    </row>
    <row r="302" spans="1:21" ht="27" x14ac:dyDescent="0.15">
      <c r="B302" s="333"/>
      <c r="C302" s="1135" t="str">
        <f>VLOOKUP(P302,県体学校名!$B$4:$I$19,8,FALSE)&amp;" 様"</f>
        <v>金沢市立野田中学校 様</v>
      </c>
      <c r="D302" s="1135"/>
      <c r="E302" s="1135"/>
      <c r="F302" s="1135"/>
      <c r="G302" s="1135"/>
      <c r="H302" s="1135"/>
      <c r="I302" s="1135"/>
      <c r="M302" s="349">
        <f ca="1">$M$8</f>
        <v>45486</v>
      </c>
      <c r="N302" s="335"/>
      <c r="P302" s="258">
        <f>P281+1</f>
        <v>15</v>
      </c>
    </row>
    <row r="303" spans="1:21" ht="15" thickBot="1" x14ac:dyDescent="0.2">
      <c r="B303" s="333"/>
      <c r="E303" s="296">
        <v>6</v>
      </c>
      <c r="F303" s="296">
        <v>5</v>
      </c>
      <c r="G303" s="296">
        <v>4</v>
      </c>
      <c r="H303" s="296">
        <v>3</v>
      </c>
      <c r="I303" s="296">
        <v>2</v>
      </c>
      <c r="J303" s="296">
        <v>1</v>
      </c>
      <c r="K303" s="296">
        <v>0</v>
      </c>
      <c r="N303" s="335"/>
    </row>
    <row r="304" spans="1:21" ht="33.75" customHeight="1" thickBot="1" x14ac:dyDescent="0.2">
      <c r="B304" s="333"/>
      <c r="D304" s="337" t="s">
        <v>222</v>
      </c>
      <c r="E304" s="338" t="str">
        <f t="shared" ref="E304:K304" si="19">IF(E303&gt;=$T304,"",MID($R304,$T304-E303,1))</f>
        <v/>
      </c>
      <c r="F304" s="339" t="str">
        <f t="shared" si="19"/>
        <v/>
      </c>
      <c r="G304" s="340" t="str">
        <f t="shared" si="19"/>
        <v/>
      </c>
      <c r="H304" s="341" t="str">
        <f t="shared" si="19"/>
        <v>9</v>
      </c>
      <c r="I304" s="342" t="str">
        <f t="shared" si="19"/>
        <v>5</v>
      </c>
      <c r="J304" s="340" t="str">
        <f t="shared" si="19"/>
        <v>0</v>
      </c>
      <c r="K304" s="340" t="str">
        <f t="shared" si="19"/>
        <v>0</v>
      </c>
      <c r="L304" s="343" t="s">
        <v>223</v>
      </c>
      <c r="N304" s="335"/>
      <c r="P304" s="258">
        <v>19</v>
      </c>
      <c r="Q304" s="258" t="s">
        <v>224</v>
      </c>
      <c r="R304" s="258">
        <f>P304*$P$2</f>
        <v>9500</v>
      </c>
      <c r="S304" s="258" t="s">
        <v>223</v>
      </c>
      <c r="T304" s="258">
        <f>LEN(R304)</f>
        <v>4</v>
      </c>
      <c r="U304" s="258">
        <f>'県体(赤)'!BH$63</f>
        <v>0</v>
      </c>
    </row>
    <row r="305" spans="1:15" ht="22.5" customHeight="1" x14ac:dyDescent="0.2">
      <c r="B305" s="333"/>
      <c r="D305" s="344" t="s">
        <v>225</v>
      </c>
      <c r="E305" s="344"/>
      <c r="F305" s="344"/>
      <c r="G305" s="344"/>
      <c r="H305" s="344"/>
      <c r="I305" s="344"/>
      <c r="J305" s="345"/>
      <c r="K305" s="345"/>
      <c r="L305" s="345"/>
      <c r="N305" s="335"/>
    </row>
    <row r="306" spans="1:15" x14ac:dyDescent="0.15">
      <c r="B306" s="333"/>
      <c r="N306" s="335"/>
    </row>
    <row r="307" spans="1:15" x14ac:dyDescent="0.15">
      <c r="B307" s="333"/>
      <c r="D307" s="258" t="s">
        <v>226</v>
      </c>
      <c r="N307" s="335"/>
    </row>
    <row r="308" spans="1:15" x14ac:dyDescent="0.15">
      <c r="B308" s="333"/>
      <c r="N308" s="335"/>
    </row>
    <row r="309" spans="1:15" x14ac:dyDescent="0.15">
      <c r="B309" s="333"/>
      <c r="H309" s="258" t="s">
        <v>227</v>
      </c>
      <c r="N309" s="335"/>
    </row>
    <row r="310" spans="1:15" ht="24.75" x14ac:dyDescent="0.15">
      <c r="B310" s="333"/>
      <c r="K310" s="270" t="s">
        <v>228</v>
      </c>
      <c r="M310" s="1020" t="str">
        <f>$M$16</f>
        <v>山 本　悠 祐</v>
      </c>
      <c r="N310" s="1137"/>
    </row>
    <row r="311" spans="1:15" ht="26.25" customHeight="1" thickBot="1" x14ac:dyDescent="0.2">
      <c r="B311" s="346"/>
      <c r="C311" s="347"/>
      <c r="D311" s="347"/>
      <c r="E311" s="347"/>
      <c r="F311" s="347"/>
      <c r="G311" s="347"/>
      <c r="H311" s="347"/>
      <c r="I311" s="347"/>
      <c r="J311" s="347"/>
      <c r="K311" s="347"/>
      <c r="L311" s="347"/>
      <c r="M311" s="347"/>
      <c r="N311" s="348"/>
    </row>
    <row r="315" spans="1:15" x14ac:dyDescent="0.15">
      <c r="A315" s="350"/>
      <c r="O315" s="350"/>
    </row>
    <row r="316" spans="1:15" x14ac:dyDescent="0.15">
      <c r="A316" s="329"/>
      <c r="O316" s="329"/>
    </row>
    <row r="319" spans="1:15" ht="15" thickBot="1" x14ac:dyDescent="0.2"/>
    <row r="320" spans="1:15" ht="26.25" customHeight="1" x14ac:dyDescent="0.15">
      <c r="B320" s="330"/>
      <c r="C320" s="331"/>
      <c r="D320" s="331"/>
      <c r="E320" s="331"/>
      <c r="F320" s="331"/>
      <c r="G320" s="331"/>
      <c r="H320" s="331"/>
      <c r="I320" s="331"/>
      <c r="J320" s="331"/>
      <c r="K320" s="331"/>
      <c r="L320" s="331"/>
      <c r="M320" s="331"/>
      <c r="N320" s="332"/>
    </row>
    <row r="321" spans="2:21" ht="27.75" thickBot="1" x14ac:dyDescent="0.2">
      <c r="B321" s="333"/>
      <c r="C321" s="334"/>
      <c r="D321" s="334"/>
      <c r="E321" s="334"/>
      <c r="F321" s="1136" t="s">
        <v>221</v>
      </c>
      <c r="G321" s="1136"/>
      <c r="H321" s="1136"/>
      <c r="I321" s="1136"/>
      <c r="J321" s="1136"/>
      <c r="K321" s="1136"/>
      <c r="L321" s="334"/>
      <c r="M321" s="334"/>
      <c r="N321" s="335"/>
    </row>
    <row r="322" spans="2:21" ht="15" thickTop="1" x14ac:dyDescent="0.15">
      <c r="B322" s="333"/>
      <c r="N322" s="335"/>
    </row>
    <row r="323" spans="2:21" ht="27" x14ac:dyDescent="0.15">
      <c r="B323" s="333"/>
      <c r="C323" s="1135" t="str">
        <f>VLOOKUP(P323,県体学校名!$B$4:$I$19,8,FALSE)&amp;" 様"</f>
        <v>白山市立松任中学校 様</v>
      </c>
      <c r="D323" s="1135"/>
      <c r="E323" s="1135"/>
      <c r="F323" s="1135"/>
      <c r="G323" s="1135"/>
      <c r="H323" s="1135"/>
      <c r="I323" s="1135"/>
      <c r="M323" s="349">
        <f ca="1">$M$8</f>
        <v>45486</v>
      </c>
      <c r="N323" s="335"/>
      <c r="P323" s="258">
        <f>P302+1</f>
        <v>16</v>
      </c>
    </row>
    <row r="324" spans="2:21" ht="15" thickBot="1" x14ac:dyDescent="0.2">
      <c r="B324" s="333"/>
      <c r="E324" s="296">
        <v>6</v>
      </c>
      <c r="F324" s="296">
        <v>5</v>
      </c>
      <c r="G324" s="296">
        <v>4</v>
      </c>
      <c r="H324" s="296">
        <v>3</v>
      </c>
      <c r="I324" s="296">
        <v>2</v>
      </c>
      <c r="J324" s="296">
        <v>1</v>
      </c>
      <c r="K324" s="296">
        <v>0</v>
      </c>
      <c r="N324" s="335"/>
    </row>
    <row r="325" spans="2:21" ht="33.75" customHeight="1" thickBot="1" x14ac:dyDescent="0.2">
      <c r="B325" s="333"/>
      <c r="D325" s="337" t="s">
        <v>222</v>
      </c>
      <c r="E325" s="338" t="str">
        <f t="shared" ref="E325:K325" si="20">IF(E324&gt;=$T325,"",MID($R325,$T325-E324,1))</f>
        <v/>
      </c>
      <c r="F325" s="339" t="str">
        <f t="shared" si="20"/>
        <v/>
      </c>
      <c r="G325" s="340" t="str">
        <f t="shared" si="20"/>
        <v/>
      </c>
      <c r="H325" s="341" t="str">
        <f t="shared" si="20"/>
        <v>9</v>
      </c>
      <c r="I325" s="342" t="str">
        <f t="shared" si="20"/>
        <v>0</v>
      </c>
      <c r="J325" s="340" t="str">
        <f t="shared" si="20"/>
        <v>0</v>
      </c>
      <c r="K325" s="340" t="str">
        <f t="shared" si="20"/>
        <v>0</v>
      </c>
      <c r="L325" s="343" t="s">
        <v>223</v>
      </c>
      <c r="N325" s="335"/>
      <c r="P325" s="258">
        <v>18</v>
      </c>
      <c r="Q325" s="258" t="s">
        <v>224</v>
      </c>
      <c r="R325" s="258">
        <f>P325*$P$2</f>
        <v>9000</v>
      </c>
      <c r="S325" s="258" t="s">
        <v>223</v>
      </c>
      <c r="T325" s="258">
        <f>LEN(R325)</f>
        <v>4</v>
      </c>
      <c r="U325" s="258">
        <f t="shared" ref="U325" si="21">U304</f>
        <v>0</v>
      </c>
    </row>
    <row r="326" spans="2:21" ht="22.5" customHeight="1" x14ac:dyDescent="0.2">
      <c r="B326" s="333"/>
      <c r="D326" s="344" t="s">
        <v>225</v>
      </c>
      <c r="E326" s="344"/>
      <c r="F326" s="344"/>
      <c r="G326" s="344"/>
      <c r="H326" s="344"/>
      <c r="I326" s="344"/>
      <c r="J326" s="345"/>
      <c r="K326" s="345"/>
      <c r="L326" s="345"/>
      <c r="N326" s="335"/>
    </row>
    <row r="327" spans="2:21" x14ac:dyDescent="0.15">
      <c r="B327" s="333"/>
      <c r="N327" s="335"/>
    </row>
    <row r="328" spans="2:21" x14ac:dyDescent="0.15">
      <c r="B328" s="333"/>
      <c r="D328" s="258" t="s">
        <v>226</v>
      </c>
      <c r="N328" s="335"/>
    </row>
    <row r="329" spans="2:21" x14ac:dyDescent="0.15">
      <c r="B329" s="333"/>
      <c r="N329" s="335"/>
    </row>
    <row r="330" spans="2:21" x14ac:dyDescent="0.15">
      <c r="B330" s="333"/>
      <c r="H330" s="258" t="s">
        <v>227</v>
      </c>
      <c r="N330" s="335"/>
    </row>
    <row r="331" spans="2:21" ht="24.75" x14ac:dyDescent="0.15">
      <c r="B331" s="333"/>
      <c r="K331" s="270" t="s">
        <v>228</v>
      </c>
      <c r="M331" s="1020" t="str">
        <f>$M$16</f>
        <v>山 本　悠 祐</v>
      </c>
      <c r="N331" s="1137"/>
    </row>
    <row r="332" spans="2:21" ht="26.25" customHeight="1" thickBot="1" x14ac:dyDescent="0.2">
      <c r="B332" s="346"/>
      <c r="C332" s="347"/>
      <c r="D332" s="347"/>
      <c r="E332" s="347"/>
      <c r="F332" s="347"/>
      <c r="G332" s="347"/>
      <c r="H332" s="347"/>
      <c r="I332" s="347"/>
      <c r="J332" s="347"/>
      <c r="K332" s="347"/>
      <c r="L332" s="347"/>
      <c r="M332" s="347"/>
      <c r="N332" s="348"/>
    </row>
    <row r="337" spans="1:16" x14ac:dyDescent="0.15">
      <c r="A337" s="329"/>
      <c r="O337" s="329"/>
    </row>
    <row r="340" spans="1:16" ht="15" thickBot="1" x14ac:dyDescent="0.2"/>
    <row r="341" spans="1:16" ht="26.25" customHeight="1" x14ac:dyDescent="0.15">
      <c r="B341" s="330"/>
      <c r="C341" s="331"/>
      <c r="D341" s="331"/>
      <c r="E341" s="331"/>
      <c r="F341" s="331"/>
      <c r="G341" s="331"/>
      <c r="H341" s="331"/>
      <c r="I341" s="331"/>
      <c r="J341" s="331"/>
      <c r="K341" s="331"/>
      <c r="L341" s="331"/>
      <c r="M341" s="331"/>
      <c r="N341" s="332"/>
    </row>
    <row r="342" spans="1:16" ht="27.75" thickBot="1" x14ac:dyDescent="0.2">
      <c r="B342" s="333"/>
      <c r="C342" s="334"/>
      <c r="D342" s="334"/>
      <c r="E342" s="334"/>
      <c r="F342" s="1136" t="s">
        <v>221</v>
      </c>
      <c r="G342" s="1136"/>
      <c r="H342" s="1136"/>
      <c r="I342" s="1136"/>
      <c r="J342" s="1136"/>
      <c r="K342" s="1136"/>
      <c r="L342" s="334"/>
      <c r="M342" s="334"/>
      <c r="N342" s="335"/>
    </row>
    <row r="343" spans="1:16" ht="15" thickTop="1" x14ac:dyDescent="0.15">
      <c r="B343" s="333"/>
      <c r="N343" s="335"/>
    </row>
    <row r="344" spans="1:16" ht="27" x14ac:dyDescent="0.15">
      <c r="B344" s="333"/>
      <c r="C344" s="1135" t="e">
        <f>VLOOKUP(P344,県体学校名!$B$4:$I$19,8,FALSE)&amp;" 様"</f>
        <v>#N/A</v>
      </c>
      <c r="D344" s="1135"/>
      <c r="E344" s="1135"/>
      <c r="F344" s="1135"/>
      <c r="G344" s="1135"/>
      <c r="H344" s="1135"/>
      <c r="I344" s="1135"/>
      <c r="M344" s="349">
        <f ca="1">$M$8</f>
        <v>45486</v>
      </c>
      <c r="N344" s="335"/>
      <c r="P344" s="258">
        <f>P323+1</f>
        <v>17</v>
      </c>
    </row>
    <row r="345" spans="1:16" ht="15" thickBot="1" x14ac:dyDescent="0.2">
      <c r="B345" s="333"/>
      <c r="N345" s="335"/>
    </row>
    <row r="346" spans="1:16" ht="33.75" customHeight="1" thickBot="1" x14ac:dyDescent="0.2">
      <c r="B346" s="333"/>
      <c r="D346" s="337" t="s">
        <v>222</v>
      </c>
      <c r="E346" s="338"/>
      <c r="F346" s="339"/>
      <c r="G346" s="340"/>
      <c r="H346" s="341">
        <v>3</v>
      </c>
      <c r="I346" s="342">
        <v>4</v>
      </c>
      <c r="J346" s="340">
        <v>0</v>
      </c>
      <c r="K346" s="340">
        <v>0</v>
      </c>
      <c r="L346" s="343" t="s">
        <v>223</v>
      </c>
      <c r="N346" s="335"/>
    </row>
    <row r="347" spans="1:16" ht="22.5" customHeight="1" x14ac:dyDescent="0.2">
      <c r="B347" s="333"/>
      <c r="D347" s="344" t="s">
        <v>225</v>
      </c>
      <c r="E347" s="344"/>
      <c r="F347" s="344"/>
      <c r="G347" s="344"/>
      <c r="H347" s="344"/>
      <c r="I347" s="344"/>
      <c r="J347" s="345"/>
      <c r="K347" s="345"/>
      <c r="L347" s="345"/>
      <c r="N347" s="335"/>
    </row>
    <row r="348" spans="1:16" x14ac:dyDescent="0.15">
      <c r="B348" s="333"/>
      <c r="N348" s="335"/>
    </row>
    <row r="349" spans="1:16" x14ac:dyDescent="0.15">
      <c r="B349" s="333"/>
      <c r="D349" s="258" t="s">
        <v>226</v>
      </c>
      <c r="N349" s="335"/>
    </row>
    <row r="350" spans="1:16" x14ac:dyDescent="0.15">
      <c r="B350" s="333"/>
      <c r="N350" s="335"/>
    </row>
    <row r="351" spans="1:16" x14ac:dyDescent="0.15">
      <c r="B351" s="333"/>
      <c r="H351" s="258" t="s">
        <v>227</v>
      </c>
      <c r="N351" s="335"/>
    </row>
    <row r="352" spans="1:16" ht="24.75" x14ac:dyDescent="0.15">
      <c r="B352" s="333"/>
      <c r="K352" s="270" t="s">
        <v>228</v>
      </c>
      <c r="M352" s="1020" t="str">
        <f>$M$16</f>
        <v>山 本　悠 祐</v>
      </c>
      <c r="N352" s="1137"/>
    </row>
    <row r="353" spans="1:16" ht="26.25" customHeight="1" thickBot="1" x14ac:dyDescent="0.2">
      <c r="B353" s="346"/>
      <c r="C353" s="347"/>
      <c r="D353" s="347"/>
      <c r="E353" s="347"/>
      <c r="F353" s="347"/>
      <c r="G353" s="347"/>
      <c r="H353" s="347"/>
      <c r="I353" s="347"/>
      <c r="J353" s="347"/>
      <c r="K353" s="347"/>
      <c r="L353" s="347"/>
      <c r="M353" s="347"/>
      <c r="N353" s="348"/>
    </row>
    <row r="358" spans="1:16" x14ac:dyDescent="0.15">
      <c r="A358" s="329"/>
      <c r="O358" s="329"/>
    </row>
    <row r="361" spans="1:16" ht="15" thickBot="1" x14ac:dyDescent="0.2"/>
    <row r="362" spans="1:16" ht="26.25" customHeight="1" x14ac:dyDescent="0.15">
      <c r="B362" s="330"/>
      <c r="C362" s="331"/>
      <c r="D362" s="331"/>
      <c r="E362" s="331"/>
      <c r="F362" s="331"/>
      <c r="G362" s="331"/>
      <c r="H362" s="331"/>
      <c r="I362" s="331"/>
      <c r="J362" s="331"/>
      <c r="K362" s="331"/>
      <c r="L362" s="331"/>
      <c r="M362" s="331"/>
      <c r="N362" s="332"/>
    </row>
    <row r="363" spans="1:16" ht="27.75" thickBot="1" x14ac:dyDescent="0.2">
      <c r="B363" s="333"/>
      <c r="C363" s="334"/>
      <c r="D363" s="334"/>
      <c r="E363" s="334"/>
      <c r="F363" s="1136" t="s">
        <v>221</v>
      </c>
      <c r="G363" s="1136"/>
      <c r="H363" s="1136"/>
      <c r="I363" s="1136"/>
      <c r="J363" s="1136"/>
      <c r="K363" s="1136"/>
      <c r="L363" s="334"/>
      <c r="M363" s="334"/>
      <c r="N363" s="335"/>
    </row>
    <row r="364" spans="1:16" ht="15" thickTop="1" x14ac:dyDescent="0.15">
      <c r="B364" s="333"/>
      <c r="N364" s="335"/>
    </row>
    <row r="365" spans="1:16" ht="27" x14ac:dyDescent="0.15">
      <c r="B365" s="333"/>
      <c r="C365" s="1135" t="e">
        <f>VLOOKUP(P365,県体学校名!$B$4:$I$19,8,FALSE)&amp;" 様"</f>
        <v>#N/A</v>
      </c>
      <c r="D365" s="1135"/>
      <c r="E365" s="1135"/>
      <c r="F365" s="1135"/>
      <c r="G365" s="1135"/>
      <c r="H365" s="1135"/>
      <c r="I365" s="1135"/>
      <c r="M365" s="349">
        <f ca="1">$M$8</f>
        <v>45486</v>
      </c>
      <c r="N365" s="335"/>
      <c r="P365" s="258">
        <f>P344+1</f>
        <v>18</v>
      </c>
    </row>
    <row r="366" spans="1:16" ht="15" thickBot="1" x14ac:dyDescent="0.2">
      <c r="B366" s="333"/>
      <c r="N366" s="335"/>
    </row>
    <row r="367" spans="1:16" ht="33.75" customHeight="1" thickBot="1" x14ac:dyDescent="0.2">
      <c r="B367" s="333"/>
      <c r="D367" s="337" t="s">
        <v>222</v>
      </c>
      <c r="E367" s="338"/>
      <c r="F367" s="339"/>
      <c r="G367" s="340"/>
      <c r="H367" s="341">
        <v>4</v>
      </c>
      <c r="I367" s="342">
        <v>0</v>
      </c>
      <c r="J367" s="340">
        <v>0</v>
      </c>
      <c r="K367" s="340">
        <v>0</v>
      </c>
      <c r="L367" s="343" t="s">
        <v>223</v>
      </c>
      <c r="N367" s="335"/>
    </row>
    <row r="368" spans="1:16" ht="22.5" customHeight="1" x14ac:dyDescent="0.2">
      <c r="B368" s="333"/>
      <c r="D368" s="344" t="s">
        <v>225</v>
      </c>
      <c r="E368" s="344"/>
      <c r="F368" s="344"/>
      <c r="G368" s="344"/>
      <c r="H368" s="344"/>
      <c r="I368" s="344"/>
      <c r="J368" s="345"/>
      <c r="K368" s="345"/>
      <c r="L368" s="345"/>
      <c r="N368" s="335"/>
    </row>
    <row r="369" spans="1:15" x14ac:dyDescent="0.15">
      <c r="B369" s="333"/>
      <c r="N369" s="335"/>
    </row>
    <row r="370" spans="1:15" x14ac:dyDescent="0.15">
      <c r="B370" s="333"/>
      <c r="D370" s="258" t="s">
        <v>226</v>
      </c>
      <c r="N370" s="335"/>
    </row>
    <row r="371" spans="1:15" x14ac:dyDescent="0.15">
      <c r="B371" s="333"/>
      <c r="N371" s="335"/>
    </row>
    <row r="372" spans="1:15" x14ac:dyDescent="0.15">
      <c r="B372" s="333"/>
      <c r="H372" s="258" t="s">
        <v>227</v>
      </c>
      <c r="N372" s="335"/>
    </row>
    <row r="373" spans="1:15" ht="24.75" x14ac:dyDescent="0.15">
      <c r="B373" s="333"/>
      <c r="K373" s="270" t="s">
        <v>228</v>
      </c>
      <c r="M373" s="1020" t="str">
        <f>$M$16</f>
        <v>山 本　悠 祐</v>
      </c>
      <c r="N373" s="1137"/>
    </row>
    <row r="374" spans="1:15" ht="26.25" customHeight="1" thickBot="1" x14ac:dyDescent="0.2">
      <c r="B374" s="346"/>
      <c r="C374" s="347"/>
      <c r="D374" s="347"/>
      <c r="E374" s="347"/>
      <c r="F374" s="347"/>
      <c r="G374" s="347"/>
      <c r="H374" s="347"/>
      <c r="I374" s="347"/>
      <c r="J374" s="347"/>
      <c r="K374" s="347"/>
      <c r="L374" s="347"/>
      <c r="M374" s="347"/>
      <c r="N374" s="348"/>
    </row>
    <row r="378" spans="1:15" x14ac:dyDescent="0.15">
      <c r="A378" s="350"/>
      <c r="O378" s="350"/>
    </row>
  </sheetData>
  <mergeCells count="54">
    <mergeCell ref="M331:N331"/>
    <mergeCell ref="M352:N352"/>
    <mergeCell ref="M373:N373"/>
    <mergeCell ref="M226:N226"/>
    <mergeCell ref="M247:N247"/>
    <mergeCell ref="M268:N268"/>
    <mergeCell ref="M289:N289"/>
    <mergeCell ref="M310:N310"/>
    <mergeCell ref="M121:N121"/>
    <mergeCell ref="M142:N142"/>
    <mergeCell ref="M163:N163"/>
    <mergeCell ref="M184:N184"/>
    <mergeCell ref="M205:N205"/>
    <mergeCell ref="M16:N16"/>
    <mergeCell ref="M37:N37"/>
    <mergeCell ref="M58:N58"/>
    <mergeCell ref="M79:N79"/>
    <mergeCell ref="M100:N100"/>
    <mergeCell ref="C365:I365"/>
    <mergeCell ref="F258:K258"/>
    <mergeCell ref="C260:I260"/>
    <mergeCell ref="F279:K279"/>
    <mergeCell ref="C281:I281"/>
    <mergeCell ref="F300:K300"/>
    <mergeCell ref="C302:I302"/>
    <mergeCell ref="F321:K321"/>
    <mergeCell ref="C323:I323"/>
    <mergeCell ref="F342:K342"/>
    <mergeCell ref="C344:I344"/>
    <mergeCell ref="F363:K363"/>
    <mergeCell ref="C239:I239"/>
    <mergeCell ref="F132:K132"/>
    <mergeCell ref="C134:I134"/>
    <mergeCell ref="F153:K153"/>
    <mergeCell ref="C155:I155"/>
    <mergeCell ref="F174:K174"/>
    <mergeCell ref="C176:I176"/>
    <mergeCell ref="F195:K195"/>
    <mergeCell ref="C197:I197"/>
    <mergeCell ref="F216:K216"/>
    <mergeCell ref="C218:I218"/>
    <mergeCell ref="F237:K237"/>
    <mergeCell ref="C113:I113"/>
    <mergeCell ref="F6:K6"/>
    <mergeCell ref="C8:I8"/>
    <mergeCell ref="F27:K27"/>
    <mergeCell ref="C29:I29"/>
    <mergeCell ref="F48:K48"/>
    <mergeCell ref="C50:I50"/>
    <mergeCell ref="F69:K69"/>
    <mergeCell ref="C71:I71"/>
    <mergeCell ref="F90:K90"/>
    <mergeCell ref="C92:I92"/>
    <mergeCell ref="F111:K111"/>
  </mergeCells>
  <phoneticPr fontId="2"/>
  <printOptions horizontalCentered="1" verticalCentered="1"/>
  <pageMargins left="0" right="0" top="0" bottom="0" header="0.31496062992125984" footer="0.31496062992125984"/>
  <pageSetup paperSize="9" scale="79" fitToHeight="6" orientation="portrait" r:id="rId1"/>
  <rowBreaks count="5" manualBreakCount="5">
    <brk id="63" max="14" man="1"/>
    <brk id="126" max="14" man="1"/>
    <brk id="189" max="14" man="1"/>
    <brk id="252" max="14" man="1"/>
    <brk id="315" max="1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J52"/>
  <sheetViews>
    <sheetView view="pageBreakPreview" zoomScaleSheetLayoutView="100" workbookViewId="0">
      <selection activeCell="G10" sqref="G10"/>
    </sheetView>
  </sheetViews>
  <sheetFormatPr defaultColWidth="2.375" defaultRowHeight="15.6" customHeight="1" x14ac:dyDescent="0.15"/>
  <cols>
    <col min="1" max="1" width="4.625" customWidth="1"/>
    <col min="2" max="2" width="15" customWidth="1"/>
    <col min="3" max="3" width="9.125" bestFit="1" customWidth="1"/>
    <col min="4" max="4" width="4" bestFit="1" customWidth="1"/>
    <col min="5" max="6" width="10" customWidth="1"/>
    <col min="7" max="7" width="11.875" customWidth="1"/>
    <col min="8" max="8" width="4.125" bestFit="1" customWidth="1"/>
    <col min="9" max="9" width="5.875" customWidth="1"/>
    <col min="10" max="10" width="13.875" customWidth="1"/>
  </cols>
  <sheetData>
    <row r="1" spans="1:10" ht="18.75" x14ac:dyDescent="0.15">
      <c r="B1" s="3"/>
      <c r="C1" s="1142" t="s">
        <v>230</v>
      </c>
      <c r="D1" s="1143"/>
      <c r="E1" s="1143"/>
      <c r="F1" s="1143"/>
      <c r="G1" s="1143"/>
      <c r="H1" s="1144"/>
      <c r="I1" s="3"/>
      <c r="J1" s="3"/>
    </row>
    <row r="2" spans="1:10" ht="9" customHeight="1" x14ac:dyDescent="0.15"/>
    <row r="3" spans="1:10" ht="17.25" customHeight="1" x14ac:dyDescent="0.15">
      <c r="G3" s="4" t="s">
        <v>231</v>
      </c>
      <c r="H3" s="1145"/>
      <c r="I3" s="1145"/>
      <c r="J3" s="1145"/>
    </row>
    <row r="4" spans="1:10" ht="9" customHeight="1" x14ac:dyDescent="0.15"/>
    <row r="5" spans="1:10" ht="22.5" customHeight="1" x14ac:dyDescent="0.15">
      <c r="B5" s="1" t="s">
        <v>232</v>
      </c>
      <c r="C5" s="1146" t="str">
        <f ca="1">"令和"&amp;YEAR(NOW())-2018&amp;"年度 第"&amp;YEAR(NOW())-1962&amp;"回 石川県中学校サッカー大会 "</f>
        <v xml:space="preserve">令和6年度 第62回 石川県中学校サッカー大会 </v>
      </c>
      <c r="D5" s="1146"/>
      <c r="E5" s="1146"/>
      <c r="F5" s="1146"/>
      <c r="G5" s="1146"/>
      <c r="H5" s="1146"/>
      <c r="I5" s="1146"/>
      <c r="J5" s="1146"/>
    </row>
    <row r="6" spans="1:10" ht="9" customHeight="1" x14ac:dyDescent="0.15">
      <c r="H6" s="1147" t="s">
        <v>233</v>
      </c>
      <c r="I6" s="1147"/>
      <c r="J6" s="1147"/>
    </row>
    <row r="7" spans="1:10" ht="17.25" customHeight="1" x14ac:dyDescent="0.15">
      <c r="A7" s="1149" t="s">
        <v>234</v>
      </c>
      <c r="B7" s="1150"/>
      <c r="H7" s="1148"/>
      <c r="I7" s="1148"/>
      <c r="J7" s="1148"/>
    </row>
    <row r="8" spans="1:10" ht="3.75" customHeight="1" thickBot="1" x14ac:dyDescent="0.2"/>
    <row r="9" spans="1:10" ht="17.25" customHeight="1" x14ac:dyDescent="0.15">
      <c r="A9" s="1138" t="s">
        <v>235</v>
      </c>
      <c r="B9" s="1139"/>
      <c r="C9" s="1187">
        <f ca="1">'県体(赤)'!A33</f>
        <v>45487</v>
      </c>
      <c r="D9" s="1188"/>
      <c r="E9" s="1188"/>
      <c r="F9" s="5" t="str">
        <f ca="1">'県体(赤)'!B33</f>
        <v>(日)</v>
      </c>
      <c r="G9" s="597">
        <f>'県体(赤)'!Q35</f>
        <v>0.60416666666666663</v>
      </c>
      <c r="H9" s="1140" t="s">
        <v>236</v>
      </c>
      <c r="I9" s="1140"/>
      <c r="J9" s="1141"/>
    </row>
    <row r="10" spans="1:10" ht="26.25" customHeight="1" x14ac:dyDescent="0.15">
      <c r="A10" s="1156" t="s">
        <v>237</v>
      </c>
      <c r="B10" s="1157"/>
      <c r="C10" s="6" t="s">
        <v>238</v>
      </c>
      <c r="D10" s="7" t="s">
        <v>239</v>
      </c>
      <c r="E10" s="1160" t="str">
        <f>IF('県体(赤)'!F28="","",VLOOKUP('県体(赤)'!F28,県体学校名!$C$4:$I$19,7,FALSE))</f>
        <v/>
      </c>
      <c r="F10" s="1160"/>
      <c r="G10" s="2" t="s">
        <v>240</v>
      </c>
      <c r="H10" s="8" t="s">
        <v>241</v>
      </c>
      <c r="I10" s="1160" t="str">
        <f>IF('県体(赤)'!Z28="","",VLOOKUP('県体(赤)'!Z28,県体学校名!$C$4:$I$19,7,FALSE))</f>
        <v/>
      </c>
      <c r="J10" s="1161"/>
    </row>
    <row r="11" spans="1:10" ht="17.25" customHeight="1" x14ac:dyDescent="0.15">
      <c r="A11" s="1156"/>
      <c r="B11" s="1157"/>
      <c r="C11" s="1162" t="s">
        <v>242</v>
      </c>
      <c r="D11" s="1162"/>
      <c r="E11" s="1162"/>
      <c r="F11" s="9"/>
      <c r="G11" s="10" t="s">
        <v>243</v>
      </c>
      <c r="H11" s="1164"/>
      <c r="I11" s="1164"/>
      <c r="J11" s="1165"/>
    </row>
    <row r="12" spans="1:10" ht="17.25" customHeight="1" x14ac:dyDescent="0.15">
      <c r="A12" s="1156"/>
      <c r="B12" s="1157"/>
      <c r="C12" s="1162"/>
      <c r="D12" s="1162"/>
      <c r="E12" s="1162"/>
      <c r="F12" s="11"/>
      <c r="G12" s="12" t="s">
        <v>244</v>
      </c>
      <c r="H12" s="1167"/>
      <c r="I12" s="1167"/>
      <c r="J12" s="1165"/>
    </row>
    <row r="13" spans="1:10" ht="17.25" customHeight="1" x14ac:dyDescent="0.15">
      <c r="A13" s="1156"/>
      <c r="B13" s="1157"/>
      <c r="C13" s="1162"/>
      <c r="D13" s="1162"/>
      <c r="E13" s="1162"/>
      <c r="F13" s="9"/>
      <c r="G13" s="10" t="s">
        <v>245</v>
      </c>
      <c r="H13" s="1164"/>
      <c r="I13" s="1164"/>
      <c r="J13" s="1165"/>
    </row>
    <row r="14" spans="1:10" ht="17.25" customHeight="1" x14ac:dyDescent="0.15">
      <c r="A14" s="1156"/>
      <c r="B14" s="1157"/>
      <c r="C14" s="1162"/>
      <c r="D14" s="1162"/>
      <c r="E14" s="1162"/>
      <c r="F14" s="11"/>
      <c r="G14" s="12" t="s">
        <v>246</v>
      </c>
      <c r="H14" s="1167"/>
      <c r="I14" s="1167"/>
      <c r="J14" s="1165"/>
    </row>
    <row r="15" spans="1:10" ht="17.25" customHeight="1" x14ac:dyDescent="0.15">
      <c r="A15" s="1156"/>
      <c r="B15" s="1157"/>
      <c r="C15" s="1162"/>
      <c r="D15" s="1162"/>
      <c r="E15" s="1162"/>
      <c r="F15" s="9"/>
      <c r="G15" s="10"/>
      <c r="H15" s="1164"/>
      <c r="I15" s="1164"/>
      <c r="J15" s="1165"/>
    </row>
    <row r="16" spans="1:10" ht="17.25" customHeight="1" x14ac:dyDescent="0.15">
      <c r="A16" s="1156"/>
      <c r="B16" s="1157"/>
      <c r="C16" s="1162"/>
      <c r="D16" s="1162"/>
      <c r="E16" s="1162"/>
      <c r="F16" s="11"/>
      <c r="G16" s="12"/>
      <c r="H16" s="1167"/>
      <c r="I16" s="1167"/>
      <c r="J16" s="1165"/>
    </row>
    <row r="17" spans="1:10" ht="17.25" customHeight="1" x14ac:dyDescent="0.15">
      <c r="A17" s="1158"/>
      <c r="B17" s="1159"/>
      <c r="C17" s="1163"/>
      <c r="D17" s="1163"/>
      <c r="E17" s="1163"/>
      <c r="F17" s="14"/>
      <c r="G17" s="13" t="s">
        <v>247</v>
      </c>
      <c r="H17" s="1163"/>
      <c r="I17" s="1163"/>
      <c r="J17" s="1166"/>
    </row>
    <row r="18" spans="1:10" ht="17.25" customHeight="1" thickBot="1" x14ac:dyDescent="0.2">
      <c r="A18" s="1151" t="s">
        <v>248</v>
      </c>
      <c r="B18" s="1152"/>
      <c r="C18" s="1153" t="str">
        <f>'県体(赤)'!BQ16</f>
        <v>スカイパークこまつ翼 A</v>
      </c>
      <c r="D18" s="1154"/>
      <c r="E18" s="1154"/>
      <c r="F18" s="1154"/>
      <c r="G18" s="1154"/>
      <c r="H18" s="1154"/>
      <c r="I18" s="1154"/>
      <c r="J18" s="1155"/>
    </row>
    <row r="19" spans="1:10" ht="9" customHeight="1" x14ac:dyDescent="0.15"/>
    <row r="20" spans="1:10" ht="17.25" customHeight="1" x14ac:dyDescent="0.15">
      <c r="A20" s="1149" t="s">
        <v>249</v>
      </c>
      <c r="B20" s="1150"/>
    </row>
    <row r="21" spans="1:10" ht="3.75" customHeight="1" thickBot="1" x14ac:dyDescent="0.2"/>
    <row r="22" spans="1:10" ht="17.25" customHeight="1" x14ac:dyDescent="0.15">
      <c r="A22" s="1168" t="s">
        <v>250</v>
      </c>
      <c r="B22" s="1169"/>
      <c r="C22" s="1170" t="s">
        <v>251</v>
      </c>
      <c r="D22" s="1170"/>
      <c r="E22" s="1170"/>
      <c r="F22" s="1170"/>
      <c r="G22" s="1170"/>
      <c r="H22" s="1170"/>
      <c r="I22" s="1170"/>
      <c r="J22" s="1171"/>
    </row>
    <row r="23" spans="1:10" ht="17.25" customHeight="1" x14ac:dyDescent="0.15">
      <c r="A23" s="1172" t="s">
        <v>252</v>
      </c>
      <c r="B23" s="1173"/>
      <c r="C23" s="1174" t="s">
        <v>251</v>
      </c>
      <c r="D23" s="1175"/>
      <c r="E23" s="1175"/>
      <c r="F23" s="1175"/>
      <c r="G23" s="1175"/>
      <c r="H23" s="1175"/>
      <c r="I23" s="1175"/>
      <c r="J23" s="1176"/>
    </row>
    <row r="24" spans="1:10" ht="17.25" customHeight="1" x14ac:dyDescent="0.15">
      <c r="A24" s="1172" t="s">
        <v>253</v>
      </c>
      <c r="B24" s="1173"/>
      <c r="C24" s="1174" t="s">
        <v>251</v>
      </c>
      <c r="D24" s="1175"/>
      <c r="E24" s="1175"/>
      <c r="F24" s="1175"/>
      <c r="G24" s="1175"/>
      <c r="H24" s="1175"/>
      <c r="I24" s="1175"/>
      <c r="J24" s="1176"/>
    </row>
    <row r="25" spans="1:10" ht="17.25" customHeight="1" x14ac:dyDescent="0.15">
      <c r="A25" s="1172" t="s">
        <v>254</v>
      </c>
      <c r="B25" s="1173"/>
      <c r="C25" s="1174" t="s">
        <v>251</v>
      </c>
      <c r="D25" s="1175"/>
      <c r="E25" s="1175"/>
      <c r="F25" s="1175"/>
      <c r="G25" s="1175"/>
      <c r="H25" s="1175"/>
      <c r="I25" s="1175"/>
      <c r="J25" s="1176"/>
    </row>
    <row r="26" spans="1:10" ht="17.25" customHeight="1" x14ac:dyDescent="0.15">
      <c r="A26" s="1172" t="s">
        <v>255</v>
      </c>
      <c r="B26" s="1173"/>
      <c r="C26" s="1174" t="s">
        <v>251</v>
      </c>
      <c r="D26" s="1175"/>
      <c r="E26" s="1175"/>
      <c r="F26" s="1175"/>
      <c r="G26" s="1175"/>
      <c r="H26" s="1175"/>
      <c r="I26" s="1175"/>
      <c r="J26" s="1176"/>
    </row>
    <row r="27" spans="1:10" ht="17.25" customHeight="1" x14ac:dyDescent="0.15">
      <c r="A27" s="1172" t="s">
        <v>256</v>
      </c>
      <c r="B27" s="1173"/>
      <c r="C27" s="15" t="s">
        <v>257</v>
      </c>
      <c r="D27" s="1179" t="str">
        <f>IF(E10="","",E10)</f>
        <v/>
      </c>
      <c r="E27" s="1179"/>
      <c r="F27" s="1179"/>
      <c r="G27" s="1179"/>
      <c r="H27" s="16" t="s">
        <v>258</v>
      </c>
      <c r="I27" s="16"/>
      <c r="J27" s="17"/>
    </row>
    <row r="28" spans="1:10" ht="17.25" customHeight="1" x14ac:dyDescent="0.15">
      <c r="A28" s="1172"/>
      <c r="B28" s="1173"/>
      <c r="C28" s="1180" t="s">
        <v>251</v>
      </c>
      <c r="D28" s="1181"/>
      <c r="E28" s="1181"/>
      <c r="F28" s="1181"/>
      <c r="G28" s="1181"/>
      <c r="H28" s="1181"/>
      <c r="I28" s="1181"/>
      <c r="J28" s="1182"/>
    </row>
    <row r="29" spans="1:10" ht="17.25" customHeight="1" x14ac:dyDescent="0.15">
      <c r="A29" s="1172"/>
      <c r="B29" s="1173"/>
      <c r="C29" s="18" t="s">
        <v>259</v>
      </c>
      <c r="D29" s="1181" t="str">
        <f>IF(I10="","",I10)</f>
        <v/>
      </c>
      <c r="E29" s="1181"/>
      <c r="F29" s="1181"/>
      <c r="G29" s="1181"/>
      <c r="H29" t="s">
        <v>258</v>
      </c>
      <c r="J29" s="19"/>
    </row>
    <row r="30" spans="1:10" ht="17.25" customHeight="1" thickBot="1" x14ac:dyDescent="0.2">
      <c r="A30" s="1177"/>
      <c r="B30" s="1178"/>
      <c r="C30" s="1183" t="s">
        <v>251</v>
      </c>
      <c r="D30" s="1184"/>
      <c r="E30" s="1184"/>
      <c r="F30" s="1184"/>
      <c r="G30" s="1184"/>
      <c r="H30" s="1184"/>
      <c r="I30" s="1184"/>
      <c r="J30" s="1185"/>
    </row>
    <row r="31" spans="1:10" ht="9" customHeight="1" x14ac:dyDescent="0.15"/>
    <row r="32" spans="1:10" ht="17.25" customHeight="1" x14ac:dyDescent="0.15">
      <c r="A32" t="s">
        <v>260</v>
      </c>
    </row>
    <row r="33" spans="1:10" ht="18.75" customHeight="1" x14ac:dyDescent="0.15">
      <c r="B33" s="1145"/>
      <c r="C33" s="1145"/>
      <c r="D33" s="1145"/>
      <c r="E33" s="1145"/>
      <c r="F33" s="1145"/>
      <c r="G33" s="1145"/>
      <c r="H33" s="1145"/>
      <c r="I33" s="1145"/>
      <c r="J33" s="1145"/>
    </row>
    <row r="34" spans="1:10" ht="18.75" customHeight="1" x14ac:dyDescent="0.15">
      <c r="B34" s="1145"/>
      <c r="C34" s="1145"/>
      <c r="D34" s="1145"/>
      <c r="E34" s="1145"/>
      <c r="F34" s="1145"/>
      <c r="G34" s="1145"/>
      <c r="H34" s="1145"/>
      <c r="I34" s="1145"/>
      <c r="J34" s="1145"/>
    </row>
    <row r="35" spans="1:10" ht="18.75" customHeight="1" x14ac:dyDescent="0.15">
      <c r="B35" s="1145"/>
      <c r="C35" s="1145"/>
      <c r="D35" s="1145"/>
      <c r="E35" s="1145"/>
      <c r="F35" s="1145"/>
      <c r="G35" s="1145"/>
      <c r="H35" s="1145"/>
      <c r="I35" s="1145"/>
      <c r="J35" s="1145"/>
    </row>
    <row r="36" spans="1:10" ht="18.75" customHeight="1" x14ac:dyDescent="0.15">
      <c r="B36" s="1145"/>
      <c r="C36" s="1145"/>
      <c r="D36" s="1145"/>
      <c r="E36" s="1145"/>
      <c r="F36" s="1145"/>
      <c r="G36" s="1145"/>
      <c r="H36" s="1145"/>
      <c r="I36" s="1145"/>
      <c r="J36" s="1145"/>
    </row>
    <row r="37" spans="1:10" ht="18.75" customHeight="1" x14ac:dyDescent="0.15">
      <c r="B37" s="1145"/>
      <c r="C37" s="1145"/>
      <c r="D37" s="1145"/>
      <c r="E37" s="1145"/>
      <c r="F37" s="1145"/>
      <c r="G37" s="1145"/>
      <c r="H37" s="1145"/>
      <c r="I37" s="1145"/>
      <c r="J37" s="1145"/>
    </row>
    <row r="38" spans="1:10" ht="18.75" customHeight="1" x14ac:dyDescent="0.15">
      <c r="B38" s="1145"/>
      <c r="C38" s="1145"/>
      <c r="D38" s="1145"/>
      <c r="E38" s="1145"/>
      <c r="F38" s="1145"/>
      <c r="G38" s="1145"/>
      <c r="H38" s="1145"/>
      <c r="I38" s="1145"/>
      <c r="J38" s="1145"/>
    </row>
    <row r="39" spans="1:10" ht="9" customHeight="1" x14ac:dyDescent="0.15"/>
    <row r="40" spans="1:10" ht="17.25" customHeight="1" x14ac:dyDescent="0.15">
      <c r="A40" s="1149" t="s">
        <v>261</v>
      </c>
      <c r="B40" s="1150"/>
    </row>
    <row r="41" spans="1:10" ht="3.75" customHeight="1" x14ac:dyDescent="0.15"/>
    <row r="42" spans="1:10" ht="17.25" customHeight="1" x14ac:dyDescent="0.15">
      <c r="A42" t="s">
        <v>262</v>
      </c>
    </row>
    <row r="43" spans="1:10" ht="18.75" customHeight="1" x14ac:dyDescent="0.15">
      <c r="B43" s="1145"/>
      <c r="C43" s="1145"/>
      <c r="D43" s="1145"/>
      <c r="E43" s="1145"/>
      <c r="F43" s="1145"/>
      <c r="G43" s="1145"/>
      <c r="H43" s="1145"/>
      <c r="I43" s="1145"/>
      <c r="J43" s="1145"/>
    </row>
    <row r="44" spans="1:10" ht="18.75" customHeight="1" x14ac:dyDescent="0.15">
      <c r="B44" s="1145"/>
      <c r="C44" s="1145"/>
      <c r="D44" s="1145"/>
      <c r="E44" s="1145"/>
      <c r="F44" s="1145"/>
      <c r="G44" s="1145"/>
      <c r="H44" s="1145"/>
      <c r="I44" s="1145"/>
      <c r="J44" s="1145"/>
    </row>
    <row r="45" spans="1:10" ht="18.75" customHeight="1" x14ac:dyDescent="0.15">
      <c r="B45" s="1145"/>
      <c r="C45" s="1145"/>
      <c r="D45" s="1145"/>
      <c r="E45" s="1145"/>
      <c r="F45" s="1145"/>
      <c r="G45" s="1145"/>
      <c r="H45" s="1145"/>
      <c r="I45" s="1145"/>
      <c r="J45" s="1145"/>
    </row>
    <row r="46" spans="1:10" ht="18.75" customHeight="1" x14ac:dyDescent="0.15">
      <c r="B46" s="1145"/>
      <c r="C46" s="1145"/>
      <c r="D46" s="1145"/>
      <c r="E46" s="1145"/>
      <c r="F46" s="1145"/>
      <c r="G46" s="1145"/>
      <c r="H46" s="1145"/>
      <c r="I46" s="1145"/>
      <c r="J46" s="1145"/>
    </row>
    <row r="47" spans="1:10" ht="18.75" customHeight="1" x14ac:dyDescent="0.15">
      <c r="B47" s="1145"/>
      <c r="C47" s="1145"/>
      <c r="D47" s="1145"/>
      <c r="E47" s="1145"/>
      <c r="F47" s="1145"/>
      <c r="G47" s="1145"/>
      <c r="H47" s="1145"/>
      <c r="I47" s="1145"/>
      <c r="J47" s="1145"/>
    </row>
    <row r="48" spans="1:10" ht="18.75" customHeight="1" x14ac:dyDescent="0.15">
      <c r="B48" s="1145"/>
      <c r="C48" s="1145"/>
      <c r="D48" s="1145"/>
      <c r="E48" s="1145"/>
      <c r="F48" s="1145"/>
      <c r="G48" s="1145"/>
      <c r="H48" s="1145"/>
      <c r="I48" s="1145"/>
      <c r="J48" s="1145"/>
    </row>
    <row r="49" spans="2:9" ht="9" customHeight="1" x14ac:dyDescent="0.15"/>
    <row r="50" spans="2:9" ht="15.6" customHeight="1" x14ac:dyDescent="0.15">
      <c r="B50" s="20" t="s">
        <v>263</v>
      </c>
    </row>
    <row r="51" spans="2:9" ht="9" customHeight="1" x14ac:dyDescent="0.15"/>
    <row r="52" spans="2:9" ht="15.6" customHeight="1" x14ac:dyDescent="0.15">
      <c r="C52" s="1174" t="s">
        <v>264</v>
      </c>
      <c r="D52" s="1175"/>
      <c r="E52" s="1175"/>
      <c r="F52" s="1175"/>
      <c r="G52" s="1175"/>
      <c r="H52" s="1175"/>
      <c r="I52" s="1186"/>
    </row>
  </sheetData>
  <mergeCells count="53">
    <mergeCell ref="B48:J48"/>
    <mergeCell ref="C52:I52"/>
    <mergeCell ref="C9:E9"/>
    <mergeCell ref="A40:B40"/>
    <mergeCell ref="B43:J43"/>
    <mergeCell ref="B44:J44"/>
    <mergeCell ref="B45:J45"/>
    <mergeCell ref="B46:J46"/>
    <mergeCell ref="B47:J47"/>
    <mergeCell ref="B33:J33"/>
    <mergeCell ref="B34:J34"/>
    <mergeCell ref="B35:J35"/>
    <mergeCell ref="B36:J36"/>
    <mergeCell ref="B37:J37"/>
    <mergeCell ref="B38:J38"/>
    <mergeCell ref="A25:B25"/>
    <mergeCell ref="C25:J25"/>
    <mergeCell ref="A26:B26"/>
    <mergeCell ref="C26:J26"/>
    <mergeCell ref="A27:B30"/>
    <mergeCell ref="D27:G27"/>
    <mergeCell ref="C28:J28"/>
    <mergeCell ref="D29:G29"/>
    <mergeCell ref="C30:J30"/>
    <mergeCell ref="A22:B22"/>
    <mergeCell ref="C22:J22"/>
    <mergeCell ref="A23:B23"/>
    <mergeCell ref="C23:J23"/>
    <mergeCell ref="A24:B24"/>
    <mergeCell ref="C24:J24"/>
    <mergeCell ref="A18:B18"/>
    <mergeCell ref="C18:J18"/>
    <mergeCell ref="A20:B20"/>
    <mergeCell ref="A10:B17"/>
    <mergeCell ref="E10:F10"/>
    <mergeCell ref="I10:J10"/>
    <mergeCell ref="C11:C17"/>
    <mergeCell ref="D11:E17"/>
    <mergeCell ref="H11:I11"/>
    <mergeCell ref="J11:J17"/>
    <mergeCell ref="H12:I12"/>
    <mergeCell ref="H13:I13"/>
    <mergeCell ref="H14:I14"/>
    <mergeCell ref="H15:I15"/>
    <mergeCell ref="H16:I16"/>
    <mergeCell ref="H17:I17"/>
    <mergeCell ref="A9:B9"/>
    <mergeCell ref="H9:J9"/>
    <mergeCell ref="C1:H1"/>
    <mergeCell ref="H3:J3"/>
    <mergeCell ref="C5:J5"/>
    <mergeCell ref="H6:J7"/>
    <mergeCell ref="A7:B7"/>
  </mergeCells>
  <phoneticPr fontId="2"/>
  <pageMargins left="0.7" right="0.7" top="0.75" bottom="0.75" header="0.3" footer="0.3"/>
  <pageSetup paperSize="9" scale="9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J52"/>
  <sheetViews>
    <sheetView view="pageBreakPreview" zoomScaleSheetLayoutView="100" workbookViewId="0">
      <selection activeCell="G10" sqref="G10"/>
    </sheetView>
  </sheetViews>
  <sheetFormatPr defaultColWidth="2.375" defaultRowHeight="15.6" customHeight="1" x14ac:dyDescent="0.15"/>
  <cols>
    <col min="1" max="1" width="4.625" customWidth="1"/>
    <col min="2" max="2" width="15" customWidth="1"/>
    <col min="3" max="3" width="9.125" bestFit="1" customWidth="1"/>
    <col min="4" max="4" width="4" bestFit="1" customWidth="1"/>
    <col min="5" max="6" width="10" customWidth="1"/>
    <col min="7" max="7" width="11.875" customWidth="1"/>
    <col min="8" max="8" width="4.125" bestFit="1" customWidth="1"/>
    <col min="9" max="9" width="5.875" customWidth="1"/>
    <col min="10" max="10" width="13.875" customWidth="1"/>
  </cols>
  <sheetData>
    <row r="1" spans="1:10" ht="18.75" x14ac:dyDescent="0.15">
      <c r="B1" s="3"/>
      <c r="C1" s="1142" t="s">
        <v>230</v>
      </c>
      <c r="D1" s="1143"/>
      <c r="E1" s="1143"/>
      <c r="F1" s="1143"/>
      <c r="G1" s="1143"/>
      <c r="H1" s="1144"/>
      <c r="I1" s="3"/>
      <c r="J1" s="3"/>
    </row>
    <row r="2" spans="1:10" ht="9" customHeight="1" x14ac:dyDescent="0.15"/>
    <row r="3" spans="1:10" ht="17.25" customHeight="1" x14ac:dyDescent="0.15">
      <c r="G3" s="4" t="s">
        <v>231</v>
      </c>
      <c r="H3" s="1145"/>
      <c r="I3" s="1145"/>
      <c r="J3" s="1145"/>
    </row>
    <row r="4" spans="1:10" ht="9" customHeight="1" x14ac:dyDescent="0.15"/>
    <row r="5" spans="1:10" ht="22.5" customHeight="1" x14ac:dyDescent="0.15">
      <c r="B5" s="1" t="s">
        <v>232</v>
      </c>
      <c r="C5" s="1146" t="str">
        <f ca="1">"令和"&amp;YEAR(NOW())-2018&amp;"年度 第"&amp;YEAR(NOW())-1962&amp;"回 石川県中学校サッカー大会 "</f>
        <v xml:space="preserve">令和6年度 第62回 石川県中学校サッカー大会 </v>
      </c>
      <c r="D5" s="1146"/>
      <c r="E5" s="1146"/>
      <c r="F5" s="1146"/>
      <c r="G5" s="1146"/>
      <c r="H5" s="1146"/>
      <c r="I5" s="1146"/>
      <c r="J5" s="1146"/>
    </row>
    <row r="6" spans="1:10" ht="9" customHeight="1" x14ac:dyDescent="0.15">
      <c r="H6" s="1147" t="s">
        <v>233</v>
      </c>
      <c r="I6" s="1147"/>
      <c r="J6" s="1147"/>
    </row>
    <row r="7" spans="1:10" ht="17.25" customHeight="1" x14ac:dyDescent="0.15">
      <c r="A7" s="1149" t="s">
        <v>234</v>
      </c>
      <c r="B7" s="1150"/>
      <c r="H7" s="1148"/>
      <c r="I7" s="1148"/>
      <c r="J7" s="1148"/>
    </row>
    <row r="8" spans="1:10" ht="3.75" customHeight="1" thickBot="1" x14ac:dyDescent="0.2"/>
    <row r="9" spans="1:10" ht="17.25" customHeight="1" x14ac:dyDescent="0.15">
      <c r="A9" s="1138" t="s">
        <v>235</v>
      </c>
      <c r="B9" s="1139"/>
      <c r="C9" s="1187">
        <f ca="1">'県体(赤)'!A33</f>
        <v>45487</v>
      </c>
      <c r="D9" s="1188"/>
      <c r="E9" s="1188"/>
      <c r="F9" s="5" t="str">
        <f ca="1">'県体(赤)'!B33</f>
        <v>(日)</v>
      </c>
      <c r="G9" s="597">
        <f>'県体(赤)'!AW35</f>
        <v>0.60416666666666663</v>
      </c>
      <c r="H9" s="1140" t="s">
        <v>236</v>
      </c>
      <c r="I9" s="1140"/>
      <c r="J9" s="1141"/>
    </row>
    <row r="10" spans="1:10" ht="26.25" customHeight="1" x14ac:dyDescent="0.15">
      <c r="A10" s="1156" t="s">
        <v>237</v>
      </c>
      <c r="B10" s="1157"/>
      <c r="C10" s="6" t="s">
        <v>238</v>
      </c>
      <c r="D10" s="7" t="s">
        <v>239</v>
      </c>
      <c r="E10" s="1160" t="str">
        <f>IF('県体(赤)'!AL28="","",VLOOKUP('県体(赤)'!AL28,県体学校名!$C$4:$I$19,7,FALSE))</f>
        <v/>
      </c>
      <c r="F10" s="1160"/>
      <c r="G10" s="2" t="s">
        <v>240</v>
      </c>
      <c r="H10" s="8" t="s">
        <v>241</v>
      </c>
      <c r="I10" s="1160" t="str">
        <f>IF('県体(赤)'!BF29="","",VLOOKUP('県体(赤)'!BF29,県体学校名!$C$4:$I$19,7,FALSE))</f>
        <v/>
      </c>
      <c r="J10" s="1161"/>
    </row>
    <row r="11" spans="1:10" ht="17.25" customHeight="1" x14ac:dyDescent="0.15">
      <c r="A11" s="1156"/>
      <c r="B11" s="1157"/>
      <c r="C11" s="1162" t="s">
        <v>242</v>
      </c>
      <c r="D11" s="1162"/>
      <c r="E11" s="1162"/>
      <c r="F11" s="9"/>
      <c r="G11" s="10" t="s">
        <v>243</v>
      </c>
      <c r="H11" s="1164"/>
      <c r="I11" s="1164"/>
      <c r="J11" s="1165"/>
    </row>
    <row r="12" spans="1:10" ht="17.25" customHeight="1" x14ac:dyDescent="0.15">
      <c r="A12" s="1156"/>
      <c r="B12" s="1157"/>
      <c r="C12" s="1162"/>
      <c r="D12" s="1162"/>
      <c r="E12" s="1162"/>
      <c r="F12" s="11"/>
      <c r="G12" s="12" t="s">
        <v>244</v>
      </c>
      <c r="H12" s="1167"/>
      <c r="I12" s="1167"/>
      <c r="J12" s="1165"/>
    </row>
    <row r="13" spans="1:10" ht="17.25" customHeight="1" x14ac:dyDescent="0.15">
      <c r="A13" s="1156"/>
      <c r="B13" s="1157"/>
      <c r="C13" s="1162"/>
      <c r="D13" s="1162"/>
      <c r="E13" s="1162"/>
      <c r="F13" s="9"/>
      <c r="G13" s="10" t="s">
        <v>245</v>
      </c>
      <c r="H13" s="1164"/>
      <c r="I13" s="1164"/>
      <c r="J13" s="1165"/>
    </row>
    <row r="14" spans="1:10" ht="17.25" customHeight="1" x14ac:dyDescent="0.15">
      <c r="A14" s="1156"/>
      <c r="B14" s="1157"/>
      <c r="C14" s="1162"/>
      <c r="D14" s="1162"/>
      <c r="E14" s="1162"/>
      <c r="F14" s="11"/>
      <c r="G14" s="12" t="s">
        <v>246</v>
      </c>
      <c r="H14" s="1167"/>
      <c r="I14" s="1167"/>
      <c r="J14" s="1165"/>
    </row>
    <row r="15" spans="1:10" ht="17.25" customHeight="1" x14ac:dyDescent="0.15">
      <c r="A15" s="1156"/>
      <c r="B15" s="1157"/>
      <c r="C15" s="1162"/>
      <c r="D15" s="1162"/>
      <c r="E15" s="1162"/>
      <c r="F15" s="9"/>
      <c r="G15" s="10"/>
      <c r="H15" s="1164"/>
      <c r="I15" s="1164"/>
      <c r="J15" s="1165"/>
    </row>
    <row r="16" spans="1:10" ht="17.25" customHeight="1" x14ac:dyDescent="0.15">
      <c r="A16" s="1156"/>
      <c r="B16" s="1157"/>
      <c r="C16" s="1162"/>
      <c r="D16" s="1162"/>
      <c r="E16" s="1162"/>
      <c r="F16" s="11"/>
      <c r="G16" s="12"/>
      <c r="H16" s="1167"/>
      <c r="I16" s="1167"/>
      <c r="J16" s="1165"/>
    </row>
    <row r="17" spans="1:10" ht="17.25" customHeight="1" x14ac:dyDescent="0.15">
      <c r="A17" s="1158"/>
      <c r="B17" s="1159"/>
      <c r="C17" s="1163"/>
      <c r="D17" s="1163"/>
      <c r="E17" s="1163"/>
      <c r="F17" s="14"/>
      <c r="G17" s="13" t="s">
        <v>247</v>
      </c>
      <c r="H17" s="1163"/>
      <c r="I17" s="1163"/>
      <c r="J17" s="1166"/>
    </row>
    <row r="18" spans="1:10" ht="17.25" customHeight="1" thickBot="1" x14ac:dyDescent="0.2">
      <c r="A18" s="1151" t="s">
        <v>248</v>
      </c>
      <c r="B18" s="1152"/>
      <c r="C18" s="1153" t="str">
        <f>'県体(赤)'!BQ17</f>
        <v>スカイパークこまつ翼 B</v>
      </c>
      <c r="D18" s="1154"/>
      <c r="E18" s="1154"/>
      <c r="F18" s="1154"/>
      <c r="G18" s="1154"/>
      <c r="H18" s="1154"/>
      <c r="I18" s="1154"/>
      <c r="J18" s="1155"/>
    </row>
    <row r="19" spans="1:10" ht="9" customHeight="1" x14ac:dyDescent="0.15"/>
    <row r="20" spans="1:10" ht="17.25" customHeight="1" x14ac:dyDescent="0.15">
      <c r="A20" s="1149" t="s">
        <v>249</v>
      </c>
      <c r="B20" s="1150"/>
    </row>
    <row r="21" spans="1:10" ht="3.75" customHeight="1" thickBot="1" x14ac:dyDescent="0.2"/>
    <row r="22" spans="1:10" ht="17.25" customHeight="1" x14ac:dyDescent="0.15">
      <c r="A22" s="1168" t="s">
        <v>250</v>
      </c>
      <c r="B22" s="1169"/>
      <c r="C22" s="1170" t="s">
        <v>251</v>
      </c>
      <c r="D22" s="1170"/>
      <c r="E22" s="1170"/>
      <c r="F22" s="1170"/>
      <c r="G22" s="1170"/>
      <c r="H22" s="1170"/>
      <c r="I22" s="1170"/>
      <c r="J22" s="1171"/>
    </row>
    <row r="23" spans="1:10" ht="17.25" customHeight="1" x14ac:dyDescent="0.15">
      <c r="A23" s="1172" t="s">
        <v>252</v>
      </c>
      <c r="B23" s="1173"/>
      <c r="C23" s="1174" t="s">
        <v>251</v>
      </c>
      <c r="D23" s="1175"/>
      <c r="E23" s="1175"/>
      <c r="F23" s="1175"/>
      <c r="G23" s="1175"/>
      <c r="H23" s="1175"/>
      <c r="I23" s="1175"/>
      <c r="J23" s="1176"/>
    </row>
    <row r="24" spans="1:10" ht="17.25" customHeight="1" x14ac:dyDescent="0.15">
      <c r="A24" s="1172" t="s">
        <v>253</v>
      </c>
      <c r="B24" s="1173"/>
      <c r="C24" s="1174" t="s">
        <v>251</v>
      </c>
      <c r="D24" s="1175"/>
      <c r="E24" s="1175"/>
      <c r="F24" s="1175"/>
      <c r="G24" s="1175"/>
      <c r="H24" s="1175"/>
      <c r="I24" s="1175"/>
      <c r="J24" s="1176"/>
    </row>
    <row r="25" spans="1:10" ht="17.25" customHeight="1" x14ac:dyDescent="0.15">
      <c r="A25" s="1172" t="s">
        <v>254</v>
      </c>
      <c r="B25" s="1173"/>
      <c r="C25" s="1174" t="s">
        <v>251</v>
      </c>
      <c r="D25" s="1175"/>
      <c r="E25" s="1175"/>
      <c r="F25" s="1175"/>
      <c r="G25" s="1175"/>
      <c r="H25" s="1175"/>
      <c r="I25" s="1175"/>
      <c r="J25" s="1176"/>
    </row>
    <row r="26" spans="1:10" ht="17.25" customHeight="1" x14ac:dyDescent="0.15">
      <c r="A26" s="1172" t="s">
        <v>255</v>
      </c>
      <c r="B26" s="1173"/>
      <c r="C26" s="1174" t="s">
        <v>251</v>
      </c>
      <c r="D26" s="1175"/>
      <c r="E26" s="1175"/>
      <c r="F26" s="1175"/>
      <c r="G26" s="1175"/>
      <c r="H26" s="1175"/>
      <c r="I26" s="1175"/>
      <c r="J26" s="1176"/>
    </row>
    <row r="27" spans="1:10" ht="17.25" customHeight="1" x14ac:dyDescent="0.15">
      <c r="A27" s="1172" t="s">
        <v>256</v>
      </c>
      <c r="B27" s="1173"/>
      <c r="C27" s="15" t="s">
        <v>257</v>
      </c>
      <c r="D27" s="1179" t="str">
        <f>IF(E10="","",E10)</f>
        <v/>
      </c>
      <c r="E27" s="1179"/>
      <c r="F27" s="1179"/>
      <c r="G27" s="1179"/>
      <c r="H27" s="16" t="s">
        <v>258</v>
      </c>
      <c r="I27" s="16"/>
      <c r="J27" s="17"/>
    </row>
    <row r="28" spans="1:10" ht="17.25" customHeight="1" x14ac:dyDescent="0.15">
      <c r="A28" s="1172"/>
      <c r="B28" s="1173"/>
      <c r="C28" s="1180" t="s">
        <v>251</v>
      </c>
      <c r="D28" s="1181"/>
      <c r="E28" s="1181"/>
      <c r="F28" s="1181"/>
      <c r="G28" s="1181"/>
      <c r="H28" s="1181"/>
      <c r="I28" s="1181"/>
      <c r="J28" s="1182"/>
    </row>
    <row r="29" spans="1:10" ht="17.25" customHeight="1" x14ac:dyDescent="0.15">
      <c r="A29" s="1172"/>
      <c r="B29" s="1173"/>
      <c r="C29" s="18" t="s">
        <v>259</v>
      </c>
      <c r="D29" s="1181" t="str">
        <f>IF(I10="","",I10)</f>
        <v/>
      </c>
      <c r="E29" s="1181"/>
      <c r="F29" s="1181"/>
      <c r="G29" s="1181"/>
      <c r="H29" t="s">
        <v>258</v>
      </c>
      <c r="J29" s="19"/>
    </row>
    <row r="30" spans="1:10" ht="17.25" customHeight="1" thickBot="1" x14ac:dyDescent="0.2">
      <c r="A30" s="1177"/>
      <c r="B30" s="1178"/>
      <c r="C30" s="1183" t="s">
        <v>251</v>
      </c>
      <c r="D30" s="1184"/>
      <c r="E30" s="1184"/>
      <c r="F30" s="1184"/>
      <c r="G30" s="1184"/>
      <c r="H30" s="1184"/>
      <c r="I30" s="1184"/>
      <c r="J30" s="1185"/>
    </row>
    <row r="31" spans="1:10" ht="9" customHeight="1" x14ac:dyDescent="0.15"/>
    <row r="32" spans="1:10" ht="17.25" customHeight="1" x14ac:dyDescent="0.15">
      <c r="A32" t="s">
        <v>260</v>
      </c>
    </row>
    <row r="33" spans="1:10" ht="18.75" customHeight="1" x14ac:dyDescent="0.15">
      <c r="B33" s="1145"/>
      <c r="C33" s="1145"/>
      <c r="D33" s="1145"/>
      <c r="E33" s="1145"/>
      <c r="F33" s="1145"/>
      <c r="G33" s="1145"/>
      <c r="H33" s="1145"/>
      <c r="I33" s="1145"/>
      <c r="J33" s="1145"/>
    </row>
    <row r="34" spans="1:10" ht="18.75" customHeight="1" x14ac:dyDescent="0.15">
      <c r="B34" s="1145"/>
      <c r="C34" s="1145"/>
      <c r="D34" s="1145"/>
      <c r="E34" s="1145"/>
      <c r="F34" s="1145"/>
      <c r="G34" s="1145"/>
      <c r="H34" s="1145"/>
      <c r="I34" s="1145"/>
      <c r="J34" s="1145"/>
    </row>
    <row r="35" spans="1:10" ht="18.75" customHeight="1" x14ac:dyDescent="0.15">
      <c r="B35" s="1145"/>
      <c r="C35" s="1145"/>
      <c r="D35" s="1145"/>
      <c r="E35" s="1145"/>
      <c r="F35" s="1145"/>
      <c r="G35" s="1145"/>
      <c r="H35" s="1145"/>
      <c r="I35" s="1145"/>
      <c r="J35" s="1145"/>
    </row>
    <row r="36" spans="1:10" ht="18.75" customHeight="1" x14ac:dyDescent="0.15">
      <c r="B36" s="1145"/>
      <c r="C36" s="1145"/>
      <c r="D36" s="1145"/>
      <c r="E36" s="1145"/>
      <c r="F36" s="1145"/>
      <c r="G36" s="1145"/>
      <c r="H36" s="1145"/>
      <c r="I36" s="1145"/>
      <c r="J36" s="1145"/>
    </row>
    <row r="37" spans="1:10" ht="18.75" customHeight="1" x14ac:dyDescent="0.15">
      <c r="B37" s="1145"/>
      <c r="C37" s="1145"/>
      <c r="D37" s="1145"/>
      <c r="E37" s="1145"/>
      <c r="F37" s="1145"/>
      <c r="G37" s="1145"/>
      <c r="H37" s="1145"/>
      <c r="I37" s="1145"/>
      <c r="J37" s="1145"/>
    </row>
    <row r="38" spans="1:10" ht="18.75" customHeight="1" x14ac:dyDescent="0.15">
      <c r="B38" s="1145"/>
      <c r="C38" s="1145"/>
      <c r="D38" s="1145"/>
      <c r="E38" s="1145"/>
      <c r="F38" s="1145"/>
      <c r="G38" s="1145"/>
      <c r="H38" s="1145"/>
      <c r="I38" s="1145"/>
      <c r="J38" s="1145"/>
    </row>
    <row r="39" spans="1:10" ht="9" customHeight="1" x14ac:dyDescent="0.15"/>
    <row r="40" spans="1:10" ht="17.25" customHeight="1" x14ac:dyDescent="0.15">
      <c r="A40" s="1149" t="s">
        <v>261</v>
      </c>
      <c r="B40" s="1150"/>
    </row>
    <row r="41" spans="1:10" ht="3.75" customHeight="1" x14ac:dyDescent="0.15"/>
    <row r="42" spans="1:10" ht="17.25" customHeight="1" x14ac:dyDescent="0.15">
      <c r="A42" t="s">
        <v>262</v>
      </c>
    </row>
    <row r="43" spans="1:10" ht="18.75" customHeight="1" x14ac:dyDescent="0.15">
      <c r="B43" s="1145"/>
      <c r="C43" s="1145"/>
      <c r="D43" s="1145"/>
      <c r="E43" s="1145"/>
      <c r="F43" s="1145"/>
      <c r="G43" s="1145"/>
      <c r="H43" s="1145"/>
      <c r="I43" s="1145"/>
      <c r="J43" s="1145"/>
    </row>
    <row r="44" spans="1:10" ht="18.75" customHeight="1" x14ac:dyDescent="0.15">
      <c r="B44" s="1145"/>
      <c r="C44" s="1145"/>
      <c r="D44" s="1145"/>
      <c r="E44" s="1145"/>
      <c r="F44" s="1145"/>
      <c r="G44" s="1145"/>
      <c r="H44" s="1145"/>
      <c r="I44" s="1145"/>
      <c r="J44" s="1145"/>
    </row>
    <row r="45" spans="1:10" ht="18.75" customHeight="1" x14ac:dyDescent="0.15">
      <c r="B45" s="1145"/>
      <c r="C45" s="1145"/>
      <c r="D45" s="1145"/>
      <c r="E45" s="1145"/>
      <c r="F45" s="1145"/>
      <c r="G45" s="1145"/>
      <c r="H45" s="1145"/>
      <c r="I45" s="1145"/>
      <c r="J45" s="1145"/>
    </row>
    <row r="46" spans="1:10" ht="18.75" customHeight="1" x14ac:dyDescent="0.15">
      <c r="B46" s="1145"/>
      <c r="C46" s="1145"/>
      <c r="D46" s="1145"/>
      <c r="E46" s="1145"/>
      <c r="F46" s="1145"/>
      <c r="G46" s="1145"/>
      <c r="H46" s="1145"/>
      <c r="I46" s="1145"/>
      <c r="J46" s="1145"/>
    </row>
    <row r="47" spans="1:10" ht="18.75" customHeight="1" x14ac:dyDescent="0.15">
      <c r="B47" s="1145"/>
      <c r="C47" s="1145"/>
      <c r="D47" s="1145"/>
      <c r="E47" s="1145"/>
      <c r="F47" s="1145"/>
      <c r="G47" s="1145"/>
      <c r="H47" s="1145"/>
      <c r="I47" s="1145"/>
      <c r="J47" s="1145"/>
    </row>
    <row r="48" spans="1:10" ht="18.75" customHeight="1" x14ac:dyDescent="0.15">
      <c r="B48" s="1145"/>
      <c r="C48" s="1145"/>
      <c r="D48" s="1145"/>
      <c r="E48" s="1145"/>
      <c r="F48" s="1145"/>
      <c r="G48" s="1145"/>
      <c r="H48" s="1145"/>
      <c r="I48" s="1145"/>
      <c r="J48" s="1145"/>
    </row>
    <row r="49" spans="2:9" ht="9" customHeight="1" x14ac:dyDescent="0.15"/>
    <row r="50" spans="2:9" ht="15.6" customHeight="1" x14ac:dyDescent="0.15">
      <c r="B50" s="20" t="s">
        <v>263</v>
      </c>
    </row>
    <row r="51" spans="2:9" ht="9" customHeight="1" x14ac:dyDescent="0.15"/>
    <row r="52" spans="2:9" ht="15.6" customHeight="1" x14ac:dyDescent="0.15">
      <c r="C52" s="1174" t="s">
        <v>264</v>
      </c>
      <c r="D52" s="1175"/>
      <c r="E52" s="1175"/>
      <c r="F52" s="1175"/>
      <c r="G52" s="1175"/>
      <c r="H52" s="1175"/>
      <c r="I52" s="1186"/>
    </row>
  </sheetData>
  <mergeCells count="53">
    <mergeCell ref="B48:J48"/>
    <mergeCell ref="C52:I52"/>
    <mergeCell ref="C9:E9"/>
    <mergeCell ref="A40:B40"/>
    <mergeCell ref="B43:J43"/>
    <mergeCell ref="B44:J44"/>
    <mergeCell ref="B45:J45"/>
    <mergeCell ref="B46:J46"/>
    <mergeCell ref="B47:J47"/>
    <mergeCell ref="B33:J33"/>
    <mergeCell ref="B34:J34"/>
    <mergeCell ref="B35:J35"/>
    <mergeCell ref="B36:J36"/>
    <mergeCell ref="B37:J37"/>
    <mergeCell ref="B38:J38"/>
    <mergeCell ref="A25:B25"/>
    <mergeCell ref="C25:J25"/>
    <mergeCell ref="A26:B26"/>
    <mergeCell ref="C26:J26"/>
    <mergeCell ref="A27:B30"/>
    <mergeCell ref="D27:G27"/>
    <mergeCell ref="C28:J28"/>
    <mergeCell ref="D29:G29"/>
    <mergeCell ref="C30:J30"/>
    <mergeCell ref="A22:B22"/>
    <mergeCell ref="C22:J22"/>
    <mergeCell ref="A23:B23"/>
    <mergeCell ref="C23:J23"/>
    <mergeCell ref="A24:B24"/>
    <mergeCell ref="C24:J24"/>
    <mergeCell ref="A18:B18"/>
    <mergeCell ref="C18:J18"/>
    <mergeCell ref="A20:B20"/>
    <mergeCell ref="A10:B17"/>
    <mergeCell ref="E10:F10"/>
    <mergeCell ref="I10:J10"/>
    <mergeCell ref="C11:C17"/>
    <mergeCell ref="D11:E17"/>
    <mergeCell ref="H11:I11"/>
    <mergeCell ref="J11:J17"/>
    <mergeCell ref="H12:I12"/>
    <mergeCell ref="H13:I13"/>
    <mergeCell ref="H14:I14"/>
    <mergeCell ref="H15:I15"/>
    <mergeCell ref="H16:I16"/>
    <mergeCell ref="H17:I17"/>
    <mergeCell ref="A9:B9"/>
    <mergeCell ref="H9:J9"/>
    <mergeCell ref="C1:H1"/>
    <mergeCell ref="H3:J3"/>
    <mergeCell ref="C5:J5"/>
    <mergeCell ref="H6:J7"/>
    <mergeCell ref="A7:B7"/>
  </mergeCells>
  <phoneticPr fontId="2"/>
  <pageMargins left="0.7" right="0.7" top="0.75" bottom="0.75" header="0.3" footer="0.3"/>
  <pageSetup paperSize="9" scale="9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J52"/>
  <sheetViews>
    <sheetView view="pageBreakPreview" zoomScaleSheetLayoutView="100" workbookViewId="0">
      <selection activeCell="G10" sqref="G10"/>
    </sheetView>
  </sheetViews>
  <sheetFormatPr defaultColWidth="2.375" defaultRowHeight="15.6" customHeight="1" x14ac:dyDescent="0.15"/>
  <cols>
    <col min="1" max="1" width="4.625" customWidth="1"/>
    <col min="2" max="2" width="15" customWidth="1"/>
    <col min="3" max="3" width="9.125" bestFit="1" customWidth="1"/>
    <col min="4" max="4" width="4" bestFit="1" customWidth="1"/>
    <col min="5" max="6" width="10" customWidth="1"/>
    <col min="7" max="7" width="11.875" customWidth="1"/>
    <col min="8" max="8" width="4.125" bestFit="1" customWidth="1"/>
    <col min="9" max="9" width="5.875" customWidth="1"/>
    <col min="10" max="10" width="13.875" customWidth="1"/>
  </cols>
  <sheetData>
    <row r="1" spans="1:10" ht="18.75" x14ac:dyDescent="0.15">
      <c r="B1" s="3"/>
      <c r="C1" s="1142" t="s">
        <v>230</v>
      </c>
      <c r="D1" s="1143"/>
      <c r="E1" s="1143"/>
      <c r="F1" s="1143"/>
      <c r="G1" s="1143"/>
      <c r="H1" s="1144"/>
      <c r="I1" s="3"/>
      <c r="J1" s="3"/>
    </row>
    <row r="2" spans="1:10" ht="9" customHeight="1" x14ac:dyDescent="0.15"/>
    <row r="3" spans="1:10" ht="17.25" customHeight="1" x14ac:dyDescent="0.15">
      <c r="G3" s="4" t="s">
        <v>231</v>
      </c>
      <c r="H3" s="1145" t="str">
        <f>IF(決勝公式記録!F7="","",決勝公式記録!F7)</f>
        <v/>
      </c>
      <c r="I3" s="1145"/>
      <c r="J3" s="1145"/>
    </row>
    <row r="4" spans="1:10" ht="9" customHeight="1" x14ac:dyDescent="0.15"/>
    <row r="5" spans="1:10" ht="22.5" customHeight="1" x14ac:dyDescent="0.15">
      <c r="B5" s="1" t="s">
        <v>232</v>
      </c>
      <c r="C5" s="1146" t="str">
        <f ca="1">"令和"&amp;YEAR(NOW())-2018&amp;"年度 第"&amp;YEAR(NOW())-1962&amp;"回 石川県中学校サッカー大会 "</f>
        <v xml:space="preserve">令和6年度 第62回 石川県中学校サッカー大会 </v>
      </c>
      <c r="D5" s="1146"/>
      <c r="E5" s="1146"/>
      <c r="F5" s="1146"/>
      <c r="G5" s="1146"/>
      <c r="H5" s="1146"/>
      <c r="I5" s="1146"/>
      <c r="J5" s="1146"/>
    </row>
    <row r="6" spans="1:10" ht="9" customHeight="1" x14ac:dyDescent="0.15">
      <c r="H6" s="1147" t="s">
        <v>265</v>
      </c>
      <c r="I6" s="1147"/>
      <c r="J6" s="1147"/>
    </row>
    <row r="7" spans="1:10" ht="17.25" customHeight="1" x14ac:dyDescent="0.15">
      <c r="A7" s="1149" t="s">
        <v>234</v>
      </c>
      <c r="B7" s="1150"/>
      <c r="H7" s="1148"/>
      <c r="I7" s="1148"/>
      <c r="J7" s="1148"/>
    </row>
    <row r="8" spans="1:10" ht="3.75" customHeight="1" thickBot="1" x14ac:dyDescent="0.2"/>
    <row r="9" spans="1:10" ht="17.25" customHeight="1" x14ac:dyDescent="0.15">
      <c r="A9" s="1138" t="s">
        <v>235</v>
      </c>
      <c r="B9" s="1139"/>
      <c r="C9" s="1187">
        <f ca="1">'県体(赤)'!A18</f>
        <v>45488</v>
      </c>
      <c r="D9" s="1188"/>
      <c r="E9" s="1188"/>
      <c r="F9" s="598" t="str">
        <f ca="1">'県体(赤)'!B18</f>
        <v>(月)</v>
      </c>
      <c r="G9" s="597">
        <f>'県体(赤)'!AG21</f>
        <v>0.39583333333333331</v>
      </c>
      <c r="H9" s="1140" t="s">
        <v>236</v>
      </c>
      <c r="I9" s="1140"/>
      <c r="J9" s="1141"/>
    </row>
    <row r="10" spans="1:10" ht="26.25" customHeight="1" x14ac:dyDescent="0.15">
      <c r="A10" s="1156" t="s">
        <v>237</v>
      </c>
      <c r="B10" s="1157"/>
      <c r="C10" s="6" t="s">
        <v>238</v>
      </c>
      <c r="D10" s="7" t="s">
        <v>239</v>
      </c>
      <c r="E10" s="1160" t="str">
        <f>IF('県体(赤)'!N14="","",VLOOKUP('県体(赤)'!N14,県体学校名!$C$4:$I$19,7,FALSE))</f>
        <v/>
      </c>
      <c r="F10" s="1160"/>
      <c r="G10" s="2" t="s">
        <v>240</v>
      </c>
      <c r="H10" s="8" t="s">
        <v>241</v>
      </c>
      <c r="I10" s="1160" t="str">
        <f>IF('県体(赤)'!AX14="","",VLOOKUP('県体(赤)'!AX14,県体学校名!$C$4:$I$19,7,FALSE))</f>
        <v/>
      </c>
      <c r="J10" s="1161"/>
    </row>
    <row r="11" spans="1:10" ht="17.25" customHeight="1" x14ac:dyDescent="0.15">
      <c r="A11" s="1156"/>
      <c r="B11" s="1157"/>
      <c r="C11" s="1162" t="s">
        <v>242</v>
      </c>
      <c r="D11" s="1162"/>
      <c r="E11" s="1162"/>
      <c r="F11" s="9"/>
      <c r="G11" s="10" t="s">
        <v>243</v>
      </c>
      <c r="H11" s="1164"/>
      <c r="I11" s="1164"/>
      <c r="J11" s="1165"/>
    </row>
    <row r="12" spans="1:10" ht="17.25" customHeight="1" x14ac:dyDescent="0.15">
      <c r="A12" s="1156"/>
      <c r="B12" s="1157"/>
      <c r="C12" s="1162"/>
      <c r="D12" s="1162"/>
      <c r="E12" s="1162"/>
      <c r="F12" s="11"/>
      <c r="G12" s="12" t="s">
        <v>244</v>
      </c>
      <c r="H12" s="1167"/>
      <c r="I12" s="1167"/>
      <c r="J12" s="1165"/>
    </row>
    <row r="13" spans="1:10" ht="17.25" customHeight="1" x14ac:dyDescent="0.15">
      <c r="A13" s="1156"/>
      <c r="B13" s="1157"/>
      <c r="C13" s="1162"/>
      <c r="D13" s="1162"/>
      <c r="E13" s="1162"/>
      <c r="F13" s="9"/>
      <c r="G13" s="10" t="s">
        <v>245</v>
      </c>
      <c r="H13" s="1164"/>
      <c r="I13" s="1164"/>
      <c r="J13" s="1165"/>
    </row>
    <row r="14" spans="1:10" ht="17.25" customHeight="1" x14ac:dyDescent="0.15">
      <c r="A14" s="1156"/>
      <c r="B14" s="1157"/>
      <c r="C14" s="1162"/>
      <c r="D14" s="1162"/>
      <c r="E14" s="1162"/>
      <c r="F14" s="11"/>
      <c r="G14" s="12" t="s">
        <v>246</v>
      </c>
      <c r="H14" s="1167"/>
      <c r="I14" s="1167"/>
      <c r="J14" s="1165"/>
    </row>
    <row r="15" spans="1:10" ht="17.25" customHeight="1" x14ac:dyDescent="0.15">
      <c r="A15" s="1156"/>
      <c r="B15" s="1157"/>
      <c r="C15" s="1162"/>
      <c r="D15" s="1162"/>
      <c r="E15" s="1162"/>
      <c r="F15" s="9"/>
      <c r="G15" s="10" t="s">
        <v>266</v>
      </c>
      <c r="H15" s="1164"/>
      <c r="I15" s="1164"/>
      <c r="J15" s="1165"/>
    </row>
    <row r="16" spans="1:10" ht="17.25" customHeight="1" x14ac:dyDescent="0.15">
      <c r="A16" s="1156"/>
      <c r="B16" s="1157"/>
      <c r="C16" s="1162"/>
      <c r="D16" s="1162"/>
      <c r="E16" s="1162"/>
      <c r="F16" s="11"/>
      <c r="G16" s="12" t="s">
        <v>267</v>
      </c>
      <c r="H16" s="1167"/>
      <c r="I16" s="1167"/>
      <c r="J16" s="1165"/>
    </row>
    <row r="17" spans="1:10" ht="17.25" customHeight="1" x14ac:dyDescent="0.15">
      <c r="A17" s="1158"/>
      <c r="B17" s="1159"/>
      <c r="C17" s="1163"/>
      <c r="D17" s="1163"/>
      <c r="E17" s="1163"/>
      <c r="F17" s="14"/>
      <c r="G17" s="13" t="s">
        <v>247</v>
      </c>
      <c r="H17" s="1163"/>
      <c r="I17" s="1163"/>
      <c r="J17" s="1166"/>
    </row>
    <row r="18" spans="1:10" ht="17.25" customHeight="1" thickBot="1" x14ac:dyDescent="0.2">
      <c r="A18" s="1151" t="s">
        <v>248</v>
      </c>
      <c r="B18" s="1152"/>
      <c r="C18" s="1153" t="str">
        <f>'県体(赤)'!BQ15</f>
        <v>金沢ゴーゴーカレースタジアム</v>
      </c>
      <c r="D18" s="1154"/>
      <c r="E18" s="1154"/>
      <c r="F18" s="1154"/>
      <c r="G18" s="1154"/>
      <c r="H18" s="1154"/>
      <c r="I18" s="1154"/>
      <c r="J18" s="1155"/>
    </row>
    <row r="19" spans="1:10" ht="9" customHeight="1" x14ac:dyDescent="0.15"/>
    <row r="20" spans="1:10" ht="17.25" customHeight="1" x14ac:dyDescent="0.15">
      <c r="A20" s="1149" t="s">
        <v>249</v>
      </c>
      <c r="B20" s="1150"/>
    </row>
    <row r="21" spans="1:10" ht="3.75" customHeight="1" thickBot="1" x14ac:dyDescent="0.2"/>
    <row r="22" spans="1:10" ht="17.25" customHeight="1" x14ac:dyDescent="0.15">
      <c r="A22" s="1168" t="s">
        <v>250</v>
      </c>
      <c r="B22" s="1169"/>
      <c r="C22" s="1170" t="s">
        <v>251</v>
      </c>
      <c r="D22" s="1170"/>
      <c r="E22" s="1170"/>
      <c r="F22" s="1170"/>
      <c r="G22" s="1170"/>
      <c r="H22" s="1170"/>
      <c r="I22" s="1170"/>
      <c r="J22" s="1171"/>
    </row>
    <row r="23" spans="1:10" ht="17.25" customHeight="1" x14ac:dyDescent="0.15">
      <c r="A23" s="1172" t="s">
        <v>252</v>
      </c>
      <c r="B23" s="1173"/>
      <c r="C23" s="1174" t="s">
        <v>251</v>
      </c>
      <c r="D23" s="1175"/>
      <c r="E23" s="1175"/>
      <c r="F23" s="1175"/>
      <c r="G23" s="1175"/>
      <c r="H23" s="1175"/>
      <c r="I23" s="1175"/>
      <c r="J23" s="1176"/>
    </row>
    <row r="24" spans="1:10" ht="17.25" customHeight="1" x14ac:dyDescent="0.15">
      <c r="A24" s="1172" t="s">
        <v>253</v>
      </c>
      <c r="B24" s="1173"/>
      <c r="C24" s="1174" t="s">
        <v>251</v>
      </c>
      <c r="D24" s="1175"/>
      <c r="E24" s="1175"/>
      <c r="F24" s="1175"/>
      <c r="G24" s="1175"/>
      <c r="H24" s="1175"/>
      <c r="I24" s="1175"/>
      <c r="J24" s="1176"/>
    </row>
    <row r="25" spans="1:10" ht="17.25" customHeight="1" x14ac:dyDescent="0.15">
      <c r="A25" s="1172" t="s">
        <v>254</v>
      </c>
      <c r="B25" s="1173"/>
      <c r="C25" s="1174" t="s">
        <v>251</v>
      </c>
      <c r="D25" s="1175"/>
      <c r="E25" s="1175"/>
      <c r="F25" s="1175"/>
      <c r="G25" s="1175"/>
      <c r="H25" s="1175"/>
      <c r="I25" s="1175"/>
      <c r="J25" s="1176"/>
    </row>
    <row r="26" spans="1:10" ht="17.25" customHeight="1" x14ac:dyDescent="0.15">
      <c r="A26" s="1172" t="s">
        <v>255</v>
      </c>
      <c r="B26" s="1173"/>
      <c r="C26" s="1174" t="s">
        <v>251</v>
      </c>
      <c r="D26" s="1175"/>
      <c r="E26" s="1175"/>
      <c r="F26" s="1175"/>
      <c r="G26" s="1175"/>
      <c r="H26" s="1175"/>
      <c r="I26" s="1175"/>
      <c r="J26" s="1176"/>
    </row>
    <row r="27" spans="1:10" ht="17.25" customHeight="1" x14ac:dyDescent="0.15">
      <c r="A27" s="1172" t="s">
        <v>256</v>
      </c>
      <c r="B27" s="1173"/>
      <c r="C27" s="15" t="s">
        <v>257</v>
      </c>
      <c r="D27" s="1179" t="str">
        <f>IF(E10="","",E10)</f>
        <v/>
      </c>
      <c r="E27" s="1179"/>
      <c r="F27" s="1179"/>
      <c r="G27" s="1179"/>
      <c r="H27" s="16" t="s">
        <v>258</v>
      </c>
      <c r="I27" s="16"/>
      <c r="J27" s="17"/>
    </row>
    <row r="28" spans="1:10" ht="17.25" customHeight="1" x14ac:dyDescent="0.15">
      <c r="A28" s="1172"/>
      <c r="B28" s="1173"/>
      <c r="C28" s="1180" t="s">
        <v>251</v>
      </c>
      <c r="D28" s="1181"/>
      <c r="E28" s="1181"/>
      <c r="F28" s="1181"/>
      <c r="G28" s="1181"/>
      <c r="H28" s="1181"/>
      <c r="I28" s="1181"/>
      <c r="J28" s="1182"/>
    </row>
    <row r="29" spans="1:10" ht="17.25" customHeight="1" x14ac:dyDescent="0.15">
      <c r="A29" s="1172"/>
      <c r="B29" s="1173"/>
      <c r="C29" s="18" t="s">
        <v>259</v>
      </c>
      <c r="D29" s="1181" t="str">
        <f>IF(I10="","",I10)</f>
        <v/>
      </c>
      <c r="E29" s="1181"/>
      <c r="F29" s="1181"/>
      <c r="G29" s="1181"/>
      <c r="H29" t="s">
        <v>258</v>
      </c>
      <c r="J29" s="19"/>
    </row>
    <row r="30" spans="1:10" ht="17.25" customHeight="1" thickBot="1" x14ac:dyDescent="0.2">
      <c r="A30" s="1177"/>
      <c r="B30" s="1178"/>
      <c r="C30" s="1183" t="s">
        <v>251</v>
      </c>
      <c r="D30" s="1184"/>
      <c r="E30" s="1184"/>
      <c r="F30" s="1184"/>
      <c r="G30" s="1184"/>
      <c r="H30" s="1184"/>
      <c r="I30" s="1184"/>
      <c r="J30" s="1185"/>
    </row>
    <row r="31" spans="1:10" ht="9" customHeight="1" x14ac:dyDescent="0.15"/>
    <row r="32" spans="1:10" ht="17.25" customHeight="1" x14ac:dyDescent="0.15">
      <c r="A32" t="s">
        <v>260</v>
      </c>
    </row>
    <row r="33" spans="1:10" ht="18.75" customHeight="1" x14ac:dyDescent="0.15">
      <c r="B33" s="1145"/>
      <c r="C33" s="1145"/>
      <c r="D33" s="1145"/>
      <c r="E33" s="1145"/>
      <c r="F33" s="1145"/>
      <c r="G33" s="1145"/>
      <c r="H33" s="1145"/>
      <c r="I33" s="1145"/>
      <c r="J33" s="1145"/>
    </row>
    <row r="34" spans="1:10" ht="18.75" customHeight="1" x14ac:dyDescent="0.15">
      <c r="B34" s="1145"/>
      <c r="C34" s="1145"/>
      <c r="D34" s="1145"/>
      <c r="E34" s="1145"/>
      <c r="F34" s="1145"/>
      <c r="G34" s="1145"/>
      <c r="H34" s="1145"/>
      <c r="I34" s="1145"/>
      <c r="J34" s="1145"/>
    </row>
    <row r="35" spans="1:10" ht="18.75" customHeight="1" x14ac:dyDescent="0.15">
      <c r="B35" s="1145"/>
      <c r="C35" s="1145"/>
      <c r="D35" s="1145"/>
      <c r="E35" s="1145"/>
      <c r="F35" s="1145"/>
      <c r="G35" s="1145"/>
      <c r="H35" s="1145"/>
      <c r="I35" s="1145"/>
      <c r="J35" s="1145"/>
    </row>
    <row r="36" spans="1:10" ht="18.75" customHeight="1" x14ac:dyDescent="0.15">
      <c r="B36" s="1145"/>
      <c r="C36" s="1145"/>
      <c r="D36" s="1145"/>
      <c r="E36" s="1145"/>
      <c r="F36" s="1145"/>
      <c r="G36" s="1145"/>
      <c r="H36" s="1145"/>
      <c r="I36" s="1145"/>
      <c r="J36" s="1145"/>
    </row>
    <row r="37" spans="1:10" ht="18.75" customHeight="1" x14ac:dyDescent="0.15">
      <c r="B37" s="1145"/>
      <c r="C37" s="1145"/>
      <c r="D37" s="1145"/>
      <c r="E37" s="1145"/>
      <c r="F37" s="1145"/>
      <c r="G37" s="1145"/>
      <c r="H37" s="1145"/>
      <c r="I37" s="1145"/>
      <c r="J37" s="1145"/>
    </row>
    <row r="38" spans="1:10" ht="18.75" customHeight="1" x14ac:dyDescent="0.15">
      <c r="B38" s="1145"/>
      <c r="C38" s="1145"/>
      <c r="D38" s="1145"/>
      <c r="E38" s="1145"/>
      <c r="F38" s="1145"/>
      <c r="G38" s="1145"/>
      <c r="H38" s="1145"/>
      <c r="I38" s="1145"/>
      <c r="J38" s="1145"/>
    </row>
    <row r="39" spans="1:10" ht="9" customHeight="1" x14ac:dyDescent="0.15"/>
    <row r="40" spans="1:10" ht="17.25" customHeight="1" x14ac:dyDescent="0.15">
      <c r="A40" s="1149" t="s">
        <v>261</v>
      </c>
      <c r="B40" s="1150"/>
    </row>
    <row r="41" spans="1:10" ht="3.75" customHeight="1" x14ac:dyDescent="0.15"/>
    <row r="42" spans="1:10" ht="17.25" customHeight="1" x14ac:dyDescent="0.15">
      <c r="A42" t="s">
        <v>262</v>
      </c>
    </row>
    <row r="43" spans="1:10" ht="18.75" customHeight="1" x14ac:dyDescent="0.15">
      <c r="B43" s="1145"/>
      <c r="C43" s="1145"/>
      <c r="D43" s="1145"/>
      <c r="E43" s="1145"/>
      <c r="F43" s="1145"/>
      <c r="G43" s="1145"/>
      <c r="H43" s="1145"/>
      <c r="I43" s="1145"/>
      <c r="J43" s="1145"/>
    </row>
    <row r="44" spans="1:10" ht="18.75" customHeight="1" x14ac:dyDescent="0.15">
      <c r="B44" s="1145"/>
      <c r="C44" s="1145"/>
      <c r="D44" s="1145"/>
      <c r="E44" s="1145"/>
      <c r="F44" s="1145"/>
      <c r="G44" s="1145"/>
      <c r="H44" s="1145"/>
      <c r="I44" s="1145"/>
      <c r="J44" s="1145"/>
    </row>
    <row r="45" spans="1:10" ht="18.75" customHeight="1" x14ac:dyDescent="0.15">
      <c r="B45" s="1145"/>
      <c r="C45" s="1145"/>
      <c r="D45" s="1145"/>
      <c r="E45" s="1145"/>
      <c r="F45" s="1145"/>
      <c r="G45" s="1145"/>
      <c r="H45" s="1145"/>
      <c r="I45" s="1145"/>
      <c r="J45" s="1145"/>
    </row>
    <row r="46" spans="1:10" ht="18.75" customHeight="1" x14ac:dyDescent="0.15">
      <c r="B46" s="1145"/>
      <c r="C46" s="1145"/>
      <c r="D46" s="1145"/>
      <c r="E46" s="1145"/>
      <c r="F46" s="1145"/>
      <c r="G46" s="1145"/>
      <c r="H46" s="1145"/>
      <c r="I46" s="1145"/>
      <c r="J46" s="1145"/>
    </row>
    <row r="47" spans="1:10" ht="18.75" customHeight="1" x14ac:dyDescent="0.15">
      <c r="B47" s="1145"/>
      <c r="C47" s="1145"/>
      <c r="D47" s="1145"/>
      <c r="E47" s="1145"/>
      <c r="F47" s="1145"/>
      <c r="G47" s="1145"/>
      <c r="H47" s="1145"/>
      <c r="I47" s="1145"/>
      <c r="J47" s="1145"/>
    </row>
    <row r="48" spans="1:10" ht="18.75" customHeight="1" x14ac:dyDescent="0.15">
      <c r="B48" s="1145"/>
      <c r="C48" s="1145"/>
      <c r="D48" s="1145"/>
      <c r="E48" s="1145"/>
      <c r="F48" s="1145"/>
      <c r="G48" s="1145"/>
      <c r="H48" s="1145"/>
      <c r="I48" s="1145"/>
      <c r="J48" s="1145"/>
    </row>
    <row r="49" spans="2:9" ht="9" customHeight="1" x14ac:dyDescent="0.15"/>
    <row r="50" spans="2:9" ht="15.6" customHeight="1" x14ac:dyDescent="0.15">
      <c r="B50" s="20" t="s">
        <v>263</v>
      </c>
    </row>
    <row r="51" spans="2:9" ht="9" customHeight="1" x14ac:dyDescent="0.15"/>
    <row r="52" spans="2:9" ht="15.6" customHeight="1" x14ac:dyDescent="0.15">
      <c r="C52" s="1174" t="s">
        <v>264</v>
      </c>
      <c r="D52" s="1175"/>
      <c r="E52" s="1175"/>
      <c r="F52" s="1175"/>
      <c r="G52" s="1175"/>
      <c r="H52" s="1175"/>
      <c r="I52" s="1186"/>
    </row>
  </sheetData>
  <mergeCells count="53">
    <mergeCell ref="B48:J48"/>
    <mergeCell ref="C52:I52"/>
    <mergeCell ref="C9:E9"/>
    <mergeCell ref="A40:B40"/>
    <mergeCell ref="B43:J43"/>
    <mergeCell ref="B44:J44"/>
    <mergeCell ref="B45:J45"/>
    <mergeCell ref="B46:J46"/>
    <mergeCell ref="B47:J47"/>
    <mergeCell ref="B33:J33"/>
    <mergeCell ref="B34:J34"/>
    <mergeCell ref="B35:J35"/>
    <mergeCell ref="B36:J36"/>
    <mergeCell ref="B37:J37"/>
    <mergeCell ref="B38:J38"/>
    <mergeCell ref="A25:B25"/>
    <mergeCell ref="C25:J25"/>
    <mergeCell ref="A26:B26"/>
    <mergeCell ref="C26:J26"/>
    <mergeCell ref="A27:B30"/>
    <mergeCell ref="D27:G27"/>
    <mergeCell ref="C28:J28"/>
    <mergeCell ref="D29:G29"/>
    <mergeCell ref="C30:J30"/>
    <mergeCell ref="A22:B22"/>
    <mergeCell ref="C22:J22"/>
    <mergeCell ref="A23:B23"/>
    <mergeCell ref="C23:J23"/>
    <mergeCell ref="A24:B24"/>
    <mergeCell ref="C24:J24"/>
    <mergeCell ref="A18:B18"/>
    <mergeCell ref="C18:J18"/>
    <mergeCell ref="A20:B20"/>
    <mergeCell ref="A10:B17"/>
    <mergeCell ref="E10:F10"/>
    <mergeCell ref="I10:J10"/>
    <mergeCell ref="C11:C17"/>
    <mergeCell ref="D11:E17"/>
    <mergeCell ref="H11:I11"/>
    <mergeCell ref="J11:J17"/>
    <mergeCell ref="H12:I12"/>
    <mergeCell ref="H13:I13"/>
    <mergeCell ref="H14:I14"/>
    <mergeCell ref="H15:I15"/>
    <mergeCell ref="H16:I16"/>
    <mergeCell ref="H17:I17"/>
    <mergeCell ref="A9:B9"/>
    <mergeCell ref="H9:J9"/>
    <mergeCell ref="C1:H1"/>
    <mergeCell ref="H3:J3"/>
    <mergeCell ref="C5:J5"/>
    <mergeCell ref="H6:J7"/>
    <mergeCell ref="A7:B7"/>
  </mergeCells>
  <phoneticPr fontId="2"/>
  <pageMargins left="0.7" right="0.7" top="0.75" bottom="0.75" header="0.3" footer="0.3"/>
  <pageSetup paperSize="9" scale="9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J52"/>
  <sheetViews>
    <sheetView view="pageBreakPreview" zoomScaleSheetLayoutView="100" workbookViewId="0">
      <selection activeCell="AN29" sqref="AN29"/>
    </sheetView>
  </sheetViews>
  <sheetFormatPr defaultColWidth="2.375" defaultRowHeight="15.6" customHeight="1" x14ac:dyDescent="0.15"/>
  <cols>
    <col min="1" max="1" width="4.625" customWidth="1"/>
    <col min="2" max="2" width="15" customWidth="1"/>
    <col min="3" max="3" width="9.125" bestFit="1" customWidth="1"/>
    <col min="4" max="4" width="4" bestFit="1" customWidth="1"/>
    <col min="5" max="6" width="10" customWidth="1"/>
    <col min="7" max="7" width="11.875" customWidth="1"/>
    <col min="8" max="8" width="4.125" bestFit="1" customWidth="1"/>
    <col min="9" max="9" width="5.875" customWidth="1"/>
    <col min="10" max="10" width="13.875" customWidth="1"/>
  </cols>
  <sheetData>
    <row r="1" spans="1:10" ht="18.75" x14ac:dyDescent="0.15">
      <c r="B1" s="3"/>
      <c r="C1" s="1142" t="s">
        <v>230</v>
      </c>
      <c r="D1" s="1143"/>
      <c r="E1" s="1143"/>
      <c r="F1" s="1143"/>
      <c r="G1" s="1143"/>
      <c r="H1" s="1144"/>
      <c r="I1" s="3"/>
      <c r="J1" s="3"/>
    </row>
    <row r="2" spans="1:10" ht="9" customHeight="1" x14ac:dyDescent="0.15"/>
    <row r="3" spans="1:10" ht="17.25" customHeight="1" x14ac:dyDescent="0.15">
      <c r="G3" s="4" t="s">
        <v>231</v>
      </c>
      <c r="H3" s="1145" t="str">
        <f>IF(第3公式記録!F7="","",第3公式記録!F7)</f>
        <v/>
      </c>
      <c r="I3" s="1145"/>
      <c r="J3" s="1145"/>
    </row>
    <row r="4" spans="1:10" ht="9" customHeight="1" x14ac:dyDescent="0.15"/>
    <row r="5" spans="1:10" ht="22.5" customHeight="1" x14ac:dyDescent="0.15">
      <c r="B5" s="1" t="s">
        <v>232</v>
      </c>
      <c r="C5" s="1146" t="str">
        <f ca="1">"令和"&amp;YEAR(NOW())-2018&amp;"年度 第"&amp;YEAR(NOW())-1962&amp;"回 石川県中学校サッカー大会 "</f>
        <v xml:space="preserve">令和6年度 第62回 石川県中学校サッカー大会 </v>
      </c>
      <c r="D5" s="1146"/>
      <c r="E5" s="1146"/>
      <c r="F5" s="1146"/>
      <c r="G5" s="1146"/>
      <c r="H5" s="1146"/>
      <c r="I5" s="1146"/>
      <c r="J5" s="1146"/>
    </row>
    <row r="6" spans="1:10" ht="9" customHeight="1" x14ac:dyDescent="0.15">
      <c r="H6" s="1147" t="s">
        <v>268</v>
      </c>
      <c r="I6" s="1147"/>
      <c r="J6" s="1147"/>
    </row>
    <row r="7" spans="1:10" ht="17.25" customHeight="1" x14ac:dyDescent="0.15">
      <c r="A7" s="1149" t="s">
        <v>234</v>
      </c>
      <c r="B7" s="1150"/>
      <c r="H7" s="1148"/>
      <c r="I7" s="1148"/>
      <c r="J7" s="1148"/>
    </row>
    <row r="8" spans="1:10" ht="3.75" customHeight="1" thickBot="1" x14ac:dyDescent="0.2"/>
    <row r="9" spans="1:10" ht="17.25" customHeight="1" x14ac:dyDescent="0.15">
      <c r="A9" s="1138" t="s">
        <v>235</v>
      </c>
      <c r="B9" s="1139"/>
      <c r="C9" s="1187">
        <f ca="1">'県体(赤)'!A18</f>
        <v>45488</v>
      </c>
      <c r="D9" s="1188"/>
      <c r="E9" s="1188"/>
      <c r="F9" s="598" t="str">
        <f ca="1">'県体(赤)'!B18</f>
        <v>(月)</v>
      </c>
      <c r="G9" s="597">
        <f>'県体(赤)'!BF21</f>
        <v>0.52083333333333337</v>
      </c>
      <c r="H9" s="1140" t="s">
        <v>236</v>
      </c>
      <c r="I9" s="1140"/>
      <c r="J9" s="1141"/>
    </row>
    <row r="10" spans="1:10" ht="26.25" customHeight="1" x14ac:dyDescent="0.15">
      <c r="A10" s="1156" t="s">
        <v>237</v>
      </c>
      <c r="B10" s="1157"/>
      <c r="C10" s="6" t="s">
        <v>238</v>
      </c>
      <c r="D10" s="7" t="s">
        <v>239</v>
      </c>
      <c r="E10" s="1160" t="str">
        <f>IF('県体(赤)'!N14="","",VLOOKUP('県体(赤)'!#REF!,県体学校名!$C$4:$I$19,7,FALSE))</f>
        <v/>
      </c>
      <c r="F10" s="1160"/>
      <c r="G10" s="2" t="s">
        <v>240</v>
      </c>
      <c r="H10" s="8" t="s">
        <v>241</v>
      </c>
      <c r="I10" s="1160" t="str">
        <f>IF('県体(赤)'!AX14="","",VLOOKUP('県体(赤)'!#REF!,県体学校名!$C$4:$I$19,7,FALSE))</f>
        <v/>
      </c>
      <c r="J10" s="1161"/>
    </row>
    <row r="11" spans="1:10" ht="17.25" customHeight="1" x14ac:dyDescent="0.15">
      <c r="A11" s="1156"/>
      <c r="B11" s="1157"/>
      <c r="C11" s="1162" t="s">
        <v>242</v>
      </c>
      <c r="D11" s="1162"/>
      <c r="E11" s="1162"/>
      <c r="F11" s="9"/>
      <c r="G11" s="10" t="s">
        <v>243</v>
      </c>
      <c r="H11" s="1164"/>
      <c r="I11" s="1164"/>
      <c r="J11" s="1165"/>
    </row>
    <row r="12" spans="1:10" ht="17.25" customHeight="1" x14ac:dyDescent="0.15">
      <c r="A12" s="1156"/>
      <c r="B12" s="1157"/>
      <c r="C12" s="1162"/>
      <c r="D12" s="1162"/>
      <c r="E12" s="1162"/>
      <c r="F12" s="11"/>
      <c r="G12" s="12" t="s">
        <v>244</v>
      </c>
      <c r="H12" s="1167"/>
      <c r="I12" s="1167"/>
      <c r="J12" s="1165"/>
    </row>
    <row r="13" spans="1:10" ht="17.25" customHeight="1" x14ac:dyDescent="0.15">
      <c r="A13" s="1156"/>
      <c r="B13" s="1157"/>
      <c r="C13" s="1162"/>
      <c r="D13" s="1162"/>
      <c r="E13" s="1162"/>
      <c r="F13" s="9"/>
      <c r="G13" s="10" t="s">
        <v>245</v>
      </c>
      <c r="H13" s="1164"/>
      <c r="I13" s="1164"/>
      <c r="J13" s="1165"/>
    </row>
    <row r="14" spans="1:10" ht="17.25" customHeight="1" x14ac:dyDescent="0.15">
      <c r="A14" s="1156"/>
      <c r="B14" s="1157"/>
      <c r="C14" s="1162"/>
      <c r="D14" s="1162"/>
      <c r="E14" s="1162"/>
      <c r="F14" s="11"/>
      <c r="G14" s="12" t="s">
        <v>246</v>
      </c>
      <c r="H14" s="1167"/>
      <c r="I14" s="1167"/>
      <c r="J14" s="1165"/>
    </row>
    <row r="15" spans="1:10" ht="17.25" customHeight="1" x14ac:dyDescent="0.15">
      <c r="A15" s="1156"/>
      <c r="B15" s="1157"/>
      <c r="C15" s="1162"/>
      <c r="D15" s="1162"/>
      <c r="E15" s="1162"/>
      <c r="F15" s="9"/>
      <c r="G15" s="10" t="s">
        <v>266</v>
      </c>
      <c r="H15" s="1164"/>
      <c r="I15" s="1164"/>
      <c r="J15" s="1165"/>
    </row>
    <row r="16" spans="1:10" ht="17.25" customHeight="1" x14ac:dyDescent="0.15">
      <c r="A16" s="1156"/>
      <c r="B16" s="1157"/>
      <c r="C16" s="1162"/>
      <c r="D16" s="1162"/>
      <c r="E16" s="1162"/>
      <c r="F16" s="11"/>
      <c r="G16" s="12" t="s">
        <v>267</v>
      </c>
      <c r="H16" s="1167"/>
      <c r="I16" s="1167"/>
      <c r="J16" s="1165"/>
    </row>
    <row r="17" spans="1:10" ht="17.25" customHeight="1" x14ac:dyDescent="0.15">
      <c r="A17" s="1158"/>
      <c r="B17" s="1159"/>
      <c r="C17" s="1163"/>
      <c r="D17" s="1163"/>
      <c r="E17" s="1163"/>
      <c r="F17" s="14"/>
      <c r="G17" s="13" t="s">
        <v>247</v>
      </c>
      <c r="H17" s="1163"/>
      <c r="I17" s="1163"/>
      <c r="J17" s="1166"/>
    </row>
    <row r="18" spans="1:10" ht="17.25" customHeight="1" thickBot="1" x14ac:dyDescent="0.2">
      <c r="A18" s="1151" t="s">
        <v>248</v>
      </c>
      <c r="B18" s="1152"/>
      <c r="C18" s="1153" t="str">
        <f>'県体(赤)'!BQ15</f>
        <v>金沢ゴーゴーカレースタジアム</v>
      </c>
      <c r="D18" s="1154"/>
      <c r="E18" s="1154"/>
      <c r="F18" s="1154"/>
      <c r="G18" s="1154"/>
      <c r="H18" s="1154"/>
      <c r="I18" s="1154"/>
      <c r="J18" s="1155"/>
    </row>
    <row r="19" spans="1:10" ht="9" customHeight="1" x14ac:dyDescent="0.15"/>
    <row r="20" spans="1:10" ht="17.25" customHeight="1" x14ac:dyDescent="0.15">
      <c r="A20" s="1149" t="s">
        <v>249</v>
      </c>
      <c r="B20" s="1150"/>
    </row>
    <row r="21" spans="1:10" ht="3.75" customHeight="1" thickBot="1" x14ac:dyDescent="0.2"/>
    <row r="22" spans="1:10" ht="17.25" customHeight="1" x14ac:dyDescent="0.15">
      <c r="A22" s="1168" t="s">
        <v>250</v>
      </c>
      <c r="B22" s="1169"/>
      <c r="C22" s="1170" t="s">
        <v>251</v>
      </c>
      <c r="D22" s="1170"/>
      <c r="E22" s="1170"/>
      <c r="F22" s="1170"/>
      <c r="G22" s="1170"/>
      <c r="H22" s="1170"/>
      <c r="I22" s="1170"/>
      <c r="J22" s="1171"/>
    </row>
    <row r="23" spans="1:10" ht="17.25" customHeight="1" x14ac:dyDescent="0.15">
      <c r="A23" s="1172" t="s">
        <v>252</v>
      </c>
      <c r="B23" s="1173"/>
      <c r="C23" s="1174" t="s">
        <v>251</v>
      </c>
      <c r="D23" s="1175"/>
      <c r="E23" s="1175"/>
      <c r="F23" s="1175"/>
      <c r="G23" s="1175"/>
      <c r="H23" s="1175"/>
      <c r="I23" s="1175"/>
      <c r="J23" s="1176"/>
    </row>
    <row r="24" spans="1:10" ht="17.25" customHeight="1" x14ac:dyDescent="0.15">
      <c r="A24" s="1172" t="s">
        <v>253</v>
      </c>
      <c r="B24" s="1173"/>
      <c r="C24" s="1174" t="s">
        <v>251</v>
      </c>
      <c r="D24" s="1175"/>
      <c r="E24" s="1175"/>
      <c r="F24" s="1175"/>
      <c r="G24" s="1175"/>
      <c r="H24" s="1175"/>
      <c r="I24" s="1175"/>
      <c r="J24" s="1176"/>
    </row>
    <row r="25" spans="1:10" ht="17.25" customHeight="1" x14ac:dyDescent="0.15">
      <c r="A25" s="1172" t="s">
        <v>254</v>
      </c>
      <c r="B25" s="1173"/>
      <c r="C25" s="1174" t="s">
        <v>251</v>
      </c>
      <c r="D25" s="1175"/>
      <c r="E25" s="1175"/>
      <c r="F25" s="1175"/>
      <c r="G25" s="1175"/>
      <c r="H25" s="1175"/>
      <c r="I25" s="1175"/>
      <c r="J25" s="1176"/>
    </row>
    <row r="26" spans="1:10" ht="17.25" customHeight="1" x14ac:dyDescent="0.15">
      <c r="A26" s="1172" t="s">
        <v>255</v>
      </c>
      <c r="B26" s="1173"/>
      <c r="C26" s="1174" t="s">
        <v>251</v>
      </c>
      <c r="D26" s="1175"/>
      <c r="E26" s="1175"/>
      <c r="F26" s="1175"/>
      <c r="G26" s="1175"/>
      <c r="H26" s="1175"/>
      <c r="I26" s="1175"/>
      <c r="J26" s="1176"/>
    </row>
    <row r="27" spans="1:10" ht="17.25" customHeight="1" x14ac:dyDescent="0.15">
      <c r="A27" s="1172" t="s">
        <v>256</v>
      </c>
      <c r="B27" s="1173"/>
      <c r="C27" s="15" t="s">
        <v>257</v>
      </c>
      <c r="D27" s="1179" t="str">
        <f>IF(E10="","",E10)</f>
        <v/>
      </c>
      <c r="E27" s="1179"/>
      <c r="F27" s="1179"/>
      <c r="G27" s="1179"/>
      <c r="H27" s="16" t="s">
        <v>258</v>
      </c>
      <c r="I27" s="16"/>
      <c r="J27" s="17"/>
    </row>
    <row r="28" spans="1:10" ht="17.25" customHeight="1" x14ac:dyDescent="0.15">
      <c r="A28" s="1172"/>
      <c r="B28" s="1173"/>
      <c r="C28" s="1180" t="s">
        <v>251</v>
      </c>
      <c r="D28" s="1181"/>
      <c r="E28" s="1181"/>
      <c r="F28" s="1181"/>
      <c r="G28" s="1181"/>
      <c r="H28" s="1181"/>
      <c r="I28" s="1181"/>
      <c r="J28" s="1182"/>
    </row>
    <row r="29" spans="1:10" ht="17.25" customHeight="1" x14ac:dyDescent="0.15">
      <c r="A29" s="1172"/>
      <c r="B29" s="1173"/>
      <c r="C29" s="18" t="s">
        <v>259</v>
      </c>
      <c r="D29" s="1181" t="str">
        <f>IF(I10="","",I10)</f>
        <v/>
      </c>
      <c r="E29" s="1181"/>
      <c r="F29" s="1181"/>
      <c r="G29" s="1181"/>
      <c r="H29" t="s">
        <v>258</v>
      </c>
      <c r="J29" s="19"/>
    </row>
    <row r="30" spans="1:10" ht="17.25" customHeight="1" thickBot="1" x14ac:dyDescent="0.2">
      <c r="A30" s="1177"/>
      <c r="B30" s="1178"/>
      <c r="C30" s="1183" t="s">
        <v>251</v>
      </c>
      <c r="D30" s="1184"/>
      <c r="E30" s="1184"/>
      <c r="F30" s="1184"/>
      <c r="G30" s="1184"/>
      <c r="H30" s="1184"/>
      <c r="I30" s="1184"/>
      <c r="J30" s="1185"/>
    </row>
    <row r="31" spans="1:10" ht="9" customHeight="1" x14ac:dyDescent="0.15"/>
    <row r="32" spans="1:10" ht="17.25" customHeight="1" x14ac:dyDescent="0.15">
      <c r="A32" t="s">
        <v>260</v>
      </c>
    </row>
    <row r="33" spans="1:10" ht="18.75" customHeight="1" x14ac:dyDescent="0.15">
      <c r="B33" s="1145"/>
      <c r="C33" s="1145"/>
      <c r="D33" s="1145"/>
      <c r="E33" s="1145"/>
      <c r="F33" s="1145"/>
      <c r="G33" s="1145"/>
      <c r="H33" s="1145"/>
      <c r="I33" s="1145"/>
      <c r="J33" s="1145"/>
    </row>
    <row r="34" spans="1:10" ht="18.75" customHeight="1" x14ac:dyDescent="0.15">
      <c r="B34" s="1145"/>
      <c r="C34" s="1145"/>
      <c r="D34" s="1145"/>
      <c r="E34" s="1145"/>
      <c r="F34" s="1145"/>
      <c r="G34" s="1145"/>
      <c r="H34" s="1145"/>
      <c r="I34" s="1145"/>
      <c r="J34" s="1145"/>
    </row>
    <row r="35" spans="1:10" ht="18.75" customHeight="1" x14ac:dyDescent="0.15">
      <c r="B35" s="1145"/>
      <c r="C35" s="1145"/>
      <c r="D35" s="1145"/>
      <c r="E35" s="1145"/>
      <c r="F35" s="1145"/>
      <c r="G35" s="1145"/>
      <c r="H35" s="1145"/>
      <c r="I35" s="1145"/>
      <c r="J35" s="1145"/>
    </row>
    <row r="36" spans="1:10" ht="18.75" customHeight="1" x14ac:dyDescent="0.15">
      <c r="B36" s="1145"/>
      <c r="C36" s="1145"/>
      <c r="D36" s="1145"/>
      <c r="E36" s="1145"/>
      <c r="F36" s="1145"/>
      <c r="G36" s="1145"/>
      <c r="H36" s="1145"/>
      <c r="I36" s="1145"/>
      <c r="J36" s="1145"/>
    </row>
    <row r="37" spans="1:10" ht="18.75" customHeight="1" x14ac:dyDescent="0.15">
      <c r="B37" s="1145"/>
      <c r="C37" s="1145"/>
      <c r="D37" s="1145"/>
      <c r="E37" s="1145"/>
      <c r="F37" s="1145"/>
      <c r="G37" s="1145"/>
      <c r="H37" s="1145"/>
      <c r="I37" s="1145"/>
      <c r="J37" s="1145"/>
    </row>
    <row r="38" spans="1:10" ht="18.75" customHeight="1" x14ac:dyDescent="0.15">
      <c r="B38" s="1145"/>
      <c r="C38" s="1145"/>
      <c r="D38" s="1145"/>
      <c r="E38" s="1145"/>
      <c r="F38" s="1145"/>
      <c r="G38" s="1145"/>
      <c r="H38" s="1145"/>
      <c r="I38" s="1145"/>
      <c r="J38" s="1145"/>
    </row>
    <row r="39" spans="1:10" ht="9" customHeight="1" x14ac:dyDescent="0.15"/>
    <row r="40" spans="1:10" ht="17.25" customHeight="1" x14ac:dyDescent="0.15">
      <c r="A40" s="1149" t="s">
        <v>261</v>
      </c>
      <c r="B40" s="1150"/>
    </row>
    <row r="41" spans="1:10" ht="3.75" customHeight="1" x14ac:dyDescent="0.15"/>
    <row r="42" spans="1:10" ht="17.25" customHeight="1" x14ac:dyDescent="0.15">
      <c r="A42" t="s">
        <v>262</v>
      </c>
    </row>
    <row r="43" spans="1:10" ht="18.75" customHeight="1" x14ac:dyDescent="0.15">
      <c r="B43" s="1145"/>
      <c r="C43" s="1145"/>
      <c r="D43" s="1145"/>
      <c r="E43" s="1145"/>
      <c r="F43" s="1145"/>
      <c r="G43" s="1145"/>
      <c r="H43" s="1145"/>
      <c r="I43" s="1145"/>
      <c r="J43" s="1145"/>
    </row>
    <row r="44" spans="1:10" ht="18.75" customHeight="1" x14ac:dyDescent="0.15">
      <c r="B44" s="1145"/>
      <c r="C44" s="1145"/>
      <c r="D44" s="1145"/>
      <c r="E44" s="1145"/>
      <c r="F44" s="1145"/>
      <c r="G44" s="1145"/>
      <c r="H44" s="1145"/>
      <c r="I44" s="1145"/>
      <c r="J44" s="1145"/>
    </row>
    <row r="45" spans="1:10" ht="18.75" customHeight="1" x14ac:dyDescent="0.15">
      <c r="B45" s="1145"/>
      <c r="C45" s="1145"/>
      <c r="D45" s="1145"/>
      <c r="E45" s="1145"/>
      <c r="F45" s="1145"/>
      <c r="G45" s="1145"/>
      <c r="H45" s="1145"/>
      <c r="I45" s="1145"/>
      <c r="J45" s="1145"/>
    </row>
    <row r="46" spans="1:10" ht="18.75" customHeight="1" x14ac:dyDescent="0.15">
      <c r="B46" s="1145"/>
      <c r="C46" s="1145"/>
      <c r="D46" s="1145"/>
      <c r="E46" s="1145"/>
      <c r="F46" s="1145"/>
      <c r="G46" s="1145"/>
      <c r="H46" s="1145"/>
      <c r="I46" s="1145"/>
      <c r="J46" s="1145"/>
    </row>
    <row r="47" spans="1:10" ht="18.75" customHeight="1" x14ac:dyDescent="0.15">
      <c r="B47" s="1145"/>
      <c r="C47" s="1145"/>
      <c r="D47" s="1145"/>
      <c r="E47" s="1145"/>
      <c r="F47" s="1145"/>
      <c r="G47" s="1145"/>
      <c r="H47" s="1145"/>
      <c r="I47" s="1145"/>
      <c r="J47" s="1145"/>
    </row>
    <row r="48" spans="1:10" ht="18.75" customHeight="1" x14ac:dyDescent="0.15">
      <c r="B48" s="1145"/>
      <c r="C48" s="1145"/>
      <c r="D48" s="1145"/>
      <c r="E48" s="1145"/>
      <c r="F48" s="1145"/>
      <c r="G48" s="1145"/>
      <c r="H48" s="1145"/>
      <c r="I48" s="1145"/>
      <c r="J48" s="1145"/>
    </row>
    <row r="49" spans="2:9" ht="9" customHeight="1" x14ac:dyDescent="0.15"/>
    <row r="50" spans="2:9" ht="15.6" customHeight="1" x14ac:dyDescent="0.15">
      <c r="B50" s="20" t="s">
        <v>263</v>
      </c>
    </row>
    <row r="51" spans="2:9" ht="9" customHeight="1" x14ac:dyDescent="0.15"/>
    <row r="52" spans="2:9" ht="15.6" customHeight="1" x14ac:dyDescent="0.15">
      <c r="C52" s="1174" t="s">
        <v>264</v>
      </c>
      <c r="D52" s="1175"/>
      <c r="E52" s="1175"/>
      <c r="F52" s="1175"/>
      <c r="G52" s="1175"/>
      <c r="H52" s="1175"/>
      <c r="I52" s="1186"/>
    </row>
  </sheetData>
  <mergeCells count="53">
    <mergeCell ref="A9:B9"/>
    <mergeCell ref="C9:E9"/>
    <mergeCell ref="H9:J9"/>
    <mergeCell ref="C1:H1"/>
    <mergeCell ref="H3:J3"/>
    <mergeCell ref="C5:J5"/>
    <mergeCell ref="H6:J7"/>
    <mergeCell ref="A7:B7"/>
    <mergeCell ref="A20:B20"/>
    <mergeCell ref="A10:B17"/>
    <mergeCell ref="E10:F10"/>
    <mergeCell ref="I10:J10"/>
    <mergeCell ref="C11:C17"/>
    <mergeCell ref="D11:E17"/>
    <mergeCell ref="H11:I11"/>
    <mergeCell ref="J11:J17"/>
    <mergeCell ref="H12:I12"/>
    <mergeCell ref="H13:I13"/>
    <mergeCell ref="H14:I14"/>
    <mergeCell ref="H15:I15"/>
    <mergeCell ref="H16:I16"/>
    <mergeCell ref="H17:I17"/>
    <mergeCell ref="A18:B18"/>
    <mergeCell ref="C18:J18"/>
    <mergeCell ref="A22:B22"/>
    <mergeCell ref="C22:J22"/>
    <mergeCell ref="A23:B23"/>
    <mergeCell ref="C23:J23"/>
    <mergeCell ref="A24:B24"/>
    <mergeCell ref="C24:J24"/>
    <mergeCell ref="B38:J38"/>
    <mergeCell ref="A25:B25"/>
    <mergeCell ref="C25:J25"/>
    <mergeCell ref="A26:B26"/>
    <mergeCell ref="C26:J26"/>
    <mergeCell ref="A27:B30"/>
    <mergeCell ref="D27:G27"/>
    <mergeCell ref="C28:J28"/>
    <mergeCell ref="D29:G29"/>
    <mergeCell ref="C30:J30"/>
    <mergeCell ref="B33:J33"/>
    <mergeCell ref="B34:J34"/>
    <mergeCell ref="B35:J35"/>
    <mergeCell ref="B36:J36"/>
    <mergeCell ref="B37:J37"/>
    <mergeCell ref="B48:J48"/>
    <mergeCell ref="C52:I52"/>
    <mergeCell ref="A40:B40"/>
    <mergeCell ref="B43:J43"/>
    <mergeCell ref="B44:J44"/>
    <mergeCell ref="B45:J45"/>
    <mergeCell ref="B46:J46"/>
    <mergeCell ref="B47:J47"/>
  </mergeCells>
  <phoneticPr fontId="2"/>
  <pageMargins left="0.7" right="0.7" top="0.75" bottom="0.75" header="0.3" footer="0.3"/>
  <pageSetup paperSize="9" scale="97"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pageSetUpPr fitToPage="1"/>
  </sheetPr>
  <dimension ref="A1:BN82"/>
  <sheetViews>
    <sheetView zoomScale="115" zoomScaleNormal="115" workbookViewId="0">
      <selection activeCell="I5" sqref="I5:J5"/>
    </sheetView>
  </sheetViews>
  <sheetFormatPr defaultColWidth="9" defaultRowHeight="14.25" x14ac:dyDescent="0.2"/>
  <cols>
    <col min="1" max="10" width="3" style="352" customWidth="1"/>
    <col min="11" max="11" width="2.375" style="352" customWidth="1"/>
    <col min="12" max="13" width="0.625" style="352" customWidth="1"/>
    <col min="14" max="14" width="2.375" style="352" customWidth="1"/>
    <col min="15" max="34" width="3" style="352" customWidth="1"/>
    <col min="35" max="35" width="2.875" style="352" customWidth="1"/>
    <col min="36" max="41" width="2.625" style="352" customWidth="1"/>
    <col min="42" max="43" width="5.375" style="352" hidden="1" customWidth="1"/>
    <col min="44" max="44" width="7.375" style="352" hidden="1" customWidth="1"/>
    <col min="45" max="45" width="13.375" style="352" hidden="1" customWidth="1"/>
    <col min="46" max="47" width="5.375" style="352" hidden="1" customWidth="1"/>
    <col min="48" max="48" width="5.625" style="352" hidden="1" customWidth="1"/>
    <col min="49" max="49" width="13.125" style="352" hidden="1" customWidth="1"/>
    <col min="50" max="50" width="9" style="352"/>
    <col min="51" max="51" width="12.375" style="258" customWidth="1"/>
    <col min="52" max="52" width="3.125" style="258" customWidth="1"/>
    <col min="53" max="53" width="12.375" style="258" customWidth="1"/>
    <col min="54" max="54" width="3.125" style="258" customWidth="1"/>
    <col min="55" max="55" width="12.375" style="258" customWidth="1"/>
    <col min="56" max="56" width="3.125" style="258" customWidth="1"/>
    <col min="57" max="58" width="12.375" style="258" customWidth="1"/>
    <col min="59" max="59" width="3.125" style="258" customWidth="1"/>
    <col min="60" max="60" width="12.375" style="258" customWidth="1"/>
    <col min="61" max="61" width="3.125" style="258" customWidth="1"/>
    <col min="62" max="62" width="12.375" style="258" customWidth="1"/>
    <col min="63" max="63" width="3.125" style="258" customWidth="1"/>
    <col min="64" max="64" width="12.375" style="258" customWidth="1"/>
    <col min="65" max="65" width="3.125" style="258" customWidth="1"/>
    <col min="66" max="66" width="12.375" style="258" customWidth="1"/>
    <col min="67" max="16384" width="9" style="352"/>
  </cols>
  <sheetData>
    <row r="1" spans="1:66" ht="12.75" customHeight="1" thickBot="1" x14ac:dyDescent="0.25">
      <c r="A1" s="1189" t="s">
        <v>269</v>
      </c>
      <c r="B1" s="1189"/>
      <c r="C1" s="1189"/>
      <c r="D1" s="1189"/>
      <c r="E1" s="1189"/>
      <c r="F1" s="1189"/>
      <c r="G1" s="1189"/>
      <c r="H1" s="1189"/>
      <c r="I1" s="1189"/>
      <c r="J1" s="1189"/>
      <c r="K1" s="1189"/>
      <c r="L1" s="1189"/>
      <c r="M1" s="1189"/>
      <c r="N1" s="1189"/>
      <c r="O1" s="1189"/>
      <c r="P1" s="1189"/>
      <c r="Q1" s="351"/>
      <c r="R1" s="351"/>
      <c r="S1" s="351"/>
      <c r="T1" s="351"/>
      <c r="U1" s="351"/>
      <c r="V1" s="351"/>
      <c r="W1" s="1190" t="s">
        <v>270</v>
      </c>
      <c r="X1" s="1190"/>
      <c r="Y1" s="1190"/>
      <c r="Z1" s="1190"/>
      <c r="AA1" s="1190"/>
      <c r="AB1" s="1190"/>
      <c r="AC1" s="1190" t="s">
        <v>271</v>
      </c>
      <c r="AD1" s="1190"/>
      <c r="AE1" s="1190"/>
      <c r="AF1" s="1190"/>
      <c r="AG1" s="1190"/>
      <c r="AH1" s="1190"/>
      <c r="AY1" s="258" t="s">
        <v>272</v>
      </c>
      <c r="BA1" s="258" t="s">
        <v>273</v>
      </c>
      <c r="BC1" s="258" t="s">
        <v>274</v>
      </c>
      <c r="BE1" s="258" t="s">
        <v>275</v>
      </c>
      <c r="BH1" s="353" t="s">
        <v>276</v>
      </c>
      <c r="BI1" s="353"/>
      <c r="BJ1" s="353" t="s">
        <v>277</v>
      </c>
      <c r="BK1" s="353"/>
      <c r="BL1" s="353" t="s">
        <v>278</v>
      </c>
      <c r="BM1" s="353"/>
      <c r="BN1" s="353" t="s">
        <v>279</v>
      </c>
    </row>
    <row r="2" spans="1:66" ht="12.75" customHeight="1" thickTop="1" x14ac:dyDescent="0.2">
      <c r="A2" s="1201" t="str">
        <f ca="1">"第"&amp;YEAR(NOW())-1962&amp;"回 石川県中学校サッカー大会公式記録"</f>
        <v>第62回 石川県中学校サッカー大会公式記録</v>
      </c>
      <c r="B2" s="1201"/>
      <c r="C2" s="1201"/>
      <c r="D2" s="1201"/>
      <c r="E2" s="1201"/>
      <c r="F2" s="1201"/>
      <c r="G2" s="1201"/>
      <c r="H2" s="1201"/>
      <c r="I2" s="1201"/>
      <c r="J2" s="1201"/>
      <c r="K2" s="1201"/>
      <c r="L2" s="1201"/>
      <c r="M2" s="1201"/>
      <c r="N2" s="1201"/>
      <c r="O2" s="1201"/>
      <c r="P2" s="1201"/>
      <c r="Q2" s="1201"/>
      <c r="R2" s="1201"/>
      <c r="S2" s="1201"/>
      <c r="T2" s="1201"/>
      <c r="U2" s="1201"/>
      <c r="V2" s="354"/>
      <c r="W2" s="1191" t="str">
        <f>IF(F7="","",F7)</f>
        <v/>
      </c>
      <c r="X2" s="1191"/>
      <c r="Y2" s="1191"/>
      <c r="Z2" s="1191"/>
      <c r="AA2" s="1191"/>
      <c r="AB2" s="1191"/>
      <c r="AC2" s="1191" t="str">
        <f>IF(F8="","",F8)</f>
        <v/>
      </c>
      <c r="AD2" s="1191"/>
      <c r="AE2" s="1191"/>
      <c r="AF2" s="1191"/>
      <c r="AG2" s="1191"/>
      <c r="AH2" s="1191"/>
      <c r="AY2" s="355" t="s">
        <v>280</v>
      </c>
      <c r="BA2" s="355" t="s">
        <v>281</v>
      </c>
      <c r="BC2" s="355" t="s">
        <v>282</v>
      </c>
      <c r="BE2" s="356" t="s">
        <v>283</v>
      </c>
      <c r="BF2" s="355" t="s">
        <v>284</v>
      </c>
      <c r="BH2" s="357" t="s">
        <v>285</v>
      </c>
      <c r="BI2" s="353"/>
      <c r="BJ2" s="357">
        <v>5</v>
      </c>
      <c r="BK2" s="353"/>
      <c r="BL2" s="357">
        <v>45</v>
      </c>
      <c r="BM2" s="353"/>
      <c r="BN2" s="357" t="s">
        <v>286</v>
      </c>
    </row>
    <row r="3" spans="1:66" ht="12.75" customHeight="1" x14ac:dyDescent="0.2">
      <c r="A3" s="1201"/>
      <c r="B3" s="1201"/>
      <c r="C3" s="1201"/>
      <c r="D3" s="1201"/>
      <c r="E3" s="1201"/>
      <c r="F3" s="1201"/>
      <c r="G3" s="1201"/>
      <c r="H3" s="1201"/>
      <c r="I3" s="1201"/>
      <c r="J3" s="1201"/>
      <c r="K3" s="1201"/>
      <c r="L3" s="1201"/>
      <c r="M3" s="1201"/>
      <c r="N3" s="1201"/>
      <c r="O3" s="1201"/>
      <c r="P3" s="1201"/>
      <c r="Q3" s="1201"/>
      <c r="R3" s="1201"/>
      <c r="S3" s="1201"/>
      <c r="T3" s="1201"/>
      <c r="U3" s="1201"/>
      <c r="V3" s="354"/>
      <c r="W3" s="1192"/>
      <c r="X3" s="1192"/>
      <c r="Y3" s="1192"/>
      <c r="Z3" s="1192"/>
      <c r="AA3" s="1192"/>
      <c r="AB3" s="1192"/>
      <c r="AC3" s="1192"/>
      <c r="AD3" s="1192"/>
      <c r="AE3" s="1192"/>
      <c r="AF3" s="1192"/>
      <c r="AG3" s="1192"/>
      <c r="AH3" s="1192"/>
      <c r="AY3" s="358" t="s">
        <v>287</v>
      </c>
      <c r="BA3" s="358" t="s">
        <v>288</v>
      </c>
      <c r="BC3" s="358" t="s">
        <v>289</v>
      </c>
      <c r="BE3" s="359" t="s">
        <v>290</v>
      </c>
      <c r="BF3" s="358" t="s">
        <v>291</v>
      </c>
      <c r="BH3" s="360" t="s">
        <v>292</v>
      </c>
      <c r="BI3" s="353"/>
      <c r="BJ3" s="360">
        <v>10</v>
      </c>
      <c r="BK3" s="353"/>
      <c r="BL3" s="360">
        <v>44</v>
      </c>
      <c r="BM3" s="353"/>
      <c r="BN3" s="360" t="s">
        <v>293</v>
      </c>
    </row>
    <row r="4" spans="1:66" ht="12.75" customHeight="1" x14ac:dyDescent="0.2">
      <c r="A4" s="1193" t="s">
        <v>294</v>
      </c>
      <c r="B4" s="1193"/>
      <c r="C4" s="1193"/>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Y4" s="358" t="s">
        <v>295</v>
      </c>
      <c r="BA4" s="358" t="s">
        <v>296</v>
      </c>
      <c r="BC4" s="358" t="s">
        <v>297</v>
      </c>
      <c r="BE4" s="359"/>
      <c r="BF4" s="358"/>
      <c r="BH4" s="360" t="s">
        <v>298</v>
      </c>
      <c r="BI4" s="353"/>
      <c r="BJ4" s="360">
        <v>15</v>
      </c>
      <c r="BK4" s="353"/>
      <c r="BL4" s="360">
        <v>43</v>
      </c>
      <c r="BM4" s="353"/>
      <c r="BN4" s="360" t="s">
        <v>299</v>
      </c>
    </row>
    <row r="5" spans="1:66" ht="12.75" customHeight="1" x14ac:dyDescent="0.2">
      <c r="A5" s="1194" t="s">
        <v>300</v>
      </c>
      <c r="B5" s="1195"/>
      <c r="C5" s="1195"/>
      <c r="D5" s="1195"/>
      <c r="E5" s="1196">
        <f ca="1">マッチ決勝!C9</f>
        <v>45488</v>
      </c>
      <c r="F5" s="1196"/>
      <c r="G5" s="1196"/>
      <c r="H5" s="1197"/>
      <c r="I5" s="1198">
        <f>マッチ決勝!G9</f>
        <v>0.39583333333333331</v>
      </c>
      <c r="J5" s="1199"/>
      <c r="K5" s="1195" t="s">
        <v>301</v>
      </c>
      <c r="L5" s="1195"/>
      <c r="M5" s="1195"/>
      <c r="N5" s="1195"/>
      <c r="O5" s="1195" t="s">
        <v>302</v>
      </c>
      <c r="P5" s="1195"/>
      <c r="Q5" s="1195"/>
      <c r="R5" s="1195"/>
      <c r="S5" s="1195"/>
      <c r="T5" s="1195"/>
      <c r="U5" s="1195" t="s">
        <v>303</v>
      </c>
      <c r="V5" s="1195"/>
      <c r="W5" s="1195" t="str">
        <f>マッチ決勝!C18</f>
        <v>金沢ゴーゴーカレースタジアム</v>
      </c>
      <c r="X5" s="1195"/>
      <c r="Y5" s="1195"/>
      <c r="Z5" s="1195"/>
      <c r="AA5" s="1195"/>
      <c r="AB5" s="1195"/>
      <c r="AC5" s="1195"/>
      <c r="AD5" s="1195"/>
      <c r="AE5" s="1195"/>
      <c r="AF5" s="1195"/>
      <c r="AG5" s="1195"/>
      <c r="AH5" s="1200"/>
      <c r="AY5" s="358" t="s">
        <v>304</v>
      </c>
      <c r="BA5" s="358" t="s">
        <v>305</v>
      </c>
      <c r="BC5" s="358" t="s">
        <v>306</v>
      </c>
      <c r="BE5" s="359"/>
      <c r="BF5" s="358"/>
      <c r="BH5" s="360" t="s">
        <v>307</v>
      </c>
      <c r="BI5" s="353"/>
      <c r="BJ5" s="360">
        <v>20</v>
      </c>
      <c r="BK5" s="353"/>
      <c r="BL5" s="360">
        <v>42</v>
      </c>
      <c r="BM5" s="353"/>
      <c r="BN5" s="360" t="s">
        <v>217</v>
      </c>
    </row>
    <row r="6" spans="1:66" ht="12.75" customHeight="1" x14ac:dyDescent="0.2">
      <c r="A6" s="1208" t="s">
        <v>308</v>
      </c>
      <c r="B6" s="1206"/>
      <c r="C6" s="1202"/>
      <c r="D6" s="1203"/>
      <c r="E6" s="1203"/>
      <c r="F6" s="1203"/>
      <c r="G6" s="1203"/>
      <c r="H6" s="1203"/>
      <c r="I6" s="1203"/>
      <c r="J6" s="1203"/>
      <c r="K6" s="1203"/>
      <c r="L6" s="1204"/>
      <c r="M6" s="1205"/>
      <c r="N6" s="1206" t="s">
        <v>309</v>
      </c>
      <c r="O6" s="1206"/>
      <c r="P6" s="1209"/>
      <c r="Q6" s="1210"/>
      <c r="R6" s="1206" t="s">
        <v>310</v>
      </c>
      <c r="S6" s="1206"/>
      <c r="T6" s="1211"/>
      <c r="U6" s="1212"/>
      <c r="V6" s="1206" t="s">
        <v>311</v>
      </c>
      <c r="W6" s="1206"/>
      <c r="X6" s="1206"/>
      <c r="Y6" s="1206"/>
      <c r="Z6" s="1206"/>
      <c r="AA6" s="1206" t="s">
        <v>312</v>
      </c>
      <c r="AB6" s="1206"/>
      <c r="AC6" s="1206"/>
      <c r="AD6" s="1206"/>
      <c r="AE6" s="1206"/>
      <c r="AF6" s="1206" t="s">
        <v>313</v>
      </c>
      <c r="AG6" s="1206"/>
      <c r="AH6" s="1207"/>
      <c r="AY6" s="358" t="s">
        <v>314</v>
      </c>
      <c r="BA6" s="358" t="s">
        <v>297</v>
      </c>
      <c r="BC6" s="358" t="s">
        <v>315</v>
      </c>
      <c r="BE6" s="359"/>
      <c r="BF6" s="358"/>
      <c r="BH6" s="360" t="s">
        <v>316</v>
      </c>
      <c r="BI6" s="353"/>
      <c r="BJ6" s="360">
        <v>25</v>
      </c>
      <c r="BK6" s="353"/>
      <c r="BL6" s="360">
        <v>41</v>
      </c>
      <c r="BM6" s="353"/>
      <c r="BN6" s="360"/>
    </row>
    <row r="7" spans="1:66" ht="12.75" customHeight="1" x14ac:dyDescent="0.2">
      <c r="A7" s="1208" t="s">
        <v>270</v>
      </c>
      <c r="B7" s="1206"/>
      <c r="C7" s="1206"/>
      <c r="D7" s="1206"/>
      <c r="E7" s="1206"/>
      <c r="F7" s="1206"/>
      <c r="G7" s="1206"/>
      <c r="H7" s="1206"/>
      <c r="I7" s="1206"/>
      <c r="J7" s="1206"/>
      <c r="K7" s="1206" t="s">
        <v>317</v>
      </c>
      <c r="L7" s="1206"/>
      <c r="M7" s="1206"/>
      <c r="N7" s="1206"/>
      <c r="O7" s="1206"/>
      <c r="P7" s="1206"/>
      <c r="Q7" s="1206"/>
      <c r="R7" s="1206"/>
      <c r="S7" s="1206"/>
      <c r="T7" s="1206" t="s">
        <v>318</v>
      </c>
      <c r="U7" s="1206"/>
      <c r="V7" s="1206"/>
      <c r="W7" s="1206"/>
      <c r="X7" s="1206"/>
      <c r="Y7" s="1206"/>
      <c r="Z7" s="1206"/>
      <c r="AA7" s="361" t="s">
        <v>319</v>
      </c>
      <c r="AB7" s="1206"/>
      <c r="AC7" s="1206"/>
      <c r="AD7" s="1206"/>
      <c r="AE7" s="1206"/>
      <c r="AF7" s="1220"/>
      <c r="AG7" s="1220"/>
      <c r="AH7" s="1221"/>
      <c r="AY7" s="358" t="s">
        <v>320</v>
      </c>
      <c r="BA7" s="358" t="s">
        <v>289</v>
      </c>
      <c r="BC7" s="358" t="s">
        <v>321</v>
      </c>
      <c r="BE7" s="359"/>
      <c r="BF7" s="358"/>
      <c r="BH7" s="360" t="s">
        <v>322</v>
      </c>
      <c r="BI7" s="353"/>
      <c r="BJ7" s="360">
        <v>30</v>
      </c>
      <c r="BK7" s="353"/>
      <c r="BL7" s="360">
        <v>40</v>
      </c>
      <c r="BM7" s="353"/>
      <c r="BN7" s="360"/>
    </row>
    <row r="8" spans="1:66" ht="12.75" customHeight="1" x14ac:dyDescent="0.2">
      <c r="A8" s="1225" t="s">
        <v>271</v>
      </c>
      <c r="B8" s="1224"/>
      <c r="C8" s="1224"/>
      <c r="D8" s="1224"/>
      <c r="E8" s="1224"/>
      <c r="F8" s="1206"/>
      <c r="G8" s="1206"/>
      <c r="H8" s="1206"/>
      <c r="I8" s="1206"/>
      <c r="J8" s="1206"/>
      <c r="K8" s="1224" t="s">
        <v>323</v>
      </c>
      <c r="L8" s="1224"/>
      <c r="M8" s="1224"/>
      <c r="N8" s="1224"/>
      <c r="O8" s="1206"/>
      <c r="P8" s="1206"/>
      <c r="Q8" s="1206"/>
      <c r="R8" s="1206"/>
      <c r="S8" s="1206"/>
      <c r="T8" s="1224" t="s">
        <v>324</v>
      </c>
      <c r="U8" s="1224"/>
      <c r="V8" s="1206"/>
      <c r="W8" s="1206"/>
      <c r="X8" s="1206"/>
      <c r="Y8" s="1206"/>
      <c r="Z8" s="1206"/>
      <c r="AA8" s="362" t="s">
        <v>325</v>
      </c>
      <c r="AB8" s="1224"/>
      <c r="AC8" s="1224"/>
      <c r="AD8" s="1224"/>
      <c r="AE8" s="1224"/>
      <c r="AF8" s="1222"/>
      <c r="AG8" s="1222"/>
      <c r="AH8" s="1223"/>
      <c r="AY8" s="358" t="s">
        <v>326</v>
      </c>
      <c r="BA8" s="358" t="s">
        <v>327</v>
      </c>
      <c r="BC8" s="358" t="s">
        <v>328</v>
      </c>
      <c r="BE8" s="359"/>
      <c r="BF8" s="358"/>
      <c r="BH8" s="360"/>
      <c r="BI8" s="353"/>
      <c r="BJ8" s="360">
        <v>35</v>
      </c>
      <c r="BK8" s="353"/>
      <c r="BL8" s="360">
        <v>39</v>
      </c>
      <c r="BM8" s="353"/>
      <c r="BN8" s="360"/>
    </row>
    <row r="9" spans="1:66" ht="15" customHeight="1" x14ac:dyDescent="0.2">
      <c r="A9" s="1226" t="str">
        <f>IF(ISERROR(FIND("立",AQ17)),"",LEFT(AQ17,FIND("立",AQ17)))</f>
        <v/>
      </c>
      <c r="B9" s="1227"/>
      <c r="C9" s="1227"/>
      <c r="D9" s="1227"/>
      <c r="E9" s="1227"/>
      <c r="F9" s="363"/>
      <c r="G9" s="363"/>
      <c r="H9" s="363"/>
      <c r="I9" s="364"/>
      <c r="J9" s="1379"/>
      <c r="K9" s="1370"/>
      <c r="L9" s="1370"/>
      <c r="M9" s="1370"/>
      <c r="N9" s="1370"/>
      <c r="O9" s="1215"/>
      <c r="P9" s="1216"/>
      <c r="Q9" s="1217" t="s">
        <v>329</v>
      </c>
      <c r="R9" s="1218"/>
      <c r="S9" s="1218"/>
      <c r="T9" s="1219"/>
      <c r="U9" s="1368"/>
      <c r="V9" s="1369"/>
      <c r="W9" s="1370"/>
      <c r="X9" s="1370"/>
      <c r="Y9" s="1371"/>
      <c r="Z9" s="1226" t="str">
        <f>IF(ISERROR(FIND("立",AU17)),"",LEFT(AU17,FIND("立",AU17)))</f>
        <v/>
      </c>
      <c r="AA9" s="1227"/>
      <c r="AB9" s="1227"/>
      <c r="AC9" s="1227"/>
      <c r="AD9" s="1227"/>
      <c r="AE9" s="363"/>
      <c r="AF9" s="363"/>
      <c r="AG9" s="363"/>
      <c r="AH9" s="364"/>
      <c r="AY9" s="358" t="s">
        <v>330</v>
      </c>
      <c r="BA9" s="358" t="s">
        <v>331</v>
      </c>
      <c r="BC9" s="358"/>
      <c r="BE9" s="359"/>
      <c r="BF9" s="358"/>
      <c r="BH9" s="360"/>
      <c r="BI9" s="353"/>
      <c r="BJ9" s="360">
        <v>40</v>
      </c>
      <c r="BK9" s="353"/>
      <c r="BL9" s="360">
        <v>38</v>
      </c>
      <c r="BM9" s="353"/>
      <c r="BN9" s="360"/>
    </row>
    <row r="10" spans="1:66" ht="12.75" hidden="1" customHeight="1" x14ac:dyDescent="0.2">
      <c r="A10" s="365" t="str">
        <f>'県体(赤)'!N14</f>
        <v/>
      </c>
      <c r="B10" s="366" t="str">
        <f>Z10</f>
        <v/>
      </c>
      <c r="C10" s="354"/>
      <c r="D10" s="354"/>
      <c r="E10" s="354"/>
      <c r="F10" s="354"/>
      <c r="G10" s="354"/>
      <c r="H10" s="354"/>
      <c r="I10" s="367"/>
      <c r="J10" s="1380"/>
      <c r="K10" s="1372"/>
      <c r="L10" s="1372"/>
      <c r="M10" s="1372"/>
      <c r="N10" s="1372"/>
      <c r="O10" s="1230"/>
      <c r="P10" s="1231"/>
      <c r="Q10" s="368"/>
      <c r="R10" s="369"/>
      <c r="S10" s="369"/>
      <c r="T10" s="370"/>
      <c r="U10" s="1228"/>
      <c r="V10" s="1229"/>
      <c r="W10" s="1372"/>
      <c r="X10" s="1372"/>
      <c r="Y10" s="1373"/>
      <c r="Z10" s="365" t="str">
        <f>'県体(赤)'!AX14</f>
        <v/>
      </c>
      <c r="AA10" s="354"/>
      <c r="AB10" s="354"/>
      <c r="AC10" s="354"/>
      <c r="AD10" s="354"/>
      <c r="AE10" s="354"/>
      <c r="AF10" s="354"/>
      <c r="AG10" s="354"/>
      <c r="AH10" s="367"/>
      <c r="AY10" s="358" t="s">
        <v>332</v>
      </c>
      <c r="BA10" s="358"/>
      <c r="BC10" s="358"/>
      <c r="BE10" s="359"/>
      <c r="BF10" s="358"/>
      <c r="BH10" s="360"/>
      <c r="BI10" s="353"/>
      <c r="BJ10" s="360">
        <v>45</v>
      </c>
      <c r="BK10" s="353"/>
      <c r="BL10" s="360">
        <v>37</v>
      </c>
      <c r="BM10" s="353"/>
      <c r="BN10" s="360"/>
    </row>
    <row r="11" spans="1:66" ht="15" customHeight="1" x14ac:dyDescent="0.2">
      <c r="A11" s="1362" t="str">
        <f>IF(ISERROR(FIND("立",AQ17)),AQ17,MID(AQ17,FIND("立",AQ17)+1,10))</f>
        <v/>
      </c>
      <c r="B11" s="1363"/>
      <c r="C11" s="1363"/>
      <c r="D11" s="1363"/>
      <c r="E11" s="1363"/>
      <c r="F11" s="1363"/>
      <c r="G11" s="1363"/>
      <c r="H11" s="1363"/>
      <c r="I11" s="1364"/>
      <c r="J11" s="1380"/>
      <c r="K11" s="1372"/>
      <c r="L11" s="1372"/>
      <c r="M11" s="1372"/>
      <c r="N11" s="1372"/>
      <c r="O11" s="1376"/>
      <c r="P11" s="1377"/>
      <c r="Q11" s="1382" t="s">
        <v>333</v>
      </c>
      <c r="R11" s="1250"/>
      <c r="S11" s="1250"/>
      <c r="T11" s="1383"/>
      <c r="U11" s="1213"/>
      <c r="V11" s="1214"/>
      <c r="W11" s="1372"/>
      <c r="X11" s="1372"/>
      <c r="Y11" s="1373"/>
      <c r="Z11" s="1362" t="str">
        <f>IF(ISERROR(FIND("立",AU17)),AU17,MID(AU17,FIND("立",AU17)+1,10))</f>
        <v/>
      </c>
      <c r="AA11" s="1365"/>
      <c r="AB11" s="1365"/>
      <c r="AC11" s="1365"/>
      <c r="AD11" s="1365"/>
      <c r="AE11" s="1365"/>
      <c r="AF11" s="1365"/>
      <c r="AG11" s="1365"/>
      <c r="AH11" s="1366"/>
      <c r="AY11" s="358" t="s">
        <v>334</v>
      </c>
      <c r="BA11" s="358"/>
      <c r="BC11" s="358"/>
      <c r="BE11" s="359"/>
      <c r="BF11" s="358"/>
      <c r="BH11" s="360"/>
      <c r="BI11" s="353"/>
      <c r="BJ11" s="360">
        <v>50</v>
      </c>
      <c r="BK11" s="353"/>
      <c r="BL11" s="360">
        <v>36</v>
      </c>
      <c r="BM11" s="353"/>
      <c r="BN11" s="360"/>
    </row>
    <row r="12" spans="1:66" ht="15" customHeight="1" x14ac:dyDescent="0.2">
      <c r="A12" s="1362"/>
      <c r="B12" s="1363"/>
      <c r="C12" s="1363"/>
      <c r="D12" s="1363"/>
      <c r="E12" s="1363"/>
      <c r="F12" s="1363"/>
      <c r="G12" s="1363"/>
      <c r="H12" s="1363"/>
      <c r="I12" s="1364"/>
      <c r="J12" s="1380"/>
      <c r="K12" s="1372"/>
      <c r="L12" s="1372"/>
      <c r="M12" s="1372"/>
      <c r="N12" s="1372"/>
      <c r="O12" s="1215"/>
      <c r="P12" s="1216"/>
      <c r="Q12" s="1217" t="s">
        <v>245</v>
      </c>
      <c r="R12" s="1218"/>
      <c r="S12" s="1218"/>
      <c r="T12" s="1219"/>
      <c r="U12" s="1368"/>
      <c r="V12" s="1369"/>
      <c r="W12" s="1372"/>
      <c r="X12" s="1372"/>
      <c r="Y12" s="1373"/>
      <c r="Z12" s="1367"/>
      <c r="AA12" s="1365"/>
      <c r="AB12" s="1365"/>
      <c r="AC12" s="1365"/>
      <c r="AD12" s="1365"/>
      <c r="AE12" s="1365"/>
      <c r="AF12" s="1365"/>
      <c r="AG12" s="1365"/>
      <c r="AH12" s="1366"/>
      <c r="AY12" s="358" t="s">
        <v>335</v>
      </c>
      <c r="BA12" s="358"/>
      <c r="BC12" s="358"/>
      <c r="BE12" s="359"/>
      <c r="BF12" s="358"/>
      <c r="BH12" s="360"/>
      <c r="BI12" s="353"/>
      <c r="BJ12" s="360">
        <v>55</v>
      </c>
      <c r="BK12" s="353"/>
      <c r="BL12" s="360">
        <v>35</v>
      </c>
      <c r="BM12" s="353"/>
      <c r="BN12" s="360"/>
    </row>
    <row r="13" spans="1:66" ht="15" customHeight="1" x14ac:dyDescent="0.2">
      <c r="A13" s="1358" t="str">
        <f>AQ18</f>
        <v/>
      </c>
      <c r="B13" s="1359"/>
      <c r="C13" s="1359"/>
      <c r="D13" s="1359"/>
      <c r="E13" s="1359"/>
      <c r="F13" s="1359"/>
      <c r="G13" s="1359"/>
      <c r="H13" s="1360"/>
      <c r="I13" s="1361"/>
      <c r="J13" s="1380"/>
      <c r="K13" s="1372"/>
      <c r="L13" s="1372"/>
      <c r="M13" s="1372"/>
      <c r="N13" s="1372"/>
      <c r="O13" s="1376"/>
      <c r="P13" s="1377"/>
      <c r="Q13" s="1311" t="s">
        <v>246</v>
      </c>
      <c r="R13" s="1378"/>
      <c r="S13" s="1378"/>
      <c r="T13" s="1286"/>
      <c r="U13" s="1213"/>
      <c r="V13" s="1214"/>
      <c r="W13" s="1372"/>
      <c r="X13" s="1372"/>
      <c r="Y13" s="1373"/>
      <c r="Z13" s="1358" t="str">
        <f>AU18</f>
        <v/>
      </c>
      <c r="AA13" s="1359"/>
      <c r="AB13" s="1359"/>
      <c r="AC13" s="1359"/>
      <c r="AD13" s="1359"/>
      <c r="AE13" s="1359"/>
      <c r="AF13" s="1359"/>
      <c r="AG13" s="1360"/>
      <c r="AH13" s="1361"/>
      <c r="AY13" s="358" t="s">
        <v>336</v>
      </c>
      <c r="BA13" s="358"/>
      <c r="BC13" s="358"/>
      <c r="BE13" s="359"/>
      <c r="BF13" s="358"/>
      <c r="BH13" s="360"/>
      <c r="BI13" s="353"/>
      <c r="BJ13" s="360">
        <v>60</v>
      </c>
      <c r="BK13" s="353"/>
      <c r="BL13" s="360">
        <v>34</v>
      </c>
      <c r="BM13" s="353"/>
      <c r="BN13" s="360"/>
    </row>
    <row r="14" spans="1:66" ht="15" customHeight="1" x14ac:dyDescent="0.2">
      <c r="A14" s="365"/>
      <c r="B14" s="354"/>
      <c r="C14" s="354"/>
      <c r="D14" s="354"/>
      <c r="E14" s="354"/>
      <c r="F14" s="354"/>
      <c r="I14" s="371"/>
      <c r="J14" s="1380"/>
      <c r="K14" s="1372"/>
      <c r="L14" s="1372"/>
      <c r="M14" s="1372"/>
      <c r="N14" s="1372"/>
      <c r="O14" s="1215"/>
      <c r="P14" s="1216"/>
      <c r="Q14" s="1217"/>
      <c r="R14" s="1218"/>
      <c r="S14" s="1218"/>
      <c r="T14" s="1219"/>
      <c r="U14" s="1368"/>
      <c r="V14" s="1369"/>
      <c r="W14" s="1372"/>
      <c r="X14" s="1372"/>
      <c r="Y14" s="1373"/>
      <c r="Z14" s="354"/>
      <c r="AA14" s="1280"/>
      <c r="AB14" s="1280"/>
      <c r="AC14" s="354"/>
      <c r="AD14" s="354"/>
      <c r="AE14" s="354"/>
      <c r="AF14" s="354"/>
      <c r="AG14" s="354"/>
      <c r="AH14" s="371"/>
      <c r="AY14" s="358" t="s">
        <v>337</v>
      </c>
      <c r="BA14" s="358"/>
      <c r="BC14" s="358"/>
      <c r="BE14" s="359"/>
      <c r="BF14" s="358"/>
      <c r="BH14" s="360"/>
      <c r="BI14" s="353"/>
      <c r="BJ14" s="360">
        <v>65</v>
      </c>
      <c r="BK14" s="353"/>
      <c r="BL14" s="360">
        <v>33</v>
      </c>
      <c r="BM14" s="353"/>
      <c r="BN14" s="360"/>
    </row>
    <row r="15" spans="1:66" ht="15" customHeight="1" x14ac:dyDescent="0.2">
      <c r="A15" s="365"/>
      <c r="B15" s="354"/>
      <c r="C15" s="354"/>
      <c r="D15" s="354"/>
      <c r="E15" s="354"/>
      <c r="F15" s="354"/>
      <c r="G15" s="1280" t="s">
        <v>338</v>
      </c>
      <c r="H15" s="1280"/>
      <c r="I15" s="371"/>
      <c r="J15" s="1381"/>
      <c r="K15" s="1374"/>
      <c r="L15" s="1374"/>
      <c r="M15" s="1374"/>
      <c r="N15" s="1374"/>
      <c r="O15" s="1376"/>
      <c r="P15" s="1377"/>
      <c r="Q15" s="1311"/>
      <c r="R15" s="1378"/>
      <c r="S15" s="1378"/>
      <c r="T15" s="1286"/>
      <c r="U15" s="1213"/>
      <c r="V15" s="1214"/>
      <c r="W15" s="1374"/>
      <c r="X15" s="1374"/>
      <c r="Y15" s="1375"/>
      <c r="Z15" s="354"/>
      <c r="AA15" s="1280" t="s">
        <v>338</v>
      </c>
      <c r="AB15" s="1280"/>
      <c r="AC15" s="354"/>
      <c r="AD15" s="354"/>
      <c r="AE15" s="354"/>
      <c r="AF15" s="354"/>
      <c r="AG15" s="354"/>
      <c r="AH15" s="371"/>
      <c r="AY15" s="358" t="s">
        <v>339</v>
      </c>
      <c r="BA15" s="358"/>
      <c r="BC15" s="358"/>
      <c r="BE15" s="359"/>
      <c r="BF15" s="358"/>
      <c r="BH15" s="360"/>
      <c r="BI15" s="353"/>
      <c r="BJ15" s="360">
        <v>70</v>
      </c>
      <c r="BK15" s="353"/>
      <c r="BL15" s="360">
        <v>32</v>
      </c>
      <c r="BM15" s="353"/>
      <c r="BN15" s="360"/>
    </row>
    <row r="16" spans="1:66" ht="12.75" customHeight="1" x14ac:dyDescent="0.2">
      <c r="A16" s="372"/>
      <c r="B16" s="373"/>
      <c r="C16" s="373"/>
      <c r="D16" s="373"/>
      <c r="E16" s="373"/>
      <c r="F16" s="373"/>
      <c r="G16" s="373"/>
      <c r="H16" s="373"/>
      <c r="I16" s="374"/>
      <c r="J16" s="1232"/>
      <c r="K16" s="1233"/>
      <c r="L16" s="1233"/>
      <c r="M16" s="1233"/>
      <c r="N16" s="1233"/>
      <c r="O16" s="1234" t="str">
        <f>IF('県体(赤)'!AE19="","",'県体(赤)'!AE19)</f>
        <v/>
      </c>
      <c r="P16" s="1235"/>
      <c r="Q16" s="1236" t="str">
        <f>IF(O16="","","PK")</f>
        <v/>
      </c>
      <c r="R16" s="1233"/>
      <c r="S16" s="1233"/>
      <c r="T16" s="1237"/>
      <c r="U16" s="1238" t="str">
        <f>IF('県体(赤)'!AH19="","",'県体(赤)'!AH19)</f>
        <v/>
      </c>
      <c r="V16" s="1234"/>
      <c r="W16" s="1233"/>
      <c r="X16" s="1233"/>
      <c r="Y16" s="1239"/>
      <c r="Z16" s="372"/>
      <c r="AA16" s="373"/>
      <c r="AB16" s="373"/>
      <c r="AC16" s="373"/>
      <c r="AD16" s="373"/>
      <c r="AE16" s="373"/>
      <c r="AF16" s="373"/>
      <c r="AG16" s="373"/>
      <c r="AH16" s="374"/>
      <c r="AY16" s="358" t="s">
        <v>340</v>
      </c>
      <c r="BA16" s="358"/>
      <c r="BC16" s="358"/>
      <c r="BE16" s="359"/>
      <c r="BF16" s="358"/>
      <c r="BH16" s="360"/>
      <c r="BI16" s="353"/>
      <c r="BJ16" s="360">
        <v>75</v>
      </c>
      <c r="BK16" s="353"/>
      <c r="BL16" s="360">
        <v>31</v>
      </c>
      <c r="BM16" s="353"/>
      <c r="BN16" s="360"/>
    </row>
    <row r="17" spans="1:66" ht="12.75" customHeight="1" x14ac:dyDescent="0.2">
      <c r="A17" s="1240" t="s">
        <v>341</v>
      </c>
      <c r="B17" s="1242" t="s">
        <v>342</v>
      </c>
      <c r="C17" s="1243"/>
      <c r="D17" s="1219" t="s">
        <v>343</v>
      </c>
      <c r="E17" s="1246"/>
      <c r="F17" s="1246"/>
      <c r="G17" s="1246"/>
      <c r="H17" s="1243"/>
      <c r="I17" s="1247" t="s">
        <v>344</v>
      </c>
      <c r="J17" s="1240" t="s">
        <v>345</v>
      </c>
      <c r="K17" s="1218"/>
      <c r="L17" s="1218"/>
      <c r="M17" s="1218"/>
      <c r="N17" s="1218"/>
      <c r="O17" s="1218"/>
      <c r="P17" s="1218"/>
      <c r="Q17" s="1247" t="s">
        <v>346</v>
      </c>
      <c r="R17" s="1258" t="s">
        <v>347</v>
      </c>
      <c r="S17" s="1247" t="s">
        <v>347</v>
      </c>
      <c r="T17" s="1247" t="s">
        <v>346</v>
      </c>
      <c r="U17" s="1218" t="s">
        <v>345</v>
      </c>
      <c r="V17" s="1218"/>
      <c r="W17" s="1218"/>
      <c r="X17" s="1218"/>
      <c r="Y17" s="1253"/>
      <c r="Z17" s="1247" t="s">
        <v>344</v>
      </c>
      <c r="AA17" s="1240" t="s">
        <v>343</v>
      </c>
      <c r="AB17" s="1218"/>
      <c r="AC17" s="1218"/>
      <c r="AD17" s="1218"/>
      <c r="AE17" s="1253"/>
      <c r="AF17" s="1240" t="s">
        <v>342</v>
      </c>
      <c r="AG17" s="1253"/>
      <c r="AH17" s="1253" t="s">
        <v>341</v>
      </c>
      <c r="AQ17" s="352" t="str">
        <f>マッチ決勝!E10</f>
        <v/>
      </c>
      <c r="AU17" s="352" t="str">
        <f>マッチ決勝!I10</f>
        <v/>
      </c>
      <c r="AY17" s="358" t="s">
        <v>348</v>
      </c>
      <c r="BA17" s="358"/>
      <c r="BC17" s="358"/>
      <c r="BE17" s="359"/>
      <c r="BF17" s="358"/>
      <c r="BH17" s="360"/>
      <c r="BI17" s="353"/>
      <c r="BJ17" s="360">
        <v>80</v>
      </c>
      <c r="BK17" s="353"/>
      <c r="BL17" s="360">
        <v>30</v>
      </c>
      <c r="BM17" s="353"/>
      <c r="BN17" s="360"/>
    </row>
    <row r="18" spans="1:66" ht="12.75" customHeight="1" x14ac:dyDescent="0.2">
      <c r="A18" s="1241"/>
      <c r="B18" s="1244"/>
      <c r="C18" s="1245"/>
      <c r="D18" s="375"/>
      <c r="E18" s="376"/>
      <c r="F18" s="377" t="s">
        <v>349</v>
      </c>
      <c r="G18" s="378" t="s">
        <v>350</v>
      </c>
      <c r="H18" s="379" t="s">
        <v>351</v>
      </c>
      <c r="I18" s="1248"/>
      <c r="J18" s="1249"/>
      <c r="K18" s="1250"/>
      <c r="L18" s="1250"/>
      <c r="M18" s="1250"/>
      <c r="N18" s="1250"/>
      <c r="O18" s="1250"/>
      <c r="P18" s="1250"/>
      <c r="Q18" s="1248"/>
      <c r="R18" s="1259"/>
      <c r="S18" s="1248"/>
      <c r="T18" s="1248"/>
      <c r="U18" s="1250"/>
      <c r="V18" s="1250"/>
      <c r="W18" s="1250"/>
      <c r="X18" s="1250"/>
      <c r="Y18" s="1260"/>
      <c r="Z18" s="1248"/>
      <c r="AA18" s="380" t="s">
        <v>351</v>
      </c>
      <c r="AB18" s="380" t="s">
        <v>350</v>
      </c>
      <c r="AC18" s="378" t="s">
        <v>349</v>
      </c>
      <c r="AD18" s="377"/>
      <c r="AE18" s="379"/>
      <c r="AF18" s="1241"/>
      <c r="AG18" s="1254"/>
      <c r="AH18" s="1254"/>
      <c r="AQ18" s="352" t="str">
        <f>IF('県体(赤)'!N14="","","("&amp;VLOOKUP('県体(赤)'!N14,県体学校名!$C$4:$I$19,2,FALSE)&amp;")")</f>
        <v/>
      </c>
      <c r="AR18" s="381" t="s">
        <v>352</v>
      </c>
      <c r="AS18" s="382" t="e">
        <f>VLOOKUP(AQ17,データ!$R$2:$T$86,3,FALSE)</f>
        <v>#N/A</v>
      </c>
      <c r="AU18" s="352" t="str">
        <f>IF('県体(赤)'!AX14="","","("&amp;VLOOKUP('県体(赤)'!AX14,県体学校名!$C$4:$I$19,2,FALSE)&amp;")")</f>
        <v/>
      </c>
      <c r="AV18" s="381" t="s">
        <v>352</v>
      </c>
      <c r="AW18" s="382" t="e">
        <f>VLOOKUP(AU17,データ!$R$2:$T$86,3,FALSE)</f>
        <v>#N/A</v>
      </c>
      <c r="AY18" s="358" t="s">
        <v>353</v>
      </c>
      <c r="BA18" s="358"/>
      <c r="BC18" s="358"/>
      <c r="BE18" s="359"/>
      <c r="BF18" s="358"/>
      <c r="BH18" s="360"/>
      <c r="BI18" s="353"/>
      <c r="BJ18" s="360">
        <v>85</v>
      </c>
      <c r="BK18" s="353"/>
      <c r="BL18" s="360">
        <v>29</v>
      </c>
      <c r="BM18" s="353"/>
      <c r="BN18" s="360"/>
    </row>
    <row r="19" spans="1:66" ht="12.75" customHeight="1" x14ac:dyDescent="0.2">
      <c r="A19" s="383"/>
      <c r="B19" s="384"/>
      <c r="C19" s="385"/>
      <c r="D19" s="386"/>
      <c r="E19" s="387"/>
      <c r="F19" s="384"/>
      <c r="G19" s="385"/>
      <c r="H19" s="388" t="str">
        <f t="shared" ref="H19:H33" si="0">IF(F19+G19=0,"",F19+G19)</f>
        <v/>
      </c>
      <c r="I19" s="383" t="str">
        <f t="shared" ref="I19:I36" si="1">IF(OR($A$10="",COUNTIF($AI$49:$AI$59,$A$10&amp;Q19&amp;J19)=0),"",COUNTIF($AI$49:$AI$59,$A$10&amp;Q19&amp;J19))</f>
        <v/>
      </c>
      <c r="J19" s="1255" t="str">
        <f>IF(Q19="","",VLOOKUP(Q19,$AQ$19:$AS$36,3,FALSE))</f>
        <v/>
      </c>
      <c r="K19" s="1256"/>
      <c r="L19" s="1256"/>
      <c r="M19" s="1256"/>
      <c r="N19" s="1256"/>
      <c r="O19" s="1256"/>
      <c r="P19" s="1257"/>
      <c r="Q19" s="383"/>
      <c r="R19" s="383" t="str">
        <f t="shared" ref="R19:R36" si="2">IF(Q19="","",VLOOKUP(Q19,$AQ$19:$AS$36,2,FALSE))</f>
        <v/>
      </c>
      <c r="S19" s="389" t="str">
        <f t="shared" ref="S19:S36" si="3">IF(T19="","",VLOOKUP(T19,$AU$19:$AW$36,2,FALSE))</f>
        <v/>
      </c>
      <c r="T19" s="383"/>
      <c r="U19" s="1255" t="str">
        <f t="shared" ref="U19:U36" si="4">IF(T19="","",VLOOKUP(T19,$AU$19:$AW$36,3,FALSE))</f>
        <v/>
      </c>
      <c r="V19" s="1256"/>
      <c r="W19" s="1256"/>
      <c r="X19" s="1256"/>
      <c r="Y19" s="1257"/>
      <c r="Z19" s="388" t="str">
        <f t="shared" ref="Z19:Z36" si="5">IF(OR($Z$10="",COUNTIF($AI$49:$AI$59,$Z$10&amp;T19&amp;U19)=0),"",COUNTIF($AI$49:$AI$59,$Z$10&amp;T19&amp;U19))</f>
        <v/>
      </c>
      <c r="AA19" s="383" t="str">
        <f t="shared" ref="AA19:AA36" si="6">IF(AB19+AC19=0,"",AB19+AC19)</f>
        <v/>
      </c>
      <c r="AB19" s="383"/>
      <c r="AC19" s="385"/>
      <c r="AD19" s="384"/>
      <c r="AE19" s="388"/>
      <c r="AF19" s="383"/>
      <c r="AG19" s="385"/>
      <c r="AH19" s="388"/>
      <c r="AP19" s="352">
        <v>1</v>
      </c>
      <c r="AQ19" s="382" t="e">
        <f>INDEX(データ!$R$2:$T$86,MATCH(AQ$17,データ!$R$2:$R$86,0)+AP19,AQ$37-1)</f>
        <v>#N/A</v>
      </c>
      <c r="AR19" s="382" t="e">
        <f>INDEX(データ!$R$2:$T$86,MATCH(AQ$17,データ!$R$2:$R$86,0)+AP19,AR$37-1)</f>
        <v>#N/A</v>
      </c>
      <c r="AS19" s="382" t="e">
        <f>INDEX(データ!$R$2:$T$86,MATCH(AQ$17,データ!$R$2:$R$86,0)+AP19,AS$37-1)</f>
        <v>#N/A</v>
      </c>
      <c r="AT19" s="352">
        <v>1</v>
      </c>
      <c r="AU19" s="382" t="e">
        <f>INDEX(データ!$R$2:$T$86,MATCH(AU$17,データ!$R$2:$R$86,0)+AT19,AU$37-1)</f>
        <v>#N/A</v>
      </c>
      <c r="AV19" s="382" t="e">
        <f>INDEX(データ!$R$2:$T$86,MATCH(AU$17,データ!$R$2:$R$86,0)+AT19,AV$37-1)</f>
        <v>#N/A</v>
      </c>
      <c r="AW19" s="382" t="e">
        <f>INDEX(データ!$R$2:$T$86,MATCH(AU$17,データ!$R$2:$R$86,0)+AT19,AW$37-1)</f>
        <v>#N/A</v>
      </c>
      <c r="AY19" s="358" t="s">
        <v>354</v>
      </c>
      <c r="BA19" s="358"/>
      <c r="BC19" s="358"/>
      <c r="BE19" s="359"/>
      <c r="BF19" s="358"/>
      <c r="BH19" s="360"/>
      <c r="BI19" s="353"/>
      <c r="BJ19" s="360">
        <v>90</v>
      </c>
      <c r="BK19" s="353"/>
      <c r="BL19" s="360">
        <v>28</v>
      </c>
      <c r="BM19" s="353"/>
      <c r="BN19" s="360"/>
    </row>
    <row r="20" spans="1:66" ht="12.75" customHeight="1" x14ac:dyDescent="0.2">
      <c r="A20" s="390"/>
      <c r="B20" s="391"/>
      <c r="C20" s="392"/>
      <c r="D20" s="393"/>
      <c r="E20" s="394"/>
      <c r="F20" s="391"/>
      <c r="G20" s="392"/>
      <c r="H20" s="395" t="str">
        <f t="shared" si="0"/>
        <v/>
      </c>
      <c r="I20" s="390" t="str">
        <f t="shared" si="1"/>
        <v/>
      </c>
      <c r="J20" s="1251" t="str">
        <f t="shared" ref="J20:J36" si="7">IF(Q20="","",VLOOKUP(Q20,$AQ$19:$AS$36,3,FALSE))</f>
        <v/>
      </c>
      <c r="K20" s="1203"/>
      <c r="L20" s="1203"/>
      <c r="M20" s="1203"/>
      <c r="N20" s="1203"/>
      <c r="O20" s="1203"/>
      <c r="P20" s="1252"/>
      <c r="Q20" s="390"/>
      <c r="R20" s="390" t="str">
        <f t="shared" si="2"/>
        <v/>
      </c>
      <c r="S20" s="396" t="str">
        <f t="shared" si="3"/>
        <v/>
      </c>
      <c r="T20" s="390"/>
      <c r="U20" s="1251" t="str">
        <f t="shared" si="4"/>
        <v/>
      </c>
      <c r="V20" s="1203"/>
      <c r="W20" s="1203"/>
      <c r="X20" s="1203"/>
      <c r="Y20" s="1252"/>
      <c r="Z20" s="395" t="str">
        <f t="shared" si="5"/>
        <v/>
      </c>
      <c r="AA20" s="390" t="str">
        <f t="shared" si="6"/>
        <v/>
      </c>
      <c r="AB20" s="390"/>
      <c r="AC20" s="392"/>
      <c r="AD20" s="391"/>
      <c r="AE20" s="395"/>
      <c r="AF20" s="390"/>
      <c r="AG20" s="392"/>
      <c r="AH20" s="395"/>
      <c r="AP20" s="352">
        <v>2</v>
      </c>
      <c r="AQ20" s="382" t="e">
        <f>INDEX(データ!$R$2:$T$86,MATCH(AQ$17,データ!$R$2:$R$86,0)+AP20,AQ$37-1)</f>
        <v>#N/A</v>
      </c>
      <c r="AR20" s="382" t="e">
        <f>INDEX(データ!$R$2:$T$86,MATCH(AQ$17,データ!$R$2:$R$86,0)+AP20,AR$37-1)</f>
        <v>#N/A</v>
      </c>
      <c r="AS20" s="382" t="e">
        <f>INDEX(データ!$R$2:$T$86,MATCH(AQ$17,データ!$R$2:$R$86,0)+AP20,AS$37-1)</f>
        <v>#N/A</v>
      </c>
      <c r="AT20" s="352">
        <v>2</v>
      </c>
      <c r="AU20" s="382" t="e">
        <f>INDEX(データ!$R$2:$T$86,MATCH(AU$17,データ!$R$2:$R$86,0)+AT20,AU$37-1)</f>
        <v>#N/A</v>
      </c>
      <c r="AV20" s="382" t="e">
        <f>INDEX(データ!$R$2:$T$86,MATCH(AU$17,データ!$R$2:$R$86,0)+AT20,AV$37-1)</f>
        <v>#N/A</v>
      </c>
      <c r="AW20" s="382" t="e">
        <f>INDEX(データ!$R$2:$T$86,MATCH(AU$17,データ!$R$2:$R$86,0)+AT20,AW$37-1)</f>
        <v>#N/A</v>
      </c>
      <c r="AY20" s="358"/>
      <c r="BA20" s="358"/>
      <c r="BC20" s="358"/>
      <c r="BE20" s="359"/>
      <c r="BF20" s="358"/>
      <c r="BH20" s="360"/>
      <c r="BI20" s="353"/>
      <c r="BJ20" s="360">
        <v>95</v>
      </c>
      <c r="BK20" s="353"/>
      <c r="BL20" s="360">
        <v>27</v>
      </c>
      <c r="BM20" s="353"/>
      <c r="BN20" s="360"/>
    </row>
    <row r="21" spans="1:66" ht="12.75" customHeight="1" thickBot="1" x14ac:dyDescent="0.25">
      <c r="A21" s="390"/>
      <c r="B21" s="391" t="s">
        <v>294</v>
      </c>
      <c r="C21" s="392"/>
      <c r="D21" s="393"/>
      <c r="E21" s="394"/>
      <c r="F21" s="391"/>
      <c r="G21" s="392"/>
      <c r="H21" s="395" t="str">
        <f t="shared" si="0"/>
        <v/>
      </c>
      <c r="I21" s="390" t="str">
        <f t="shared" si="1"/>
        <v/>
      </c>
      <c r="J21" s="1251" t="str">
        <f t="shared" si="7"/>
        <v/>
      </c>
      <c r="K21" s="1203"/>
      <c r="L21" s="1203"/>
      <c r="M21" s="1203"/>
      <c r="N21" s="1203"/>
      <c r="O21" s="1203"/>
      <c r="P21" s="1252"/>
      <c r="Q21" s="390"/>
      <c r="R21" s="390" t="str">
        <f t="shared" si="2"/>
        <v/>
      </c>
      <c r="S21" s="396" t="str">
        <f t="shared" si="3"/>
        <v/>
      </c>
      <c r="T21" s="390"/>
      <c r="U21" s="1251" t="str">
        <f t="shared" si="4"/>
        <v/>
      </c>
      <c r="V21" s="1203"/>
      <c r="W21" s="1203"/>
      <c r="X21" s="1203"/>
      <c r="Y21" s="1252"/>
      <c r="Z21" s="395" t="str">
        <f t="shared" si="5"/>
        <v/>
      </c>
      <c r="AA21" s="390" t="str">
        <f t="shared" si="6"/>
        <v/>
      </c>
      <c r="AB21" s="390"/>
      <c r="AC21" s="392"/>
      <c r="AD21" s="391"/>
      <c r="AE21" s="395"/>
      <c r="AF21" s="390"/>
      <c r="AG21" s="392"/>
      <c r="AH21" s="395"/>
      <c r="AP21" s="352">
        <v>3</v>
      </c>
      <c r="AQ21" s="382" t="e">
        <f>INDEX(データ!$R$2:$T$86,MATCH(AQ$17,データ!$R$2:$R$86,0)+AP21,AQ$37-1)</f>
        <v>#N/A</v>
      </c>
      <c r="AR21" s="382" t="e">
        <f>INDEX(データ!$R$2:$T$86,MATCH(AQ$17,データ!$R$2:$R$86,0)+AP21,AR$37-1)</f>
        <v>#N/A</v>
      </c>
      <c r="AS21" s="382" t="e">
        <f>INDEX(データ!$R$2:$T$86,MATCH(AQ$17,データ!$R$2:$R$86,0)+AP21,AS$37-1)</f>
        <v>#N/A</v>
      </c>
      <c r="AT21" s="352">
        <v>3</v>
      </c>
      <c r="AU21" s="382" t="e">
        <f>INDEX(データ!$R$2:$T$86,MATCH(AU$17,データ!$R$2:$R$86,0)+AT21,AU$37-1)</f>
        <v>#N/A</v>
      </c>
      <c r="AV21" s="382" t="e">
        <f>INDEX(データ!$R$2:$T$86,MATCH(AU$17,データ!$R$2:$R$86,0)+AT21,AV$37-1)</f>
        <v>#N/A</v>
      </c>
      <c r="AW21" s="382" t="e">
        <f>INDEX(データ!$R$2:$T$86,MATCH(AU$17,データ!$R$2:$R$86,0)+AT21,AW$37-1)</f>
        <v>#N/A</v>
      </c>
      <c r="AY21" s="397"/>
      <c r="BA21" s="397"/>
      <c r="BC21" s="397"/>
      <c r="BE21" s="398"/>
      <c r="BF21" s="397"/>
      <c r="BH21" s="399"/>
      <c r="BI21" s="353"/>
      <c r="BJ21" s="399">
        <v>100</v>
      </c>
      <c r="BK21" s="353"/>
      <c r="BL21" s="360">
        <v>26</v>
      </c>
      <c r="BM21" s="353"/>
      <c r="BN21" s="399"/>
    </row>
    <row r="22" spans="1:66" ht="12.75" customHeight="1" thickTop="1" x14ac:dyDescent="0.2">
      <c r="A22" s="390"/>
      <c r="B22" s="391"/>
      <c r="C22" s="392"/>
      <c r="D22" s="393"/>
      <c r="E22" s="394"/>
      <c r="F22" s="391"/>
      <c r="G22" s="392"/>
      <c r="H22" s="395" t="str">
        <f t="shared" si="0"/>
        <v/>
      </c>
      <c r="I22" s="390" t="str">
        <f t="shared" si="1"/>
        <v/>
      </c>
      <c r="J22" s="1251" t="str">
        <f t="shared" si="7"/>
        <v/>
      </c>
      <c r="K22" s="1203"/>
      <c r="L22" s="1203"/>
      <c r="M22" s="1203"/>
      <c r="N22" s="1203"/>
      <c r="O22" s="1203"/>
      <c r="P22" s="1252"/>
      <c r="Q22" s="390"/>
      <c r="R22" s="390" t="str">
        <f t="shared" si="2"/>
        <v/>
      </c>
      <c r="S22" s="396" t="str">
        <f t="shared" si="3"/>
        <v/>
      </c>
      <c r="T22" s="390"/>
      <c r="U22" s="1251" t="str">
        <f t="shared" si="4"/>
        <v/>
      </c>
      <c r="V22" s="1203"/>
      <c r="W22" s="1203"/>
      <c r="X22" s="1203"/>
      <c r="Y22" s="1252"/>
      <c r="Z22" s="395" t="str">
        <f t="shared" si="5"/>
        <v/>
      </c>
      <c r="AA22" s="390" t="str">
        <f t="shared" si="6"/>
        <v/>
      </c>
      <c r="AB22" s="390"/>
      <c r="AC22" s="392"/>
      <c r="AD22" s="391"/>
      <c r="AE22" s="395"/>
      <c r="AF22" s="390"/>
      <c r="AG22" s="392"/>
      <c r="AH22" s="395"/>
      <c r="AP22" s="352">
        <v>4</v>
      </c>
      <c r="AQ22" s="382" t="e">
        <f>INDEX(データ!$R$2:$T$86,MATCH(AQ$17,データ!$R$2:$R$86,0)+AP22,AQ$37-1)</f>
        <v>#N/A</v>
      </c>
      <c r="AR22" s="382" t="e">
        <f>INDEX(データ!$R$2:$T$86,MATCH(AQ$17,データ!$R$2:$R$86,0)+AP22,AR$37-1)</f>
        <v>#N/A</v>
      </c>
      <c r="AS22" s="382" t="e">
        <f>INDEX(データ!$R$2:$T$86,MATCH(AQ$17,データ!$R$2:$R$86,0)+AP22,AS$37-1)</f>
        <v>#N/A</v>
      </c>
      <c r="AT22" s="352">
        <v>4</v>
      </c>
      <c r="AU22" s="382" t="e">
        <f>INDEX(データ!$R$2:$T$86,MATCH(AU$17,データ!$R$2:$R$86,0)+AT22,AU$37-1)</f>
        <v>#N/A</v>
      </c>
      <c r="AV22" s="382" t="e">
        <f>INDEX(データ!$R$2:$T$86,MATCH(AU$17,データ!$R$2:$R$86,0)+AT22,AV$37-1)</f>
        <v>#N/A</v>
      </c>
      <c r="AW22" s="382" t="e">
        <f>INDEX(データ!$R$2:$T$86,MATCH(AU$17,データ!$R$2:$R$86,0)+AT22,AW$37-1)</f>
        <v>#N/A</v>
      </c>
      <c r="BH22" s="353"/>
      <c r="BI22" s="353"/>
      <c r="BJ22" s="353"/>
      <c r="BK22" s="353"/>
      <c r="BL22" s="360">
        <v>25</v>
      </c>
      <c r="BM22" s="353"/>
      <c r="BN22" s="353"/>
    </row>
    <row r="23" spans="1:66" ht="12.75" customHeight="1" x14ac:dyDescent="0.2">
      <c r="A23" s="390"/>
      <c r="B23" s="391"/>
      <c r="C23" s="392"/>
      <c r="D23" s="393"/>
      <c r="E23" s="394"/>
      <c r="F23" s="391"/>
      <c r="G23" s="392"/>
      <c r="H23" s="395" t="str">
        <f t="shared" si="0"/>
        <v/>
      </c>
      <c r="I23" s="390" t="str">
        <f t="shared" si="1"/>
        <v/>
      </c>
      <c r="J23" s="1251" t="str">
        <f t="shared" si="7"/>
        <v/>
      </c>
      <c r="K23" s="1203"/>
      <c r="L23" s="1203"/>
      <c r="M23" s="1203"/>
      <c r="N23" s="1203"/>
      <c r="O23" s="1203"/>
      <c r="P23" s="1252"/>
      <c r="Q23" s="390"/>
      <c r="R23" s="390" t="str">
        <f t="shared" si="2"/>
        <v/>
      </c>
      <c r="S23" s="396" t="str">
        <f t="shared" si="3"/>
        <v/>
      </c>
      <c r="T23" s="390"/>
      <c r="U23" s="1251" t="str">
        <f t="shared" si="4"/>
        <v/>
      </c>
      <c r="V23" s="1203"/>
      <c r="W23" s="1203"/>
      <c r="X23" s="1203"/>
      <c r="Y23" s="1252"/>
      <c r="Z23" s="395" t="str">
        <f t="shared" si="5"/>
        <v/>
      </c>
      <c r="AA23" s="390" t="str">
        <f t="shared" si="6"/>
        <v/>
      </c>
      <c r="AB23" s="390"/>
      <c r="AC23" s="392"/>
      <c r="AD23" s="391"/>
      <c r="AE23" s="395"/>
      <c r="AF23" s="390"/>
      <c r="AG23" s="392"/>
      <c r="AH23" s="395"/>
      <c r="AP23" s="352">
        <v>5</v>
      </c>
      <c r="AQ23" s="382" t="e">
        <f>INDEX(データ!$R$2:$T$86,MATCH(AQ$17,データ!$R$2:$R$86,0)+AP23,AQ$37-1)</f>
        <v>#N/A</v>
      </c>
      <c r="AR23" s="382" t="e">
        <f>INDEX(データ!$R$2:$T$86,MATCH(AQ$17,データ!$R$2:$R$86,0)+AP23,AR$37-1)</f>
        <v>#N/A</v>
      </c>
      <c r="AS23" s="382" t="e">
        <f>INDEX(データ!$R$2:$T$86,MATCH(AQ$17,データ!$R$2:$R$86,0)+AP23,AS$37-1)</f>
        <v>#N/A</v>
      </c>
      <c r="AT23" s="352">
        <v>5</v>
      </c>
      <c r="AU23" s="382" t="e">
        <f>INDEX(データ!$R$2:$T$86,MATCH(AU$17,データ!$R$2:$R$86,0)+AT23,AU$37-1)</f>
        <v>#N/A</v>
      </c>
      <c r="AV23" s="382" t="e">
        <f>INDEX(データ!$R$2:$T$86,MATCH(AU$17,データ!$R$2:$R$86,0)+AT23,AV$37-1)</f>
        <v>#N/A</v>
      </c>
      <c r="AW23" s="382" t="e">
        <f>INDEX(データ!$R$2:$T$86,MATCH(AU$17,データ!$R$2:$R$86,0)+AT23,AW$37-1)</f>
        <v>#N/A</v>
      </c>
      <c r="BH23" s="353"/>
      <c r="BI23" s="353"/>
      <c r="BJ23" s="353"/>
      <c r="BK23" s="353"/>
      <c r="BL23" s="360">
        <v>24</v>
      </c>
      <c r="BM23" s="353"/>
      <c r="BN23" s="353"/>
    </row>
    <row r="24" spans="1:66" ht="12.75" customHeight="1" x14ac:dyDescent="0.2">
      <c r="A24" s="390"/>
      <c r="B24" s="391"/>
      <c r="C24" s="392"/>
      <c r="D24" s="393"/>
      <c r="E24" s="394"/>
      <c r="F24" s="391"/>
      <c r="G24" s="392"/>
      <c r="H24" s="395" t="str">
        <f t="shared" si="0"/>
        <v/>
      </c>
      <c r="I24" s="390" t="str">
        <f t="shared" si="1"/>
        <v/>
      </c>
      <c r="J24" s="1251" t="str">
        <f t="shared" si="7"/>
        <v/>
      </c>
      <c r="K24" s="1203"/>
      <c r="L24" s="1203"/>
      <c r="M24" s="1203"/>
      <c r="N24" s="1203"/>
      <c r="O24" s="1203"/>
      <c r="P24" s="1252"/>
      <c r="Q24" s="390"/>
      <c r="R24" s="390" t="str">
        <f t="shared" si="2"/>
        <v/>
      </c>
      <c r="S24" s="396" t="str">
        <f t="shared" si="3"/>
        <v/>
      </c>
      <c r="T24" s="390"/>
      <c r="U24" s="1251" t="str">
        <f t="shared" si="4"/>
        <v/>
      </c>
      <c r="V24" s="1203"/>
      <c r="W24" s="1203"/>
      <c r="X24" s="1203"/>
      <c r="Y24" s="1252"/>
      <c r="Z24" s="395" t="str">
        <f t="shared" si="5"/>
        <v/>
      </c>
      <c r="AA24" s="390" t="str">
        <f t="shared" si="6"/>
        <v/>
      </c>
      <c r="AB24" s="390"/>
      <c r="AC24" s="392"/>
      <c r="AD24" s="391"/>
      <c r="AE24" s="395"/>
      <c r="AF24" s="390"/>
      <c r="AG24" s="392"/>
      <c r="AH24" s="395"/>
      <c r="AP24" s="352">
        <v>6</v>
      </c>
      <c r="AQ24" s="382" t="e">
        <f>INDEX(データ!$R$2:$T$86,MATCH(AQ$17,データ!$R$2:$R$86,0)+AP24,AQ$37-1)</f>
        <v>#N/A</v>
      </c>
      <c r="AR24" s="382" t="e">
        <f>INDEX(データ!$R$2:$T$86,MATCH(AQ$17,データ!$R$2:$R$86,0)+AP24,AR$37-1)</f>
        <v>#N/A</v>
      </c>
      <c r="AS24" s="382" t="e">
        <f>INDEX(データ!$R$2:$T$86,MATCH(AQ$17,データ!$R$2:$R$86,0)+AP24,AS$37-1)</f>
        <v>#N/A</v>
      </c>
      <c r="AT24" s="352">
        <v>6</v>
      </c>
      <c r="AU24" s="382" t="e">
        <f>INDEX(データ!$R$2:$T$86,MATCH(AU$17,データ!$R$2:$R$86,0)+AT24,AU$37-1)</f>
        <v>#N/A</v>
      </c>
      <c r="AV24" s="382" t="e">
        <f>INDEX(データ!$R$2:$T$86,MATCH(AU$17,データ!$R$2:$R$86,0)+AT24,AV$37-1)</f>
        <v>#N/A</v>
      </c>
      <c r="AW24" s="382" t="e">
        <f>INDEX(データ!$R$2:$T$86,MATCH(AU$17,データ!$R$2:$R$86,0)+AT24,AW$37-1)</f>
        <v>#N/A</v>
      </c>
      <c r="BH24" s="353"/>
      <c r="BI24" s="353"/>
      <c r="BJ24" s="353"/>
      <c r="BK24" s="353"/>
      <c r="BL24" s="360">
        <v>23</v>
      </c>
      <c r="BM24" s="353"/>
      <c r="BN24" s="353"/>
    </row>
    <row r="25" spans="1:66" ht="12.75" customHeight="1" x14ac:dyDescent="0.2">
      <c r="A25" s="390"/>
      <c r="B25" s="391"/>
      <c r="C25" s="392"/>
      <c r="D25" s="393"/>
      <c r="E25" s="394"/>
      <c r="F25" s="391"/>
      <c r="G25" s="392"/>
      <c r="H25" s="395" t="str">
        <f t="shared" si="0"/>
        <v/>
      </c>
      <c r="I25" s="390" t="str">
        <f t="shared" si="1"/>
        <v/>
      </c>
      <c r="J25" s="1251" t="str">
        <f t="shared" si="7"/>
        <v/>
      </c>
      <c r="K25" s="1203"/>
      <c r="L25" s="1203"/>
      <c r="M25" s="1203"/>
      <c r="N25" s="1203"/>
      <c r="O25" s="1203"/>
      <c r="P25" s="1252"/>
      <c r="Q25" s="390"/>
      <c r="R25" s="390" t="str">
        <f t="shared" si="2"/>
        <v/>
      </c>
      <c r="S25" s="396" t="str">
        <f t="shared" si="3"/>
        <v/>
      </c>
      <c r="T25" s="390"/>
      <c r="U25" s="1251" t="str">
        <f t="shared" si="4"/>
        <v/>
      </c>
      <c r="V25" s="1203"/>
      <c r="W25" s="1203"/>
      <c r="X25" s="1203"/>
      <c r="Y25" s="1252"/>
      <c r="Z25" s="395" t="str">
        <f t="shared" si="5"/>
        <v/>
      </c>
      <c r="AA25" s="390" t="str">
        <f t="shared" si="6"/>
        <v/>
      </c>
      <c r="AB25" s="390"/>
      <c r="AC25" s="392"/>
      <c r="AD25" s="391"/>
      <c r="AE25" s="395"/>
      <c r="AF25" s="390"/>
      <c r="AG25" s="392"/>
      <c r="AH25" s="395"/>
      <c r="AP25" s="352">
        <v>7</v>
      </c>
      <c r="AQ25" s="382" t="e">
        <f>INDEX(データ!$R$2:$T$86,MATCH(AQ$17,データ!$R$2:$R$86,0)+AP25,AQ$37-1)</f>
        <v>#N/A</v>
      </c>
      <c r="AR25" s="382" t="e">
        <f>INDEX(データ!$R$2:$T$86,MATCH(AQ$17,データ!$R$2:$R$86,0)+AP25,AR$37-1)</f>
        <v>#N/A</v>
      </c>
      <c r="AS25" s="382" t="e">
        <f>INDEX(データ!$R$2:$T$86,MATCH(AQ$17,データ!$R$2:$R$86,0)+AP25,AS$37-1)</f>
        <v>#N/A</v>
      </c>
      <c r="AT25" s="352">
        <v>7</v>
      </c>
      <c r="AU25" s="382" t="e">
        <f>INDEX(データ!$R$2:$T$86,MATCH(AU$17,データ!$R$2:$R$86,0)+AT25,AU$37-1)</f>
        <v>#N/A</v>
      </c>
      <c r="AV25" s="382" t="e">
        <f>INDEX(データ!$R$2:$T$86,MATCH(AU$17,データ!$R$2:$R$86,0)+AT25,AV$37-1)</f>
        <v>#N/A</v>
      </c>
      <c r="AW25" s="382" t="e">
        <f>INDEX(データ!$R$2:$T$86,MATCH(AU$17,データ!$R$2:$R$86,0)+AT25,AW$37-1)</f>
        <v>#N/A</v>
      </c>
      <c r="BH25" s="353"/>
      <c r="BI25" s="353"/>
      <c r="BJ25" s="353"/>
      <c r="BK25" s="353"/>
      <c r="BL25" s="360">
        <v>22</v>
      </c>
      <c r="BM25" s="353"/>
      <c r="BN25" s="353"/>
    </row>
    <row r="26" spans="1:66" ht="12.75" customHeight="1" x14ac:dyDescent="0.2">
      <c r="A26" s="390"/>
      <c r="B26" s="391"/>
      <c r="C26" s="392"/>
      <c r="D26" s="393"/>
      <c r="E26" s="394"/>
      <c r="F26" s="391"/>
      <c r="G26" s="392"/>
      <c r="H26" s="395" t="str">
        <f t="shared" si="0"/>
        <v/>
      </c>
      <c r="I26" s="390" t="str">
        <f t="shared" si="1"/>
        <v/>
      </c>
      <c r="J26" s="1251" t="str">
        <f t="shared" si="7"/>
        <v/>
      </c>
      <c r="K26" s="1203"/>
      <c r="L26" s="1203"/>
      <c r="M26" s="1203"/>
      <c r="N26" s="1203"/>
      <c r="O26" s="1203"/>
      <c r="P26" s="1252"/>
      <c r="Q26" s="390"/>
      <c r="R26" s="390" t="str">
        <f t="shared" si="2"/>
        <v/>
      </c>
      <c r="S26" s="396" t="str">
        <f t="shared" si="3"/>
        <v/>
      </c>
      <c r="T26" s="390"/>
      <c r="U26" s="1251" t="str">
        <f t="shared" si="4"/>
        <v/>
      </c>
      <c r="V26" s="1203"/>
      <c r="W26" s="1203"/>
      <c r="X26" s="1203"/>
      <c r="Y26" s="1252"/>
      <c r="Z26" s="395" t="str">
        <f t="shared" si="5"/>
        <v/>
      </c>
      <c r="AA26" s="390" t="str">
        <f t="shared" si="6"/>
        <v/>
      </c>
      <c r="AB26" s="390"/>
      <c r="AC26" s="392"/>
      <c r="AD26" s="391"/>
      <c r="AE26" s="395"/>
      <c r="AF26" s="390"/>
      <c r="AG26" s="392"/>
      <c r="AH26" s="395"/>
      <c r="AP26" s="352">
        <v>8</v>
      </c>
      <c r="AQ26" s="382" t="e">
        <f>INDEX(データ!$R$2:$T$86,MATCH(AQ$17,データ!$R$2:$R$86,0)+AP26,AQ$37-1)</f>
        <v>#N/A</v>
      </c>
      <c r="AR26" s="382" t="e">
        <f>INDEX(データ!$R$2:$T$86,MATCH(AQ$17,データ!$R$2:$R$86,0)+AP26,AR$37-1)</f>
        <v>#N/A</v>
      </c>
      <c r="AS26" s="382" t="e">
        <f>INDEX(データ!$R$2:$T$86,MATCH(AQ$17,データ!$R$2:$R$86,0)+AP26,AS$37-1)</f>
        <v>#N/A</v>
      </c>
      <c r="AT26" s="352">
        <v>8</v>
      </c>
      <c r="AU26" s="382" t="e">
        <f>INDEX(データ!$R$2:$T$86,MATCH(AU$17,データ!$R$2:$R$86,0)+AT26,AU$37-1)</f>
        <v>#N/A</v>
      </c>
      <c r="AV26" s="382" t="e">
        <f>INDEX(データ!$R$2:$T$86,MATCH(AU$17,データ!$R$2:$R$86,0)+AT26,AV$37-1)</f>
        <v>#N/A</v>
      </c>
      <c r="AW26" s="382" t="e">
        <f>INDEX(データ!$R$2:$T$86,MATCH(AU$17,データ!$R$2:$R$86,0)+AT26,AW$37-1)</f>
        <v>#N/A</v>
      </c>
      <c r="BH26" s="353"/>
      <c r="BI26" s="353"/>
      <c r="BJ26" s="353"/>
      <c r="BK26" s="353"/>
      <c r="BL26" s="360">
        <v>21</v>
      </c>
      <c r="BM26" s="353"/>
      <c r="BN26" s="353"/>
    </row>
    <row r="27" spans="1:66" ht="12.75" customHeight="1" x14ac:dyDescent="0.2">
      <c r="A27" s="390"/>
      <c r="B27" s="391"/>
      <c r="C27" s="392"/>
      <c r="D27" s="393"/>
      <c r="E27" s="394"/>
      <c r="F27" s="391"/>
      <c r="G27" s="392"/>
      <c r="H27" s="395" t="str">
        <f t="shared" si="0"/>
        <v/>
      </c>
      <c r="I27" s="390" t="str">
        <f t="shared" si="1"/>
        <v/>
      </c>
      <c r="J27" s="1251" t="str">
        <f t="shared" si="7"/>
        <v/>
      </c>
      <c r="K27" s="1203"/>
      <c r="L27" s="1203"/>
      <c r="M27" s="1203"/>
      <c r="N27" s="1203"/>
      <c r="O27" s="1203"/>
      <c r="P27" s="1252"/>
      <c r="Q27" s="390"/>
      <c r="R27" s="390" t="str">
        <f t="shared" si="2"/>
        <v/>
      </c>
      <c r="S27" s="396" t="str">
        <f t="shared" si="3"/>
        <v/>
      </c>
      <c r="T27" s="390"/>
      <c r="U27" s="1251" t="str">
        <f t="shared" si="4"/>
        <v/>
      </c>
      <c r="V27" s="1203"/>
      <c r="W27" s="1203"/>
      <c r="X27" s="1203"/>
      <c r="Y27" s="1252"/>
      <c r="Z27" s="395" t="str">
        <f t="shared" si="5"/>
        <v/>
      </c>
      <c r="AA27" s="390" t="str">
        <f t="shared" si="6"/>
        <v/>
      </c>
      <c r="AB27" s="390"/>
      <c r="AC27" s="392"/>
      <c r="AD27" s="391"/>
      <c r="AE27" s="395"/>
      <c r="AF27" s="390"/>
      <c r="AG27" s="392"/>
      <c r="AH27" s="395"/>
      <c r="AP27" s="352">
        <v>9</v>
      </c>
      <c r="AQ27" s="382" t="e">
        <f>INDEX(データ!$R$2:$T$86,MATCH(AQ$17,データ!$R$2:$R$86,0)+AP27,AQ$37-1)</f>
        <v>#N/A</v>
      </c>
      <c r="AR27" s="382" t="e">
        <f>INDEX(データ!$R$2:$T$86,MATCH(AQ$17,データ!$R$2:$R$86,0)+AP27,AR$37-1)</f>
        <v>#N/A</v>
      </c>
      <c r="AS27" s="382" t="e">
        <f>INDEX(データ!$R$2:$T$86,MATCH(AQ$17,データ!$R$2:$R$86,0)+AP27,AS$37-1)</f>
        <v>#N/A</v>
      </c>
      <c r="AT27" s="352">
        <v>9</v>
      </c>
      <c r="AU27" s="382" t="e">
        <f>INDEX(データ!$R$2:$T$86,MATCH(AU$17,データ!$R$2:$R$86,0)+AT27,AU$37-1)</f>
        <v>#N/A</v>
      </c>
      <c r="AV27" s="382" t="e">
        <f>INDEX(データ!$R$2:$T$86,MATCH(AU$17,データ!$R$2:$R$86,0)+AT27,AV$37-1)</f>
        <v>#N/A</v>
      </c>
      <c r="AW27" s="382" t="e">
        <f>INDEX(データ!$R$2:$T$86,MATCH(AU$17,データ!$R$2:$R$86,0)+AT27,AW$37-1)</f>
        <v>#N/A</v>
      </c>
      <c r="BH27" s="353"/>
      <c r="BI27" s="353"/>
      <c r="BJ27" s="353"/>
      <c r="BK27" s="353"/>
      <c r="BL27" s="360">
        <v>20</v>
      </c>
      <c r="BM27" s="353"/>
      <c r="BN27" s="353"/>
    </row>
    <row r="28" spans="1:66" ht="12.75" customHeight="1" x14ac:dyDescent="0.2">
      <c r="A28" s="390"/>
      <c r="B28" s="391"/>
      <c r="C28" s="392"/>
      <c r="D28" s="393"/>
      <c r="E28" s="394"/>
      <c r="F28" s="391"/>
      <c r="G28" s="392"/>
      <c r="H28" s="395" t="str">
        <f t="shared" si="0"/>
        <v/>
      </c>
      <c r="I28" s="390" t="str">
        <f t="shared" si="1"/>
        <v/>
      </c>
      <c r="J28" s="1251" t="str">
        <f t="shared" si="7"/>
        <v/>
      </c>
      <c r="K28" s="1203"/>
      <c r="L28" s="1203"/>
      <c r="M28" s="1203"/>
      <c r="N28" s="1203"/>
      <c r="O28" s="1203"/>
      <c r="P28" s="1252"/>
      <c r="Q28" s="390"/>
      <c r="R28" s="390" t="str">
        <f t="shared" si="2"/>
        <v/>
      </c>
      <c r="S28" s="396" t="str">
        <f t="shared" si="3"/>
        <v/>
      </c>
      <c r="T28" s="390"/>
      <c r="U28" s="1251" t="str">
        <f t="shared" si="4"/>
        <v/>
      </c>
      <c r="V28" s="1203"/>
      <c r="W28" s="1203"/>
      <c r="X28" s="1203"/>
      <c r="Y28" s="1252"/>
      <c r="Z28" s="395" t="str">
        <f t="shared" si="5"/>
        <v/>
      </c>
      <c r="AA28" s="390" t="str">
        <f t="shared" si="6"/>
        <v/>
      </c>
      <c r="AB28" s="390"/>
      <c r="AC28" s="392"/>
      <c r="AD28" s="391"/>
      <c r="AE28" s="395"/>
      <c r="AF28" s="390"/>
      <c r="AG28" s="392"/>
      <c r="AH28" s="395"/>
      <c r="AP28" s="352">
        <v>10</v>
      </c>
      <c r="AQ28" s="382" t="e">
        <f>INDEX(データ!$R$2:$T$86,MATCH(AQ$17,データ!$R$2:$R$86,0)+AP28,AQ$37-1)</f>
        <v>#N/A</v>
      </c>
      <c r="AR28" s="382" t="e">
        <f>INDEX(データ!$R$2:$T$86,MATCH(AQ$17,データ!$R$2:$R$86,0)+AP28,AR$37-1)</f>
        <v>#N/A</v>
      </c>
      <c r="AS28" s="382" t="e">
        <f>INDEX(データ!$R$2:$T$86,MATCH(AQ$17,データ!$R$2:$R$86,0)+AP28,AS$37-1)</f>
        <v>#N/A</v>
      </c>
      <c r="AT28" s="352">
        <v>10</v>
      </c>
      <c r="AU28" s="382" t="e">
        <f>INDEX(データ!$R$2:$T$86,MATCH(AU$17,データ!$R$2:$R$86,0)+AT28,AU$37-1)</f>
        <v>#N/A</v>
      </c>
      <c r="AV28" s="382" t="e">
        <f>INDEX(データ!$R$2:$T$86,MATCH(AU$17,データ!$R$2:$R$86,0)+AT28,AV$37-1)</f>
        <v>#N/A</v>
      </c>
      <c r="AW28" s="382" t="e">
        <f>INDEX(データ!$R$2:$T$86,MATCH(AU$17,データ!$R$2:$R$86,0)+AT28,AW$37-1)</f>
        <v>#N/A</v>
      </c>
      <c r="BH28" s="353"/>
      <c r="BI28" s="353"/>
      <c r="BJ28" s="353"/>
      <c r="BK28" s="353"/>
      <c r="BL28" s="360">
        <v>19</v>
      </c>
      <c r="BM28" s="353"/>
      <c r="BN28" s="353"/>
    </row>
    <row r="29" spans="1:66" ht="12.75" customHeight="1" x14ac:dyDescent="0.2">
      <c r="A29" s="400"/>
      <c r="B29" s="401"/>
      <c r="C29" s="402"/>
      <c r="D29" s="403"/>
      <c r="E29" s="404"/>
      <c r="F29" s="401"/>
      <c r="G29" s="402"/>
      <c r="H29" s="405" t="str">
        <f t="shared" si="0"/>
        <v/>
      </c>
      <c r="I29" s="380" t="str">
        <f t="shared" si="1"/>
        <v/>
      </c>
      <c r="J29" s="1261" t="str">
        <f t="shared" si="7"/>
        <v/>
      </c>
      <c r="K29" s="1262"/>
      <c r="L29" s="1262"/>
      <c r="M29" s="1262"/>
      <c r="N29" s="1262"/>
      <c r="O29" s="1262"/>
      <c r="P29" s="1263"/>
      <c r="Q29" s="380"/>
      <c r="R29" s="380" t="str">
        <f t="shared" si="2"/>
        <v/>
      </c>
      <c r="S29" s="406" t="str">
        <f t="shared" si="3"/>
        <v/>
      </c>
      <c r="T29" s="380"/>
      <c r="U29" s="1261" t="str">
        <f t="shared" si="4"/>
        <v/>
      </c>
      <c r="V29" s="1262"/>
      <c r="W29" s="1262"/>
      <c r="X29" s="1262"/>
      <c r="Y29" s="1263"/>
      <c r="Z29" s="379" t="str">
        <f t="shared" si="5"/>
        <v/>
      </c>
      <c r="AA29" s="400" t="str">
        <f t="shared" si="6"/>
        <v/>
      </c>
      <c r="AB29" s="400"/>
      <c r="AC29" s="402"/>
      <c r="AD29" s="401"/>
      <c r="AE29" s="405"/>
      <c r="AF29" s="400"/>
      <c r="AG29" s="402"/>
      <c r="AH29" s="405"/>
      <c r="AP29" s="352">
        <v>11</v>
      </c>
      <c r="AQ29" s="382" t="e">
        <f>INDEX(データ!$R$2:$T$86,MATCH(AQ$17,データ!$R$2:$R$86,0)+AP29,AQ$37-1)</f>
        <v>#N/A</v>
      </c>
      <c r="AR29" s="382" t="e">
        <f>INDEX(データ!$R$2:$T$86,MATCH(AQ$17,データ!$R$2:$R$86,0)+AP29,AR$37-1)</f>
        <v>#N/A</v>
      </c>
      <c r="AS29" s="382" t="e">
        <f>INDEX(データ!$R$2:$T$86,MATCH(AQ$17,データ!$R$2:$R$86,0)+AP29,AS$37-1)</f>
        <v>#N/A</v>
      </c>
      <c r="AT29" s="352">
        <v>11</v>
      </c>
      <c r="AU29" s="382" t="e">
        <f>INDEX(データ!$R$2:$T$86,MATCH(AU$17,データ!$R$2:$R$86,0)+AT29,AU$37-1)</f>
        <v>#N/A</v>
      </c>
      <c r="AV29" s="382" t="e">
        <f>INDEX(データ!$R$2:$T$86,MATCH(AU$17,データ!$R$2:$R$86,0)+AT29,AV$37-1)</f>
        <v>#N/A</v>
      </c>
      <c r="AW29" s="382" t="e">
        <f>INDEX(データ!$R$2:$T$86,MATCH(AU$17,データ!$R$2:$R$86,0)+AT29,AW$37-1)</f>
        <v>#N/A</v>
      </c>
      <c r="BH29" s="353"/>
      <c r="BI29" s="353"/>
      <c r="BJ29" s="353"/>
      <c r="BK29" s="353"/>
      <c r="BL29" s="360">
        <v>18</v>
      </c>
      <c r="BM29" s="353"/>
      <c r="BN29" s="353"/>
    </row>
    <row r="30" spans="1:66" ht="12.75" customHeight="1" x14ac:dyDescent="0.2">
      <c r="A30" s="383"/>
      <c r="B30" s="384"/>
      <c r="C30" s="385"/>
      <c r="D30" s="386"/>
      <c r="E30" s="387"/>
      <c r="F30" s="384"/>
      <c r="G30" s="385"/>
      <c r="H30" s="388" t="str">
        <f t="shared" si="0"/>
        <v/>
      </c>
      <c r="I30" s="383" t="str">
        <f t="shared" si="1"/>
        <v/>
      </c>
      <c r="J30" s="1255" t="str">
        <f t="shared" si="7"/>
        <v/>
      </c>
      <c r="K30" s="1256"/>
      <c r="L30" s="1256"/>
      <c r="M30" s="1256"/>
      <c r="N30" s="1256"/>
      <c r="O30" s="1256"/>
      <c r="P30" s="1257"/>
      <c r="Q30" s="388"/>
      <c r="R30" s="383" t="str">
        <f t="shared" si="2"/>
        <v/>
      </c>
      <c r="S30" s="389" t="str">
        <f t="shared" si="3"/>
        <v/>
      </c>
      <c r="T30" s="388"/>
      <c r="U30" s="1255" t="str">
        <f t="shared" si="4"/>
        <v/>
      </c>
      <c r="V30" s="1256"/>
      <c r="W30" s="1256"/>
      <c r="X30" s="1256"/>
      <c r="Y30" s="1257"/>
      <c r="Z30" s="388" t="str">
        <f t="shared" si="5"/>
        <v/>
      </c>
      <c r="AA30" s="383" t="str">
        <f t="shared" si="6"/>
        <v/>
      </c>
      <c r="AB30" s="383"/>
      <c r="AC30" s="385"/>
      <c r="AD30" s="384"/>
      <c r="AE30" s="388"/>
      <c r="AF30" s="383"/>
      <c r="AG30" s="385"/>
      <c r="AH30" s="388"/>
      <c r="AP30" s="352">
        <v>12</v>
      </c>
      <c r="AQ30" s="382" t="e">
        <f>INDEX(データ!$R$2:$T$86,MATCH(AQ$17,データ!$R$2:$R$86,0)+AP30,AQ$37-1)</f>
        <v>#N/A</v>
      </c>
      <c r="AR30" s="382" t="e">
        <f>INDEX(データ!$R$2:$T$86,MATCH(AQ$17,データ!$R$2:$R$86,0)+AP30,AR$37-1)</f>
        <v>#N/A</v>
      </c>
      <c r="AS30" s="382" t="e">
        <f>INDEX(データ!$R$2:$T$86,MATCH(AQ$17,データ!$R$2:$R$86,0)+AP30,AS$37-1)</f>
        <v>#N/A</v>
      </c>
      <c r="AT30" s="352">
        <v>12</v>
      </c>
      <c r="AU30" s="382" t="e">
        <f>INDEX(データ!$R$2:$T$86,MATCH(AU$17,データ!$R$2:$R$86,0)+AT30,AU$37-1)</f>
        <v>#N/A</v>
      </c>
      <c r="AV30" s="382" t="e">
        <f>INDEX(データ!$R$2:$T$86,MATCH(AU$17,データ!$R$2:$R$86,0)+AT30,AV$37-1)</f>
        <v>#N/A</v>
      </c>
      <c r="AW30" s="382" t="e">
        <f>INDEX(データ!$R$2:$T$86,MATCH(AU$17,データ!$R$2:$R$86,0)+AT30,AW$37-1)</f>
        <v>#N/A</v>
      </c>
      <c r="BH30" s="353"/>
      <c r="BI30" s="353"/>
      <c r="BJ30" s="353"/>
      <c r="BK30" s="353"/>
      <c r="BL30" s="360">
        <v>17</v>
      </c>
      <c r="BM30" s="353"/>
      <c r="BN30" s="353"/>
    </row>
    <row r="31" spans="1:66" ht="12.75" customHeight="1" x14ac:dyDescent="0.2">
      <c r="A31" s="390"/>
      <c r="B31" s="391"/>
      <c r="C31" s="392"/>
      <c r="D31" s="393"/>
      <c r="E31" s="394"/>
      <c r="F31" s="391"/>
      <c r="G31" s="392"/>
      <c r="H31" s="395" t="str">
        <f t="shared" si="0"/>
        <v/>
      </c>
      <c r="I31" s="390" t="str">
        <f t="shared" si="1"/>
        <v/>
      </c>
      <c r="J31" s="1251" t="str">
        <f t="shared" si="7"/>
        <v/>
      </c>
      <c r="K31" s="1203"/>
      <c r="L31" s="1203"/>
      <c r="M31" s="1203"/>
      <c r="N31" s="1203"/>
      <c r="O31" s="1203"/>
      <c r="P31" s="1252"/>
      <c r="Q31" s="395"/>
      <c r="R31" s="390" t="str">
        <f t="shared" si="2"/>
        <v/>
      </c>
      <c r="S31" s="396" t="str">
        <f t="shared" si="3"/>
        <v/>
      </c>
      <c r="T31" s="395"/>
      <c r="U31" s="1251" t="str">
        <f t="shared" si="4"/>
        <v/>
      </c>
      <c r="V31" s="1203"/>
      <c r="W31" s="1203"/>
      <c r="X31" s="1203"/>
      <c r="Y31" s="1252"/>
      <c r="Z31" s="395" t="str">
        <f t="shared" si="5"/>
        <v/>
      </c>
      <c r="AA31" s="390" t="str">
        <f t="shared" si="6"/>
        <v/>
      </c>
      <c r="AB31" s="390"/>
      <c r="AC31" s="392"/>
      <c r="AD31" s="391"/>
      <c r="AE31" s="395"/>
      <c r="AF31" s="390"/>
      <c r="AG31" s="392"/>
      <c r="AH31" s="395"/>
      <c r="AP31" s="352">
        <v>13</v>
      </c>
      <c r="AQ31" s="382" t="e">
        <f>INDEX(データ!$R$2:$T$86,MATCH(AQ$17,データ!$R$2:$R$86,0)+AP31,AQ$37-1)</f>
        <v>#N/A</v>
      </c>
      <c r="AR31" s="382" t="e">
        <f>INDEX(データ!$R$2:$T$86,MATCH(AQ$17,データ!$R$2:$R$86,0)+AP31,AR$37-1)</f>
        <v>#N/A</v>
      </c>
      <c r="AS31" s="382" t="e">
        <f>INDEX(データ!$R$2:$T$86,MATCH(AQ$17,データ!$R$2:$R$86,0)+AP31,AS$37-1)</f>
        <v>#N/A</v>
      </c>
      <c r="AT31" s="352">
        <v>13</v>
      </c>
      <c r="AU31" s="382" t="e">
        <f>INDEX(データ!$R$2:$T$86,MATCH(AU$17,データ!$R$2:$R$86,0)+AT31,AU$37-1)</f>
        <v>#N/A</v>
      </c>
      <c r="AV31" s="382" t="e">
        <f>INDEX(データ!$R$2:$T$86,MATCH(AU$17,データ!$R$2:$R$86,0)+AT31,AV$37-1)</f>
        <v>#N/A</v>
      </c>
      <c r="AW31" s="382" t="e">
        <f>INDEX(データ!$R$2:$T$86,MATCH(AU$17,データ!$R$2:$R$86,0)+AT31,AW$37-1)</f>
        <v>#N/A</v>
      </c>
      <c r="BH31" s="353"/>
      <c r="BI31" s="353"/>
      <c r="BJ31" s="353"/>
      <c r="BK31" s="353"/>
      <c r="BL31" s="360">
        <v>16</v>
      </c>
      <c r="BM31" s="353"/>
      <c r="BN31" s="353"/>
    </row>
    <row r="32" spans="1:66" ht="12.75" customHeight="1" x14ac:dyDescent="0.2">
      <c r="A32" s="390"/>
      <c r="B32" s="391"/>
      <c r="C32" s="392"/>
      <c r="D32" s="393"/>
      <c r="E32" s="394"/>
      <c r="F32" s="391"/>
      <c r="G32" s="392"/>
      <c r="H32" s="395" t="str">
        <f t="shared" si="0"/>
        <v/>
      </c>
      <c r="I32" s="390" t="str">
        <f t="shared" si="1"/>
        <v/>
      </c>
      <c r="J32" s="1251" t="str">
        <f t="shared" si="7"/>
        <v/>
      </c>
      <c r="K32" s="1203"/>
      <c r="L32" s="1203"/>
      <c r="M32" s="1203"/>
      <c r="N32" s="1203"/>
      <c r="O32" s="1203"/>
      <c r="P32" s="1252"/>
      <c r="Q32" s="395"/>
      <c r="R32" s="390" t="str">
        <f t="shared" si="2"/>
        <v/>
      </c>
      <c r="S32" s="396" t="str">
        <f t="shared" si="3"/>
        <v/>
      </c>
      <c r="T32" s="395"/>
      <c r="U32" s="1251" t="str">
        <f t="shared" si="4"/>
        <v/>
      </c>
      <c r="V32" s="1203"/>
      <c r="W32" s="1203"/>
      <c r="X32" s="1203"/>
      <c r="Y32" s="1252"/>
      <c r="Z32" s="395" t="str">
        <f t="shared" si="5"/>
        <v/>
      </c>
      <c r="AA32" s="390" t="str">
        <f t="shared" si="6"/>
        <v/>
      </c>
      <c r="AB32" s="390"/>
      <c r="AC32" s="392"/>
      <c r="AD32" s="391"/>
      <c r="AE32" s="395"/>
      <c r="AF32" s="390"/>
      <c r="AG32" s="392"/>
      <c r="AH32" s="395"/>
      <c r="AP32" s="352">
        <v>14</v>
      </c>
      <c r="AQ32" s="382" t="e">
        <f>INDEX(データ!$R$2:$T$86,MATCH(AQ$17,データ!$R$2:$R$86,0)+AP32,AQ$37-1)</f>
        <v>#N/A</v>
      </c>
      <c r="AR32" s="382" t="e">
        <f>INDEX(データ!$R$2:$T$86,MATCH(AQ$17,データ!$R$2:$R$86,0)+AP32,AR$37-1)</f>
        <v>#N/A</v>
      </c>
      <c r="AS32" s="382" t="e">
        <f>INDEX(データ!$R$2:$T$86,MATCH(AQ$17,データ!$R$2:$R$86,0)+AP32,AS$37-1)</f>
        <v>#N/A</v>
      </c>
      <c r="AT32" s="352">
        <v>14</v>
      </c>
      <c r="AU32" s="382" t="e">
        <f>INDEX(データ!$R$2:$T$86,MATCH(AU$17,データ!$R$2:$R$86,0)+AT32,AU$37-1)</f>
        <v>#N/A</v>
      </c>
      <c r="AV32" s="382" t="e">
        <f>INDEX(データ!$R$2:$T$86,MATCH(AU$17,データ!$R$2:$R$86,0)+AT32,AV$37-1)</f>
        <v>#N/A</v>
      </c>
      <c r="AW32" s="382" t="e">
        <f>INDEX(データ!$R$2:$T$86,MATCH(AU$17,データ!$R$2:$R$86,0)+AT32,AW$37-1)</f>
        <v>#N/A</v>
      </c>
      <c r="BH32" s="353"/>
      <c r="BI32" s="353"/>
      <c r="BJ32" s="353"/>
      <c r="BK32" s="353"/>
      <c r="BL32" s="360">
        <v>15</v>
      </c>
      <c r="BM32" s="353"/>
      <c r="BN32" s="353"/>
    </row>
    <row r="33" spans="1:66" ht="12.75" customHeight="1" x14ac:dyDescent="0.2">
      <c r="A33" s="390"/>
      <c r="B33" s="391"/>
      <c r="C33" s="392"/>
      <c r="D33" s="393"/>
      <c r="E33" s="394"/>
      <c r="F33" s="391"/>
      <c r="G33" s="392"/>
      <c r="H33" s="395" t="str">
        <f t="shared" si="0"/>
        <v/>
      </c>
      <c r="I33" s="390" t="str">
        <f t="shared" si="1"/>
        <v/>
      </c>
      <c r="J33" s="1251" t="str">
        <f t="shared" si="7"/>
        <v/>
      </c>
      <c r="K33" s="1203"/>
      <c r="L33" s="1203"/>
      <c r="M33" s="1203"/>
      <c r="N33" s="1203"/>
      <c r="O33" s="1203"/>
      <c r="P33" s="1252"/>
      <c r="Q33" s="407"/>
      <c r="R33" s="390" t="str">
        <f t="shared" si="2"/>
        <v/>
      </c>
      <c r="S33" s="396" t="str">
        <f t="shared" si="3"/>
        <v/>
      </c>
      <c r="T33" s="407"/>
      <c r="U33" s="1251" t="str">
        <f t="shared" si="4"/>
        <v/>
      </c>
      <c r="V33" s="1203"/>
      <c r="W33" s="1203"/>
      <c r="X33" s="1203"/>
      <c r="Y33" s="1252"/>
      <c r="Z33" s="395" t="str">
        <f t="shared" si="5"/>
        <v/>
      </c>
      <c r="AA33" s="390" t="str">
        <f t="shared" si="6"/>
        <v/>
      </c>
      <c r="AB33" s="390"/>
      <c r="AC33" s="392"/>
      <c r="AD33" s="391"/>
      <c r="AE33" s="395"/>
      <c r="AF33" s="390"/>
      <c r="AG33" s="392"/>
      <c r="AH33" s="395"/>
      <c r="AP33" s="352">
        <v>15</v>
      </c>
      <c r="AQ33" s="382" t="e">
        <f>INDEX(データ!$R$2:$T$86,MATCH(AQ$17,データ!$R$2:$R$86,0)+AP33,AQ$37-1)</f>
        <v>#N/A</v>
      </c>
      <c r="AR33" s="382" t="e">
        <f>INDEX(データ!$R$2:$T$86,MATCH(AQ$17,データ!$R$2:$R$86,0)+AP33,AR$37-1)</f>
        <v>#N/A</v>
      </c>
      <c r="AS33" s="382" t="e">
        <f>INDEX(データ!$R$2:$T$86,MATCH(AQ$17,データ!$R$2:$R$86,0)+AP33,AS$37-1)</f>
        <v>#N/A</v>
      </c>
      <c r="AT33" s="352">
        <v>15</v>
      </c>
      <c r="AU33" s="382" t="e">
        <f>INDEX(データ!$R$2:$T$86,MATCH(AU$17,データ!$R$2:$R$86,0)+AT33,AU$37-1)</f>
        <v>#N/A</v>
      </c>
      <c r="AV33" s="382" t="e">
        <f>INDEX(データ!$R$2:$T$86,MATCH(AU$17,データ!$R$2:$R$86,0)+AT33,AV$37-1)</f>
        <v>#N/A</v>
      </c>
      <c r="AW33" s="382" t="e">
        <f>INDEX(データ!$R$2:$T$86,MATCH(AU$17,データ!$R$2:$R$86,0)+AT33,AW$37-1)</f>
        <v>#N/A</v>
      </c>
      <c r="BH33" s="353"/>
      <c r="BI33" s="353"/>
      <c r="BJ33" s="353"/>
      <c r="BK33" s="353"/>
      <c r="BL33" s="360">
        <v>14</v>
      </c>
      <c r="BM33" s="353"/>
      <c r="BN33" s="353"/>
    </row>
    <row r="34" spans="1:66" ht="12.75" customHeight="1" x14ac:dyDescent="0.2">
      <c r="A34" s="390"/>
      <c r="B34" s="391"/>
      <c r="C34" s="392"/>
      <c r="D34" s="393"/>
      <c r="E34" s="394"/>
      <c r="F34" s="391"/>
      <c r="G34" s="392"/>
      <c r="H34" s="395"/>
      <c r="I34" s="390" t="str">
        <f t="shared" si="1"/>
        <v/>
      </c>
      <c r="J34" s="1251" t="str">
        <f t="shared" si="7"/>
        <v/>
      </c>
      <c r="K34" s="1203"/>
      <c r="L34" s="1203"/>
      <c r="M34" s="1203"/>
      <c r="N34" s="1203"/>
      <c r="O34" s="1203"/>
      <c r="P34" s="1252"/>
      <c r="Q34" s="396"/>
      <c r="R34" s="390" t="str">
        <f t="shared" si="2"/>
        <v/>
      </c>
      <c r="S34" s="396" t="str">
        <f t="shared" si="3"/>
        <v/>
      </c>
      <c r="T34" s="396"/>
      <c r="U34" s="1251" t="str">
        <f t="shared" si="4"/>
        <v/>
      </c>
      <c r="V34" s="1203"/>
      <c r="W34" s="1203"/>
      <c r="X34" s="1203"/>
      <c r="Y34" s="1252"/>
      <c r="Z34" s="395" t="str">
        <f t="shared" si="5"/>
        <v/>
      </c>
      <c r="AA34" s="390" t="str">
        <f t="shared" si="6"/>
        <v/>
      </c>
      <c r="AB34" s="390"/>
      <c r="AC34" s="392"/>
      <c r="AD34" s="391"/>
      <c r="AE34" s="395"/>
      <c r="AF34" s="390"/>
      <c r="AG34" s="392"/>
      <c r="AH34" s="395"/>
      <c r="AP34" s="352">
        <v>16</v>
      </c>
      <c r="AQ34" s="382" t="e">
        <f>INDEX(データ!$R$2:$T$86,MATCH(AQ$17,データ!$R$2:$R$86,0)+AP34,AQ$37-1)</f>
        <v>#N/A</v>
      </c>
      <c r="AR34" s="382" t="e">
        <f>INDEX(データ!$R$2:$T$86,MATCH(AQ$17,データ!$R$2:$R$86,0)+AP34,AR$37-1)</f>
        <v>#N/A</v>
      </c>
      <c r="AS34" s="382" t="e">
        <f>INDEX(データ!$R$2:$T$86,MATCH(AQ$17,データ!$R$2:$R$86,0)+AP34,AS$37-1)</f>
        <v>#N/A</v>
      </c>
      <c r="AT34" s="352">
        <v>16</v>
      </c>
      <c r="AU34" s="382" t="e">
        <f>INDEX(データ!$R$2:$T$86,MATCH(AU$17,データ!$R$2:$R$86,0)+AT34,AU$37-1)</f>
        <v>#N/A</v>
      </c>
      <c r="AV34" s="382" t="e">
        <f>INDEX(データ!$R$2:$T$86,MATCH(AU$17,データ!$R$2:$R$86,0)+AT34,AV$37-1)</f>
        <v>#N/A</v>
      </c>
      <c r="AW34" s="382" t="e">
        <f>INDEX(データ!$R$2:$T$86,MATCH(AU$17,データ!$R$2:$R$86,0)+AT34,AW$37-1)</f>
        <v>#N/A</v>
      </c>
      <c r="BH34" s="353"/>
      <c r="BI34" s="353"/>
      <c r="BJ34" s="353"/>
      <c r="BK34" s="353"/>
      <c r="BL34" s="360">
        <v>13</v>
      </c>
      <c r="BM34" s="353"/>
      <c r="BN34" s="353"/>
    </row>
    <row r="35" spans="1:66" ht="12.75" customHeight="1" x14ac:dyDescent="0.2">
      <c r="A35" s="390"/>
      <c r="B35" s="391"/>
      <c r="C35" s="392"/>
      <c r="D35" s="393"/>
      <c r="E35" s="394"/>
      <c r="F35" s="391"/>
      <c r="G35" s="392"/>
      <c r="H35" s="395" t="str">
        <f>IF(F35+G35=0,"",F35+G35)</f>
        <v/>
      </c>
      <c r="I35" s="390" t="str">
        <f t="shared" si="1"/>
        <v/>
      </c>
      <c r="J35" s="1251" t="str">
        <f t="shared" si="7"/>
        <v/>
      </c>
      <c r="K35" s="1203"/>
      <c r="L35" s="1203"/>
      <c r="M35" s="1203"/>
      <c r="N35" s="1203"/>
      <c r="O35" s="1203"/>
      <c r="P35" s="1252"/>
      <c r="Q35" s="395"/>
      <c r="R35" s="390" t="str">
        <f t="shared" si="2"/>
        <v/>
      </c>
      <c r="S35" s="396" t="str">
        <f t="shared" si="3"/>
        <v/>
      </c>
      <c r="T35" s="395"/>
      <c r="U35" s="1251" t="str">
        <f t="shared" si="4"/>
        <v/>
      </c>
      <c r="V35" s="1203"/>
      <c r="W35" s="1203"/>
      <c r="X35" s="1203"/>
      <c r="Y35" s="1252"/>
      <c r="Z35" s="395" t="str">
        <f t="shared" si="5"/>
        <v/>
      </c>
      <c r="AA35" s="390" t="str">
        <f t="shared" si="6"/>
        <v/>
      </c>
      <c r="AB35" s="390"/>
      <c r="AC35" s="392"/>
      <c r="AD35" s="391"/>
      <c r="AE35" s="395"/>
      <c r="AF35" s="390"/>
      <c r="AG35" s="392"/>
      <c r="AH35" s="395"/>
      <c r="AP35" s="352">
        <v>17</v>
      </c>
      <c r="AQ35" s="382" t="e">
        <f>INDEX(データ!$R$2:$T$86,MATCH(AQ$17,データ!$R$2:$R$86,0)+AP35,AQ$37-1)</f>
        <v>#N/A</v>
      </c>
      <c r="AR35" s="382" t="e">
        <f>INDEX(データ!$R$2:$T$86,MATCH(AQ$17,データ!$R$2:$R$86,0)+AP35,AR$37-1)</f>
        <v>#N/A</v>
      </c>
      <c r="AS35" s="382" t="e">
        <f>INDEX(データ!$R$2:$T$86,MATCH(AQ$17,データ!$R$2:$R$86,0)+AP35,AS$37-1)</f>
        <v>#N/A</v>
      </c>
      <c r="AT35" s="352">
        <v>17</v>
      </c>
      <c r="AU35" s="382" t="e">
        <f>INDEX(データ!$R$2:$T$86,MATCH(AU$17,データ!$R$2:$R$86,0)+AT35,AU$37-1)</f>
        <v>#N/A</v>
      </c>
      <c r="AV35" s="382" t="e">
        <f>INDEX(データ!$R$2:$T$86,MATCH(AU$17,データ!$R$2:$R$86,0)+AT35,AV$37-1)</f>
        <v>#N/A</v>
      </c>
      <c r="AW35" s="382" t="e">
        <f>INDEX(データ!$R$2:$T$86,MATCH(AU$17,データ!$R$2:$R$86,0)+AT35,AW$37-1)</f>
        <v>#N/A</v>
      </c>
      <c r="BH35" s="353"/>
      <c r="BI35" s="353"/>
      <c r="BJ35" s="353"/>
      <c r="BK35" s="353"/>
      <c r="BL35" s="360">
        <v>12</v>
      </c>
      <c r="BM35" s="353"/>
      <c r="BN35" s="353"/>
    </row>
    <row r="36" spans="1:66" ht="12.75" customHeight="1" x14ac:dyDescent="0.2">
      <c r="A36" s="380"/>
      <c r="B36" s="377"/>
      <c r="C36" s="378"/>
      <c r="D36" s="375"/>
      <c r="E36" s="376"/>
      <c r="F36" s="377"/>
      <c r="G36" s="378"/>
      <c r="H36" s="379" t="str">
        <f>IF(F36+G36=0,"",F36+G36)</f>
        <v/>
      </c>
      <c r="I36" s="380" t="str">
        <f t="shared" si="1"/>
        <v/>
      </c>
      <c r="J36" s="1261" t="str">
        <f t="shared" si="7"/>
        <v/>
      </c>
      <c r="K36" s="1262"/>
      <c r="L36" s="1262"/>
      <c r="M36" s="1262"/>
      <c r="N36" s="1262"/>
      <c r="O36" s="1262"/>
      <c r="P36" s="1263"/>
      <c r="Q36" s="408"/>
      <c r="R36" s="380" t="str">
        <f t="shared" si="2"/>
        <v/>
      </c>
      <c r="S36" s="406" t="str">
        <f t="shared" si="3"/>
        <v/>
      </c>
      <c r="T36" s="408"/>
      <c r="U36" s="1261" t="str">
        <f t="shared" si="4"/>
        <v/>
      </c>
      <c r="V36" s="1262"/>
      <c r="W36" s="1262"/>
      <c r="X36" s="1262"/>
      <c r="Y36" s="1263"/>
      <c r="Z36" s="379" t="str">
        <f t="shared" si="5"/>
        <v/>
      </c>
      <c r="AA36" s="380" t="str">
        <f t="shared" si="6"/>
        <v/>
      </c>
      <c r="AB36" s="380"/>
      <c r="AC36" s="378"/>
      <c r="AD36" s="377"/>
      <c r="AE36" s="379"/>
      <c r="AF36" s="380"/>
      <c r="AG36" s="378"/>
      <c r="AH36" s="379"/>
      <c r="AP36" s="352">
        <v>18</v>
      </c>
      <c r="AQ36" s="382" t="e">
        <f>INDEX(データ!$R$2:$T$86,MATCH(AQ$17,データ!$R$2:$R$86,0)+AP36,AQ$37-1)</f>
        <v>#N/A</v>
      </c>
      <c r="AR36" s="382" t="e">
        <f>INDEX(データ!$R$2:$T$86,MATCH(AQ$17,データ!$R$2:$R$86,0)+AP36,AR$37-1)</f>
        <v>#N/A</v>
      </c>
      <c r="AS36" s="382" t="e">
        <f>INDEX(データ!$R$2:$T$86,MATCH(AQ$17,データ!$R$2:$R$86,0)+AP36,AS$37-1)</f>
        <v>#N/A</v>
      </c>
      <c r="AT36" s="352">
        <v>18</v>
      </c>
      <c r="AU36" s="382" t="e">
        <f>INDEX(データ!$R$2:$T$86,MATCH(AU$17,データ!$R$2:$R$86,0)+AT36,AU$37-1)</f>
        <v>#N/A</v>
      </c>
      <c r="AV36" s="382" t="e">
        <f>INDEX(データ!$R$2:$T$86,MATCH(AU$17,データ!$R$2:$R$86,0)+AT36,AV$37-1)</f>
        <v>#N/A</v>
      </c>
      <c r="AW36" s="382" t="e">
        <f>INDEX(データ!$R$2:$T$86,MATCH(AU$17,データ!$R$2:$R$86,0)+AT36,AW$37-1)</f>
        <v>#N/A</v>
      </c>
      <c r="BH36" s="353"/>
      <c r="BI36" s="353"/>
      <c r="BJ36" s="353"/>
      <c r="BK36" s="353"/>
      <c r="BL36" s="360">
        <v>11</v>
      </c>
      <c r="BM36" s="353"/>
      <c r="BN36" s="353"/>
    </row>
    <row r="37" spans="1:66" ht="12.75" customHeight="1" x14ac:dyDescent="0.2">
      <c r="A37" s="1275" t="s">
        <v>355</v>
      </c>
      <c r="B37" s="1276"/>
      <c r="C37" s="1268" t="s">
        <v>356</v>
      </c>
      <c r="D37" s="1269"/>
      <c r="E37" s="1269"/>
      <c r="F37" s="1270"/>
      <c r="G37" s="1233" t="s">
        <v>357</v>
      </c>
      <c r="H37" s="1233"/>
      <c r="I37" s="1277"/>
      <c r="J37" s="1278"/>
      <c r="K37" s="1279" t="s">
        <v>358</v>
      </c>
      <c r="L37" s="1280"/>
      <c r="M37" s="1280"/>
      <c r="N37" s="1280"/>
      <c r="O37" s="1280"/>
      <c r="P37" s="1280"/>
      <c r="Q37" s="1280"/>
      <c r="R37" s="1281"/>
      <c r="S37" s="1279" t="s">
        <v>358</v>
      </c>
      <c r="T37" s="1280"/>
      <c r="U37" s="1280"/>
      <c r="V37" s="1280"/>
      <c r="W37" s="1280"/>
      <c r="X37" s="1281"/>
      <c r="Y37" s="1264" t="s">
        <v>355</v>
      </c>
      <c r="Z37" s="1265"/>
      <c r="AA37" s="1268" t="s">
        <v>356</v>
      </c>
      <c r="AB37" s="1269"/>
      <c r="AC37" s="1269"/>
      <c r="AD37" s="1270"/>
      <c r="AE37" s="1233" t="s">
        <v>357</v>
      </c>
      <c r="AF37" s="1233"/>
      <c r="AG37" s="1233"/>
      <c r="AH37" s="1239"/>
      <c r="AQ37" s="352">
        <v>2</v>
      </c>
      <c r="AR37" s="352">
        <v>3</v>
      </c>
      <c r="AS37" s="352">
        <v>4</v>
      </c>
      <c r="AU37" s="352">
        <v>2</v>
      </c>
      <c r="AV37" s="352">
        <v>3</v>
      </c>
      <c r="AW37" s="352">
        <v>4</v>
      </c>
      <c r="BH37" s="353"/>
      <c r="BI37" s="353"/>
      <c r="BJ37" s="353"/>
      <c r="BK37" s="353"/>
      <c r="BL37" s="360">
        <v>10</v>
      </c>
      <c r="BM37" s="353"/>
      <c r="BN37" s="353"/>
    </row>
    <row r="38" spans="1:66" ht="12.75" customHeight="1" x14ac:dyDescent="0.2">
      <c r="A38" s="1284"/>
      <c r="B38" s="1274"/>
      <c r="C38" s="409"/>
      <c r="D38" s="1195" t="str">
        <f t="shared" ref="D38:D41" si="8">IF(C38="","",INDEX($J$19:$P$36,MATCH(C38,$Q$19:$Q$36,0),1))</f>
        <v/>
      </c>
      <c r="E38" s="1195"/>
      <c r="F38" s="1200"/>
      <c r="G38" s="410"/>
      <c r="H38" s="1266" t="str">
        <f t="shared" ref="H38:H47" si="9">IF(G38="","",INDEX($J$19:$P$36,MATCH(G38,$Q$19:$Q$36,0),1))</f>
        <v/>
      </c>
      <c r="I38" s="1266"/>
      <c r="J38" s="1285"/>
      <c r="K38" s="1244" t="e">
        <f>AS18</f>
        <v>#N/A</v>
      </c>
      <c r="L38" s="1286"/>
      <c r="M38" s="1286"/>
      <c r="N38" s="1271"/>
      <c r="O38" s="1271"/>
      <c r="P38" s="1271"/>
      <c r="Q38" s="1271"/>
      <c r="R38" s="1272"/>
      <c r="S38" s="1244" t="e">
        <f>AW18</f>
        <v>#N/A</v>
      </c>
      <c r="T38" s="1271"/>
      <c r="U38" s="1271"/>
      <c r="V38" s="1271"/>
      <c r="W38" s="1271"/>
      <c r="X38" s="1272"/>
      <c r="Y38" s="1273"/>
      <c r="Z38" s="1274"/>
      <c r="AA38" s="409"/>
      <c r="AB38" s="1266" t="str">
        <f t="shared" ref="AB38:AB39" si="10">IF(AA38="","",INDEX($U$19:$Y$36,MATCH(AA38,$T$19:$T$36,0),1))</f>
        <v/>
      </c>
      <c r="AC38" s="1266"/>
      <c r="AD38" s="1267"/>
      <c r="AE38" s="410"/>
      <c r="AF38" s="1266" t="str">
        <f t="shared" ref="AF38:AF47" si="11">IF(AE38="","",INDEX($U$19:$Y$36,MATCH(AE38,$T$19:$T$36,0),1))</f>
        <v/>
      </c>
      <c r="AG38" s="1266"/>
      <c r="AH38" s="1267"/>
      <c r="AQ38" s="352" t="s">
        <v>346</v>
      </c>
      <c r="AR38" s="352" t="s">
        <v>347</v>
      </c>
      <c r="AS38" s="352" t="s">
        <v>359</v>
      </c>
      <c r="AU38" s="352" t="s">
        <v>346</v>
      </c>
      <c r="AV38" s="352" t="s">
        <v>347</v>
      </c>
      <c r="AW38" s="352" t="s">
        <v>359</v>
      </c>
      <c r="BH38" s="353"/>
      <c r="BI38" s="353"/>
      <c r="BJ38" s="353"/>
      <c r="BK38" s="353"/>
      <c r="BL38" s="360">
        <v>9</v>
      </c>
      <c r="BM38" s="353"/>
      <c r="BN38" s="353"/>
    </row>
    <row r="39" spans="1:66" ht="12.75" customHeight="1" x14ac:dyDescent="0.2">
      <c r="A39" s="1287"/>
      <c r="B39" s="1288"/>
      <c r="C39" s="391"/>
      <c r="D39" s="1266" t="str">
        <f t="shared" si="8"/>
        <v/>
      </c>
      <c r="E39" s="1266"/>
      <c r="F39" s="1267"/>
      <c r="G39" s="393"/>
      <c r="H39" s="1266" t="str">
        <f t="shared" si="9"/>
        <v/>
      </c>
      <c r="I39" s="1266"/>
      <c r="J39" s="1285"/>
      <c r="K39" s="1292"/>
      <c r="L39" s="1293"/>
      <c r="M39" s="1296"/>
      <c r="N39" s="1297"/>
      <c r="O39" s="1282" t="s">
        <v>244</v>
      </c>
      <c r="P39" s="1290" t="s">
        <v>243</v>
      </c>
      <c r="Q39" s="1242" t="s">
        <v>360</v>
      </c>
      <c r="R39" s="1246"/>
      <c r="S39" s="1246"/>
      <c r="T39" s="1243"/>
      <c r="U39" s="1282" t="s">
        <v>243</v>
      </c>
      <c r="V39" s="1290" t="s">
        <v>244</v>
      </c>
      <c r="W39" s="1301"/>
      <c r="X39" s="1303"/>
      <c r="Y39" s="1289"/>
      <c r="Z39" s="1288"/>
      <c r="AA39" s="391"/>
      <c r="AB39" s="1206" t="str">
        <f t="shared" si="10"/>
        <v/>
      </c>
      <c r="AC39" s="1206"/>
      <c r="AD39" s="1207"/>
      <c r="AE39" s="393"/>
      <c r="AF39" s="1206" t="str">
        <f t="shared" si="11"/>
        <v/>
      </c>
      <c r="AG39" s="1206"/>
      <c r="AH39" s="1207"/>
      <c r="BH39" s="353"/>
      <c r="BI39" s="353"/>
      <c r="BJ39" s="353"/>
      <c r="BK39" s="353"/>
      <c r="BL39" s="360">
        <v>8</v>
      </c>
      <c r="BM39" s="353"/>
      <c r="BN39" s="353"/>
    </row>
    <row r="40" spans="1:66" ht="12.75" customHeight="1" x14ac:dyDescent="0.2">
      <c r="A40" s="1287"/>
      <c r="B40" s="1288"/>
      <c r="C40" s="391"/>
      <c r="D40" s="1266" t="str">
        <f t="shared" si="8"/>
        <v/>
      </c>
      <c r="E40" s="1266"/>
      <c r="F40" s="1267"/>
      <c r="G40" s="393"/>
      <c r="H40" s="1266" t="str">
        <f t="shared" si="9"/>
        <v/>
      </c>
      <c r="I40" s="1266"/>
      <c r="J40" s="1285"/>
      <c r="K40" s="1294"/>
      <c r="L40" s="1295"/>
      <c r="M40" s="1298"/>
      <c r="N40" s="1299"/>
      <c r="O40" s="1283"/>
      <c r="P40" s="1291"/>
      <c r="Q40" s="1244"/>
      <c r="R40" s="1300"/>
      <c r="S40" s="1300"/>
      <c r="T40" s="1245"/>
      <c r="U40" s="1283"/>
      <c r="V40" s="1291"/>
      <c r="W40" s="1302"/>
      <c r="X40" s="1304"/>
      <c r="Y40" s="1289"/>
      <c r="Z40" s="1288"/>
      <c r="AA40" s="391"/>
      <c r="AB40" s="1206" t="str">
        <f t="shared" ref="AB40:AB47" si="12">IF(AA40="","",INDEX($U$19:$Y$36,MATCH(AA40,$T$19:$T$36,0),1))</f>
        <v/>
      </c>
      <c r="AC40" s="1206"/>
      <c r="AD40" s="1207"/>
      <c r="AE40" s="393"/>
      <c r="AF40" s="1206" t="str">
        <f t="shared" si="11"/>
        <v/>
      </c>
      <c r="AG40" s="1206"/>
      <c r="AH40" s="1207"/>
      <c r="BH40" s="353"/>
      <c r="BI40" s="353"/>
      <c r="BJ40" s="353"/>
      <c r="BK40" s="353"/>
      <c r="BL40" s="360">
        <v>7</v>
      </c>
      <c r="BM40" s="353"/>
      <c r="BN40" s="353"/>
    </row>
    <row r="41" spans="1:66" ht="12.75" customHeight="1" x14ac:dyDescent="0.2">
      <c r="A41" s="1287"/>
      <c r="B41" s="1288"/>
      <c r="C41" s="391"/>
      <c r="D41" s="1266" t="str">
        <f t="shared" si="8"/>
        <v/>
      </c>
      <c r="E41" s="1266"/>
      <c r="F41" s="1267"/>
      <c r="G41" s="393"/>
      <c r="H41" s="1266" t="str">
        <f t="shared" si="9"/>
        <v/>
      </c>
      <c r="I41" s="1266"/>
      <c r="J41" s="1285"/>
      <c r="K41" s="1240" t="str">
        <f>IF(SUM(D19:D36)=0,"",SUM(D19:D36))</f>
        <v/>
      </c>
      <c r="L41" s="1219"/>
      <c r="M41" s="1217" t="str">
        <f>IF(SUM(E19:E36)=0,"",SUM(E19:E36))</f>
        <v/>
      </c>
      <c r="N41" s="1309"/>
      <c r="O41" s="410"/>
      <c r="P41" s="411"/>
      <c r="Q41" s="412" t="str">
        <f>IF(SUM(K41:P41)=0,"",SUM(K41:P41))</f>
        <v/>
      </c>
      <c r="R41" s="1310" t="s">
        <v>343</v>
      </c>
      <c r="S41" s="1310"/>
      <c r="T41" s="413" t="str">
        <f>IF(SUM(U41:X41)=0,"",SUM(U41:X41))</f>
        <v/>
      </c>
      <c r="U41" s="410"/>
      <c r="V41" s="411"/>
      <c r="W41" s="384" t="str">
        <f>IF(SUM(AD19:AD36)=0,"",SUM(AD19:AD36))</f>
        <v/>
      </c>
      <c r="X41" s="385" t="str">
        <f>IF(SUM(AE19:AE36)=0,"",SUM(AE19:AE36))</f>
        <v/>
      </c>
      <c r="Y41" s="1289"/>
      <c r="Z41" s="1288"/>
      <c r="AA41" s="391"/>
      <c r="AB41" s="1206" t="str">
        <f t="shared" si="12"/>
        <v/>
      </c>
      <c r="AC41" s="1206"/>
      <c r="AD41" s="1207"/>
      <c r="AE41" s="393"/>
      <c r="AF41" s="1206" t="str">
        <f t="shared" si="11"/>
        <v/>
      </c>
      <c r="AG41" s="1206"/>
      <c r="AH41" s="1207"/>
      <c r="BH41" s="353"/>
      <c r="BI41" s="353"/>
      <c r="BJ41" s="353"/>
      <c r="BK41" s="353"/>
      <c r="BL41" s="360">
        <v>6</v>
      </c>
      <c r="BM41" s="353"/>
      <c r="BN41" s="353"/>
    </row>
    <row r="42" spans="1:66" ht="12.75" customHeight="1" x14ac:dyDescent="0.2">
      <c r="A42" s="1287"/>
      <c r="B42" s="1288"/>
      <c r="C42" s="391"/>
      <c r="D42" s="1266" t="str">
        <f t="shared" ref="D42:D47" si="13">IF(C42="","",INDEX($J$19:$P$36,MATCH(C42,$Q$19:$Q$36,0),1))</f>
        <v/>
      </c>
      <c r="E42" s="1266"/>
      <c r="F42" s="1267"/>
      <c r="G42" s="393"/>
      <c r="H42" s="1266" t="str">
        <f t="shared" si="9"/>
        <v/>
      </c>
      <c r="I42" s="1266"/>
      <c r="J42" s="1285"/>
      <c r="K42" s="1305"/>
      <c r="L42" s="1306"/>
      <c r="M42" s="1288"/>
      <c r="N42" s="1307"/>
      <c r="O42" s="393"/>
      <c r="P42" s="394"/>
      <c r="Q42" s="414" t="str">
        <f t="shared" ref="Q42:Q47" si="14">IF(O42+P42=0,"",O42+P42)</f>
        <v/>
      </c>
      <c r="R42" s="1308" t="s">
        <v>361</v>
      </c>
      <c r="S42" s="1308"/>
      <c r="T42" s="415" t="str">
        <f t="shared" ref="T42:T47" si="15">IF(U42+V42=0,"",U42+V42)</f>
        <v/>
      </c>
      <c r="U42" s="393"/>
      <c r="V42" s="394"/>
      <c r="W42" s="391"/>
      <c r="X42" s="392"/>
      <c r="Y42" s="1289"/>
      <c r="Z42" s="1288"/>
      <c r="AA42" s="391"/>
      <c r="AB42" s="1206" t="str">
        <f t="shared" si="12"/>
        <v/>
      </c>
      <c r="AC42" s="1206"/>
      <c r="AD42" s="1207"/>
      <c r="AE42" s="393"/>
      <c r="AF42" s="1206" t="str">
        <f t="shared" si="11"/>
        <v/>
      </c>
      <c r="AG42" s="1206"/>
      <c r="AH42" s="1207"/>
      <c r="BH42" s="353"/>
      <c r="BI42" s="353"/>
      <c r="BJ42" s="353"/>
      <c r="BK42" s="353"/>
      <c r="BL42" s="360">
        <v>5</v>
      </c>
      <c r="BM42" s="353"/>
      <c r="BN42" s="353"/>
    </row>
    <row r="43" spans="1:66" ht="12.75" customHeight="1" x14ac:dyDescent="0.2">
      <c r="A43" s="1287" t="s">
        <v>294</v>
      </c>
      <c r="B43" s="1288"/>
      <c r="C43" s="391"/>
      <c r="D43" s="1266" t="str">
        <f t="shared" si="13"/>
        <v/>
      </c>
      <c r="E43" s="1266"/>
      <c r="F43" s="1267"/>
      <c r="G43" s="393"/>
      <c r="H43" s="1266" t="str">
        <f t="shared" si="9"/>
        <v/>
      </c>
      <c r="I43" s="1266"/>
      <c r="J43" s="1285"/>
      <c r="K43" s="1305"/>
      <c r="L43" s="1306"/>
      <c r="M43" s="1288"/>
      <c r="N43" s="1307"/>
      <c r="O43" s="393"/>
      <c r="P43" s="394"/>
      <c r="Q43" s="414" t="str">
        <f t="shared" si="14"/>
        <v/>
      </c>
      <c r="R43" s="1308" t="s">
        <v>362</v>
      </c>
      <c r="S43" s="1308"/>
      <c r="T43" s="415" t="str">
        <f t="shared" si="15"/>
        <v/>
      </c>
      <c r="U43" s="393"/>
      <c r="V43" s="394"/>
      <c r="W43" s="391"/>
      <c r="X43" s="392"/>
      <c r="Y43" s="1289"/>
      <c r="Z43" s="1288"/>
      <c r="AA43" s="391"/>
      <c r="AB43" s="1206" t="str">
        <f t="shared" si="12"/>
        <v/>
      </c>
      <c r="AC43" s="1206"/>
      <c r="AD43" s="1207"/>
      <c r="AE43" s="393"/>
      <c r="AF43" s="1206" t="str">
        <f t="shared" si="11"/>
        <v/>
      </c>
      <c r="AG43" s="1206"/>
      <c r="AH43" s="1207"/>
      <c r="BH43" s="353"/>
      <c r="BI43" s="353"/>
      <c r="BJ43" s="353"/>
      <c r="BK43" s="353"/>
      <c r="BL43" s="360">
        <v>4</v>
      </c>
      <c r="BM43" s="353"/>
      <c r="BN43" s="353"/>
    </row>
    <row r="44" spans="1:66" ht="12.75" customHeight="1" x14ac:dyDescent="0.2">
      <c r="A44" s="1287" t="s">
        <v>294</v>
      </c>
      <c r="B44" s="1288"/>
      <c r="C44" s="391"/>
      <c r="D44" s="1266" t="str">
        <f t="shared" si="13"/>
        <v/>
      </c>
      <c r="E44" s="1266"/>
      <c r="F44" s="1267"/>
      <c r="G44" s="393"/>
      <c r="H44" s="1266" t="str">
        <f t="shared" si="9"/>
        <v/>
      </c>
      <c r="I44" s="1266"/>
      <c r="J44" s="1285"/>
      <c r="K44" s="1305"/>
      <c r="L44" s="1306"/>
      <c r="M44" s="1288"/>
      <c r="N44" s="1307"/>
      <c r="O44" s="393"/>
      <c r="P44" s="394"/>
      <c r="Q44" s="414" t="str">
        <f t="shared" si="14"/>
        <v/>
      </c>
      <c r="R44" s="1308" t="s">
        <v>363</v>
      </c>
      <c r="S44" s="1308"/>
      <c r="T44" s="415" t="str">
        <f t="shared" si="15"/>
        <v/>
      </c>
      <c r="U44" s="393"/>
      <c r="V44" s="394"/>
      <c r="W44" s="391"/>
      <c r="X44" s="392"/>
      <c r="Y44" s="1289"/>
      <c r="Z44" s="1288"/>
      <c r="AA44" s="391"/>
      <c r="AB44" s="1206" t="str">
        <f t="shared" si="12"/>
        <v/>
      </c>
      <c r="AC44" s="1206"/>
      <c r="AD44" s="1207"/>
      <c r="AE44" s="393"/>
      <c r="AF44" s="1206" t="str">
        <f t="shared" si="11"/>
        <v/>
      </c>
      <c r="AG44" s="1206"/>
      <c r="AH44" s="1207"/>
      <c r="BH44" s="353"/>
      <c r="BI44" s="353"/>
      <c r="BJ44" s="353"/>
      <c r="BK44" s="353"/>
      <c r="BL44" s="360">
        <v>3</v>
      </c>
      <c r="BM44" s="353"/>
      <c r="BN44" s="353"/>
    </row>
    <row r="45" spans="1:66" ht="12.75" customHeight="1" x14ac:dyDescent="0.2">
      <c r="A45" s="1287" t="s">
        <v>294</v>
      </c>
      <c r="B45" s="1288"/>
      <c r="C45" s="391"/>
      <c r="D45" s="1266" t="str">
        <f t="shared" si="13"/>
        <v/>
      </c>
      <c r="E45" s="1266"/>
      <c r="F45" s="1267"/>
      <c r="G45" s="393"/>
      <c r="H45" s="1266" t="str">
        <f t="shared" si="9"/>
        <v/>
      </c>
      <c r="I45" s="1266"/>
      <c r="J45" s="1285"/>
      <c r="K45" s="1305"/>
      <c r="L45" s="1306"/>
      <c r="M45" s="1288"/>
      <c r="N45" s="1307"/>
      <c r="O45" s="393"/>
      <c r="P45" s="394"/>
      <c r="Q45" s="414" t="str">
        <f t="shared" si="14"/>
        <v/>
      </c>
      <c r="R45" s="1308" t="s">
        <v>364</v>
      </c>
      <c r="S45" s="1308"/>
      <c r="T45" s="415" t="str">
        <f t="shared" si="15"/>
        <v/>
      </c>
      <c r="U45" s="393"/>
      <c r="V45" s="394"/>
      <c r="W45" s="391"/>
      <c r="X45" s="392"/>
      <c r="Y45" s="1289"/>
      <c r="Z45" s="1288"/>
      <c r="AA45" s="391"/>
      <c r="AB45" s="1206" t="str">
        <f t="shared" si="12"/>
        <v/>
      </c>
      <c r="AC45" s="1206"/>
      <c r="AD45" s="1207"/>
      <c r="AE45" s="393"/>
      <c r="AF45" s="1206" t="str">
        <f t="shared" si="11"/>
        <v/>
      </c>
      <c r="AG45" s="1206"/>
      <c r="AH45" s="1207"/>
      <c r="BH45" s="353"/>
      <c r="BI45" s="353"/>
      <c r="BJ45" s="353"/>
      <c r="BK45" s="353"/>
      <c r="BL45" s="360">
        <v>2</v>
      </c>
      <c r="BM45" s="353"/>
      <c r="BN45" s="353"/>
    </row>
    <row r="46" spans="1:66" ht="12.75" customHeight="1" x14ac:dyDescent="0.2">
      <c r="A46" s="1287" t="s">
        <v>294</v>
      </c>
      <c r="B46" s="1288"/>
      <c r="C46" s="391"/>
      <c r="D46" s="1266" t="str">
        <f t="shared" si="13"/>
        <v/>
      </c>
      <c r="E46" s="1266"/>
      <c r="F46" s="1267"/>
      <c r="G46" s="393"/>
      <c r="H46" s="1266" t="str">
        <f t="shared" si="9"/>
        <v/>
      </c>
      <c r="I46" s="1266"/>
      <c r="J46" s="1285"/>
      <c r="K46" s="1305"/>
      <c r="L46" s="1306"/>
      <c r="M46" s="1288"/>
      <c r="N46" s="1307"/>
      <c r="O46" s="393"/>
      <c r="P46" s="394"/>
      <c r="Q46" s="414" t="str">
        <f t="shared" si="14"/>
        <v/>
      </c>
      <c r="R46" s="1308" t="s">
        <v>365</v>
      </c>
      <c r="S46" s="1308"/>
      <c r="T46" s="415" t="str">
        <f t="shared" si="15"/>
        <v/>
      </c>
      <c r="U46" s="393"/>
      <c r="V46" s="394"/>
      <c r="W46" s="391"/>
      <c r="X46" s="392"/>
      <c r="Y46" s="1289"/>
      <c r="Z46" s="1288"/>
      <c r="AA46" s="391"/>
      <c r="AB46" s="1206" t="str">
        <f t="shared" si="12"/>
        <v/>
      </c>
      <c r="AC46" s="1206"/>
      <c r="AD46" s="1207"/>
      <c r="AE46" s="393"/>
      <c r="AF46" s="1206" t="str">
        <f t="shared" si="11"/>
        <v/>
      </c>
      <c r="AG46" s="1206"/>
      <c r="AH46" s="1207"/>
      <c r="BH46" s="353"/>
      <c r="BI46" s="353"/>
      <c r="BJ46" s="353"/>
      <c r="BK46" s="353"/>
      <c r="BL46" s="360">
        <v>1</v>
      </c>
      <c r="BM46" s="353"/>
      <c r="BN46" s="353"/>
    </row>
    <row r="47" spans="1:66" ht="12.75" customHeight="1" x14ac:dyDescent="0.2">
      <c r="A47" s="1244"/>
      <c r="B47" s="1311"/>
      <c r="C47" s="377"/>
      <c r="D47" s="1312" t="str">
        <f t="shared" si="13"/>
        <v/>
      </c>
      <c r="E47" s="1312"/>
      <c r="F47" s="1313"/>
      <c r="G47" s="375"/>
      <c r="H47" s="1266" t="str">
        <f t="shared" si="9"/>
        <v/>
      </c>
      <c r="I47" s="1266"/>
      <c r="J47" s="1285"/>
      <c r="K47" s="1241"/>
      <c r="L47" s="1314"/>
      <c r="M47" s="1311"/>
      <c r="N47" s="1315"/>
      <c r="O47" s="375"/>
      <c r="P47" s="376"/>
      <c r="Q47" s="416" t="str">
        <f t="shared" si="14"/>
        <v/>
      </c>
      <c r="R47" s="1300" t="s">
        <v>366</v>
      </c>
      <c r="S47" s="1300"/>
      <c r="T47" s="417" t="str">
        <f t="shared" si="15"/>
        <v/>
      </c>
      <c r="U47" s="375"/>
      <c r="V47" s="376"/>
      <c r="W47" s="377"/>
      <c r="X47" s="378"/>
      <c r="Y47" s="1286"/>
      <c r="Z47" s="1311"/>
      <c r="AA47" s="377"/>
      <c r="AB47" s="1224" t="str">
        <f t="shared" si="12"/>
        <v/>
      </c>
      <c r="AC47" s="1224"/>
      <c r="AD47" s="1316"/>
      <c r="AE47" s="375"/>
      <c r="AF47" s="1224" t="str">
        <f t="shared" si="11"/>
        <v/>
      </c>
      <c r="AG47" s="1224"/>
      <c r="AH47" s="1316"/>
      <c r="BH47" s="353"/>
      <c r="BI47" s="353"/>
      <c r="BJ47" s="353"/>
      <c r="BK47" s="353"/>
      <c r="BL47" s="360">
        <v>0</v>
      </c>
      <c r="BM47" s="353"/>
      <c r="BN47" s="353"/>
    </row>
    <row r="48" spans="1:66" ht="12.75" customHeight="1" x14ac:dyDescent="0.2">
      <c r="A48" s="1320" t="s">
        <v>367</v>
      </c>
      <c r="B48" s="1321"/>
      <c r="C48" s="1322" t="s">
        <v>368</v>
      </c>
      <c r="D48" s="1323"/>
      <c r="E48" s="1324"/>
      <c r="F48" s="418" t="s">
        <v>369</v>
      </c>
      <c r="G48" s="1325" t="s">
        <v>370</v>
      </c>
      <c r="H48" s="1323"/>
      <c r="I48" s="1323"/>
      <c r="J48" s="1324"/>
      <c r="K48" s="1322" t="s">
        <v>371</v>
      </c>
      <c r="L48" s="1323"/>
      <c r="M48" s="1323"/>
      <c r="N48" s="1324"/>
      <c r="O48" s="1322" t="s">
        <v>372</v>
      </c>
      <c r="P48" s="1323"/>
      <c r="Q48" s="1323"/>
      <c r="R48" s="1323"/>
      <c r="S48" s="1323"/>
      <c r="T48" s="1323"/>
      <c r="U48" s="1323"/>
      <c r="V48" s="1323"/>
      <c r="W48" s="1323"/>
      <c r="X48" s="1323"/>
      <c r="Y48" s="1323"/>
      <c r="Z48" s="1323"/>
      <c r="AA48" s="1323"/>
      <c r="AB48" s="1323"/>
      <c r="AC48" s="1323"/>
      <c r="AD48" s="1323"/>
      <c r="AE48" s="1323"/>
      <c r="AF48" s="1323"/>
      <c r="AG48" s="1323"/>
      <c r="AH48" s="1324"/>
      <c r="BH48" s="353"/>
      <c r="BI48" s="353"/>
      <c r="BJ48" s="353"/>
      <c r="BK48" s="353"/>
      <c r="BL48" s="360">
        <v>-1</v>
      </c>
      <c r="BM48" s="353"/>
      <c r="BN48" s="353"/>
    </row>
    <row r="49" spans="1:66" ht="12.75" customHeight="1" x14ac:dyDescent="0.2">
      <c r="A49" s="1305"/>
      <c r="B49" s="1319"/>
      <c r="C49" s="1255"/>
      <c r="D49" s="1256"/>
      <c r="E49" s="1257"/>
      <c r="F49" s="383"/>
      <c r="G49" s="1317" t="str">
        <f>IF(C49="","",IF(F49="","オウンゴール",IF(C49=$A$10,INDEX($J$19:$P$36,MATCH(F49,$Q$19:$Q$36,0),1),INDEX($U$19:$Y$36,MATCH(F49,$T$19:$T$36,0),1))))</f>
        <v/>
      </c>
      <c r="H49" s="1256"/>
      <c r="I49" s="1256"/>
      <c r="J49" s="1257"/>
      <c r="K49" s="419" t="str">
        <f>IF(C49="","",IF(C49=$A$10,1,0))</f>
        <v/>
      </c>
      <c r="L49" s="1318" t="str">
        <f t="shared" ref="L49:L52" si="16">IF(C49="","","-")</f>
        <v/>
      </c>
      <c r="M49" s="1318"/>
      <c r="N49" s="420" t="str">
        <f>IF(C49="","",IF(C49=$Z$10,1,0))</f>
        <v/>
      </c>
      <c r="O49" s="1242"/>
      <c r="P49" s="1246"/>
      <c r="Q49" s="1246"/>
      <c r="R49" s="1246"/>
      <c r="S49" s="1246"/>
      <c r="T49" s="1246"/>
      <c r="U49" s="1246"/>
      <c r="V49" s="1246"/>
      <c r="W49" s="1246"/>
      <c r="X49" s="1246"/>
      <c r="Y49" s="1246"/>
      <c r="Z49" s="1246"/>
      <c r="AA49" s="1246"/>
      <c r="AB49" s="1246"/>
      <c r="AC49" s="1246"/>
      <c r="AD49" s="1246"/>
      <c r="AE49" s="1246"/>
      <c r="AF49" s="1246"/>
      <c r="AG49" s="1246"/>
      <c r="AH49" s="1243"/>
      <c r="AI49" s="352" t="str">
        <f t="shared" ref="AI49:AI59" si="17">IF(C49="","",C49&amp;F49&amp;G49)</f>
        <v/>
      </c>
      <c r="BH49" s="353"/>
      <c r="BI49" s="353"/>
      <c r="BJ49" s="353"/>
      <c r="BK49" s="353"/>
      <c r="BL49" s="360">
        <v>-2</v>
      </c>
      <c r="BM49" s="353"/>
      <c r="BN49" s="353"/>
    </row>
    <row r="50" spans="1:66" ht="12.75" customHeight="1" x14ac:dyDescent="0.2">
      <c r="A50" s="1305"/>
      <c r="B50" s="1319"/>
      <c r="C50" s="1251"/>
      <c r="D50" s="1203"/>
      <c r="E50" s="1252"/>
      <c r="F50" s="390"/>
      <c r="G50" s="1202" t="str">
        <f t="shared" ref="G50:G59" si="18">IF(AND(C50="",F50="")=TRUE,"",IF(F50="","オウンゴール",IF(C50=$A$10,INDEX($J$19:$P$36,MATCH(F50,$Q$19:$Q$36,0),1),INDEX($U$19:$Y$36,MATCH(F50,$T$19:$T$36,0),1))))</f>
        <v/>
      </c>
      <c r="H50" s="1203"/>
      <c r="I50" s="1203"/>
      <c r="J50" s="1252"/>
      <c r="K50" s="421" t="str">
        <f t="shared" ref="K50:K59" si="19">IF(C50="","",IF(C50=$A$10,K49+1,K49))</f>
        <v/>
      </c>
      <c r="L50" s="1327" t="str">
        <f t="shared" si="16"/>
        <v/>
      </c>
      <c r="M50" s="1327"/>
      <c r="N50" s="422" t="str">
        <f t="shared" ref="N50:N59" si="20">IF(C50="","",IF(C50=$Z$10,N49+1,N49))</f>
        <v/>
      </c>
      <c r="O50" s="1287"/>
      <c r="P50" s="1308"/>
      <c r="Q50" s="1308"/>
      <c r="R50" s="1308"/>
      <c r="S50" s="1308"/>
      <c r="T50" s="1308"/>
      <c r="U50" s="1308"/>
      <c r="V50" s="1308"/>
      <c r="W50" s="1308"/>
      <c r="X50" s="1308"/>
      <c r="Y50" s="1308"/>
      <c r="Z50" s="1308"/>
      <c r="AA50" s="1308"/>
      <c r="AB50" s="1308"/>
      <c r="AC50" s="1308"/>
      <c r="AD50" s="1308"/>
      <c r="AE50" s="1308"/>
      <c r="AF50" s="1308"/>
      <c r="AG50" s="1308"/>
      <c r="AH50" s="1326"/>
      <c r="AI50" s="352" t="str">
        <f t="shared" si="17"/>
        <v/>
      </c>
      <c r="BH50" s="353"/>
      <c r="BI50" s="353"/>
      <c r="BJ50" s="353"/>
      <c r="BK50" s="353"/>
      <c r="BL50" s="360">
        <v>-3</v>
      </c>
      <c r="BM50" s="353"/>
      <c r="BN50" s="353"/>
    </row>
    <row r="51" spans="1:66" ht="12.75" customHeight="1" x14ac:dyDescent="0.2">
      <c r="A51" s="1305"/>
      <c r="B51" s="1319"/>
      <c r="C51" s="1251"/>
      <c r="D51" s="1203"/>
      <c r="E51" s="1252"/>
      <c r="F51" s="390"/>
      <c r="G51" s="1202" t="str">
        <f t="shared" si="18"/>
        <v/>
      </c>
      <c r="H51" s="1203"/>
      <c r="I51" s="1203"/>
      <c r="J51" s="1252"/>
      <c r="K51" s="421" t="str">
        <f t="shared" si="19"/>
        <v/>
      </c>
      <c r="L51" s="1327" t="str">
        <f t="shared" si="16"/>
        <v/>
      </c>
      <c r="M51" s="1327"/>
      <c r="N51" s="422" t="str">
        <f t="shared" si="20"/>
        <v/>
      </c>
      <c r="O51" s="1287"/>
      <c r="P51" s="1308"/>
      <c r="Q51" s="1308"/>
      <c r="R51" s="1308"/>
      <c r="S51" s="1308"/>
      <c r="T51" s="1308"/>
      <c r="U51" s="1308"/>
      <c r="V51" s="1308"/>
      <c r="W51" s="1308"/>
      <c r="X51" s="1308"/>
      <c r="Y51" s="1308"/>
      <c r="Z51" s="1308"/>
      <c r="AA51" s="1308"/>
      <c r="AB51" s="1308"/>
      <c r="AC51" s="1308"/>
      <c r="AD51" s="1308"/>
      <c r="AE51" s="1308"/>
      <c r="AF51" s="1308"/>
      <c r="AG51" s="1308"/>
      <c r="AH51" s="1326"/>
      <c r="AI51" s="352" t="str">
        <f t="shared" si="17"/>
        <v/>
      </c>
      <c r="BH51" s="353"/>
      <c r="BI51" s="353"/>
      <c r="BJ51" s="353"/>
      <c r="BK51" s="353"/>
      <c r="BL51" s="360">
        <v>-4</v>
      </c>
      <c r="BM51" s="353"/>
      <c r="BN51" s="353"/>
    </row>
    <row r="52" spans="1:66" ht="12.75" customHeight="1" x14ac:dyDescent="0.2">
      <c r="A52" s="1305"/>
      <c r="B52" s="1319"/>
      <c r="C52" s="1251"/>
      <c r="D52" s="1203"/>
      <c r="E52" s="1252"/>
      <c r="F52" s="390"/>
      <c r="G52" s="1202" t="str">
        <f t="shared" si="18"/>
        <v/>
      </c>
      <c r="H52" s="1203"/>
      <c r="I52" s="1203"/>
      <c r="J52" s="1252"/>
      <c r="K52" s="421" t="str">
        <f t="shared" si="19"/>
        <v/>
      </c>
      <c r="L52" s="1327" t="str">
        <f t="shared" si="16"/>
        <v/>
      </c>
      <c r="M52" s="1327"/>
      <c r="N52" s="422" t="str">
        <f t="shared" si="20"/>
        <v/>
      </c>
      <c r="O52" s="1287"/>
      <c r="P52" s="1308"/>
      <c r="Q52" s="1308"/>
      <c r="R52" s="1308"/>
      <c r="S52" s="1308"/>
      <c r="T52" s="1308"/>
      <c r="U52" s="1308"/>
      <c r="V52" s="1308"/>
      <c r="W52" s="1308"/>
      <c r="X52" s="1308"/>
      <c r="Y52" s="1308"/>
      <c r="Z52" s="1308"/>
      <c r="AA52" s="1308"/>
      <c r="AB52" s="1308"/>
      <c r="AC52" s="1308"/>
      <c r="AD52" s="1308"/>
      <c r="AE52" s="1308"/>
      <c r="AF52" s="1308"/>
      <c r="AG52" s="1308"/>
      <c r="AH52" s="1326"/>
      <c r="AI52" s="352" t="str">
        <f t="shared" si="17"/>
        <v/>
      </c>
      <c r="BH52" s="353"/>
      <c r="BI52" s="353"/>
      <c r="BJ52" s="353"/>
      <c r="BK52" s="353"/>
      <c r="BL52" s="360">
        <v>-5</v>
      </c>
      <c r="BM52" s="353"/>
      <c r="BN52" s="353"/>
    </row>
    <row r="53" spans="1:66" ht="12.75" customHeight="1" x14ac:dyDescent="0.2">
      <c r="A53" s="1305"/>
      <c r="B53" s="1319"/>
      <c r="C53" s="1251"/>
      <c r="D53" s="1203"/>
      <c r="E53" s="1252"/>
      <c r="F53" s="390"/>
      <c r="G53" s="1202" t="str">
        <f t="shared" si="18"/>
        <v/>
      </c>
      <c r="H53" s="1203"/>
      <c r="I53" s="1203"/>
      <c r="J53" s="1252"/>
      <c r="K53" s="421" t="str">
        <f t="shared" si="19"/>
        <v/>
      </c>
      <c r="L53" s="1327" t="str">
        <f t="shared" ref="L53:L59" si="21">IF(C53="","","-")</f>
        <v/>
      </c>
      <c r="M53" s="1327"/>
      <c r="N53" s="422" t="str">
        <f t="shared" si="20"/>
        <v/>
      </c>
      <c r="O53" s="1287"/>
      <c r="P53" s="1308"/>
      <c r="Q53" s="1308"/>
      <c r="R53" s="1308"/>
      <c r="S53" s="1308"/>
      <c r="T53" s="1308"/>
      <c r="U53" s="1308"/>
      <c r="V53" s="1308"/>
      <c r="W53" s="1308"/>
      <c r="X53" s="1308"/>
      <c r="Y53" s="1308"/>
      <c r="Z53" s="1308"/>
      <c r="AA53" s="1308"/>
      <c r="AB53" s="1308"/>
      <c r="AC53" s="1308"/>
      <c r="AD53" s="1308"/>
      <c r="AE53" s="1308"/>
      <c r="AF53" s="1308"/>
      <c r="AG53" s="1308"/>
      <c r="AH53" s="1326"/>
      <c r="AI53" s="352" t="str">
        <f t="shared" si="17"/>
        <v/>
      </c>
      <c r="BH53" s="353"/>
      <c r="BI53" s="353"/>
      <c r="BJ53" s="353"/>
      <c r="BK53" s="353"/>
      <c r="BL53" s="360">
        <v>-6</v>
      </c>
      <c r="BM53" s="353"/>
      <c r="BN53" s="353"/>
    </row>
    <row r="54" spans="1:66" ht="12.75" customHeight="1" x14ac:dyDescent="0.2">
      <c r="A54" s="1305"/>
      <c r="B54" s="1319"/>
      <c r="C54" s="1251"/>
      <c r="D54" s="1203"/>
      <c r="E54" s="1252"/>
      <c r="F54" s="390"/>
      <c r="G54" s="1202" t="str">
        <f t="shared" si="18"/>
        <v/>
      </c>
      <c r="H54" s="1203"/>
      <c r="I54" s="1203"/>
      <c r="J54" s="1252"/>
      <c r="K54" s="421" t="str">
        <f t="shared" si="19"/>
        <v/>
      </c>
      <c r="L54" s="1327" t="str">
        <f t="shared" si="21"/>
        <v/>
      </c>
      <c r="M54" s="1327"/>
      <c r="N54" s="422" t="str">
        <f t="shared" si="20"/>
        <v/>
      </c>
      <c r="O54" s="1287"/>
      <c r="P54" s="1308"/>
      <c r="Q54" s="1308"/>
      <c r="R54" s="1308"/>
      <c r="S54" s="1308"/>
      <c r="T54" s="1308"/>
      <c r="U54" s="1308"/>
      <c r="V54" s="1308"/>
      <c r="W54" s="1308"/>
      <c r="X54" s="1308"/>
      <c r="Y54" s="1308"/>
      <c r="Z54" s="1308"/>
      <c r="AA54" s="1308"/>
      <c r="AB54" s="1308"/>
      <c r="AC54" s="1308"/>
      <c r="AD54" s="1308"/>
      <c r="AE54" s="1308"/>
      <c r="AF54" s="1308"/>
      <c r="AG54" s="1308"/>
      <c r="AH54" s="1326"/>
      <c r="AI54" s="352" t="str">
        <f t="shared" si="17"/>
        <v/>
      </c>
      <c r="BH54" s="353"/>
      <c r="BI54" s="353"/>
      <c r="BJ54" s="353"/>
      <c r="BK54" s="353"/>
      <c r="BL54" s="360">
        <v>-7</v>
      </c>
      <c r="BM54" s="353"/>
      <c r="BN54" s="353"/>
    </row>
    <row r="55" spans="1:66" ht="12.75" customHeight="1" x14ac:dyDescent="0.2">
      <c r="A55" s="1305"/>
      <c r="B55" s="1319"/>
      <c r="C55" s="1251"/>
      <c r="D55" s="1203"/>
      <c r="E55" s="1252"/>
      <c r="F55" s="390"/>
      <c r="G55" s="1202" t="str">
        <f t="shared" si="18"/>
        <v/>
      </c>
      <c r="H55" s="1203"/>
      <c r="I55" s="1203"/>
      <c r="J55" s="1252"/>
      <c r="K55" s="421" t="str">
        <f t="shared" si="19"/>
        <v/>
      </c>
      <c r="L55" s="1327" t="str">
        <f t="shared" si="21"/>
        <v/>
      </c>
      <c r="M55" s="1327"/>
      <c r="N55" s="422" t="str">
        <f t="shared" si="20"/>
        <v/>
      </c>
      <c r="O55" s="1287"/>
      <c r="P55" s="1308"/>
      <c r="Q55" s="1308"/>
      <c r="R55" s="1308"/>
      <c r="S55" s="1308"/>
      <c r="T55" s="1308"/>
      <c r="U55" s="1308"/>
      <c r="V55" s="1308"/>
      <c r="W55" s="1308"/>
      <c r="X55" s="1308"/>
      <c r="Y55" s="1308"/>
      <c r="Z55" s="1308"/>
      <c r="AA55" s="1308"/>
      <c r="AB55" s="1308"/>
      <c r="AC55" s="1308"/>
      <c r="AD55" s="1308"/>
      <c r="AE55" s="1308"/>
      <c r="AF55" s="1308"/>
      <c r="AG55" s="1308"/>
      <c r="AH55" s="1326"/>
      <c r="AI55" s="352" t="str">
        <f t="shared" si="17"/>
        <v/>
      </c>
      <c r="BH55" s="353"/>
      <c r="BI55" s="353"/>
      <c r="BJ55" s="353"/>
      <c r="BK55" s="353"/>
      <c r="BL55" s="360">
        <v>-8</v>
      </c>
      <c r="BM55" s="353"/>
      <c r="BN55" s="353"/>
    </row>
    <row r="56" spans="1:66" ht="12.75" customHeight="1" x14ac:dyDescent="0.2">
      <c r="A56" s="1305"/>
      <c r="B56" s="1319"/>
      <c r="C56" s="1251"/>
      <c r="D56" s="1203"/>
      <c r="E56" s="1252"/>
      <c r="F56" s="390"/>
      <c r="G56" s="1202" t="str">
        <f t="shared" si="18"/>
        <v/>
      </c>
      <c r="H56" s="1203"/>
      <c r="I56" s="1203"/>
      <c r="J56" s="1252"/>
      <c r="K56" s="421" t="str">
        <f t="shared" si="19"/>
        <v/>
      </c>
      <c r="L56" s="1327" t="str">
        <f t="shared" si="21"/>
        <v/>
      </c>
      <c r="M56" s="1327"/>
      <c r="N56" s="422" t="str">
        <f t="shared" si="20"/>
        <v/>
      </c>
      <c r="O56" s="1287"/>
      <c r="P56" s="1308"/>
      <c r="Q56" s="1308"/>
      <c r="R56" s="1308"/>
      <c r="S56" s="1308"/>
      <c r="T56" s="1308"/>
      <c r="U56" s="1308"/>
      <c r="V56" s="1308"/>
      <c r="W56" s="1308"/>
      <c r="X56" s="1308"/>
      <c r="Y56" s="1308"/>
      <c r="Z56" s="1308"/>
      <c r="AA56" s="1308"/>
      <c r="AB56" s="1308"/>
      <c r="AC56" s="1308"/>
      <c r="AD56" s="1308"/>
      <c r="AE56" s="1308"/>
      <c r="AF56" s="1308"/>
      <c r="AG56" s="1308"/>
      <c r="AH56" s="1326"/>
      <c r="AI56" s="352" t="str">
        <f t="shared" si="17"/>
        <v/>
      </c>
      <c r="BH56" s="353"/>
      <c r="BI56" s="353"/>
      <c r="BJ56" s="353"/>
      <c r="BK56" s="353"/>
      <c r="BL56" s="360">
        <v>-9</v>
      </c>
      <c r="BM56" s="353"/>
      <c r="BN56" s="353"/>
    </row>
    <row r="57" spans="1:66" ht="12.75" customHeight="1" x14ac:dyDescent="0.2">
      <c r="A57" s="1305"/>
      <c r="B57" s="1319"/>
      <c r="C57" s="1251"/>
      <c r="D57" s="1203"/>
      <c r="E57" s="1252"/>
      <c r="F57" s="390"/>
      <c r="G57" s="1202" t="str">
        <f t="shared" si="18"/>
        <v/>
      </c>
      <c r="H57" s="1203"/>
      <c r="I57" s="1203"/>
      <c r="J57" s="1252"/>
      <c r="K57" s="421" t="str">
        <f t="shared" si="19"/>
        <v/>
      </c>
      <c r="L57" s="1327" t="str">
        <f t="shared" si="21"/>
        <v/>
      </c>
      <c r="M57" s="1327"/>
      <c r="N57" s="422" t="str">
        <f t="shared" si="20"/>
        <v/>
      </c>
      <c r="O57" s="1287"/>
      <c r="P57" s="1308"/>
      <c r="Q57" s="1308"/>
      <c r="R57" s="1308"/>
      <c r="S57" s="1308"/>
      <c r="T57" s="1308"/>
      <c r="U57" s="1308"/>
      <c r="V57" s="1308"/>
      <c r="W57" s="1308"/>
      <c r="X57" s="1308"/>
      <c r="Y57" s="1308"/>
      <c r="Z57" s="1308"/>
      <c r="AA57" s="1308"/>
      <c r="AB57" s="1308"/>
      <c r="AC57" s="1308"/>
      <c r="AD57" s="1308"/>
      <c r="AE57" s="1308"/>
      <c r="AF57" s="1308"/>
      <c r="AG57" s="1308"/>
      <c r="AH57" s="1326"/>
      <c r="AI57" s="352" t="str">
        <f t="shared" si="17"/>
        <v/>
      </c>
      <c r="BH57" s="353"/>
      <c r="BI57" s="353"/>
      <c r="BJ57" s="353"/>
      <c r="BK57" s="353"/>
      <c r="BL57" s="360">
        <v>-10</v>
      </c>
      <c r="BM57" s="353"/>
      <c r="BN57" s="353"/>
    </row>
    <row r="58" spans="1:66" ht="12.75" customHeight="1" x14ac:dyDescent="0.2">
      <c r="A58" s="1305"/>
      <c r="B58" s="1319"/>
      <c r="C58" s="1251"/>
      <c r="D58" s="1203"/>
      <c r="E58" s="1252"/>
      <c r="F58" s="390"/>
      <c r="G58" s="1202" t="str">
        <f t="shared" si="18"/>
        <v/>
      </c>
      <c r="H58" s="1203"/>
      <c r="I58" s="1203"/>
      <c r="J58" s="1252"/>
      <c r="K58" s="421" t="str">
        <f t="shared" si="19"/>
        <v/>
      </c>
      <c r="L58" s="1327" t="str">
        <f t="shared" si="21"/>
        <v/>
      </c>
      <c r="M58" s="1327"/>
      <c r="N58" s="422" t="str">
        <f t="shared" si="20"/>
        <v/>
      </c>
      <c r="O58" s="1287"/>
      <c r="P58" s="1308"/>
      <c r="Q58" s="1308"/>
      <c r="R58" s="1308"/>
      <c r="S58" s="1308"/>
      <c r="T58" s="1308"/>
      <c r="U58" s="1308"/>
      <c r="V58" s="1308"/>
      <c r="W58" s="1308"/>
      <c r="X58" s="1308"/>
      <c r="Y58" s="1308"/>
      <c r="Z58" s="1308"/>
      <c r="AA58" s="1308"/>
      <c r="AB58" s="1308"/>
      <c r="AC58" s="1308"/>
      <c r="AD58" s="1308"/>
      <c r="AE58" s="1308"/>
      <c r="AF58" s="1308"/>
      <c r="AG58" s="1308"/>
      <c r="AH58" s="1326"/>
      <c r="AI58" s="352" t="str">
        <f t="shared" si="17"/>
        <v/>
      </c>
      <c r="BH58" s="353"/>
      <c r="BI58" s="353"/>
      <c r="BJ58" s="353"/>
      <c r="BK58" s="353"/>
      <c r="BL58" s="360">
        <v>-11</v>
      </c>
      <c r="BM58" s="353"/>
      <c r="BN58" s="353"/>
    </row>
    <row r="59" spans="1:66" ht="12.75" customHeight="1" x14ac:dyDescent="0.2">
      <c r="A59" s="1241"/>
      <c r="B59" s="1254"/>
      <c r="C59" s="1261"/>
      <c r="D59" s="1262"/>
      <c r="E59" s="1263"/>
      <c r="F59" s="380"/>
      <c r="G59" s="1328" t="str">
        <f t="shared" si="18"/>
        <v/>
      </c>
      <c r="H59" s="1262"/>
      <c r="I59" s="1262"/>
      <c r="J59" s="1263"/>
      <c r="K59" s="423" t="str">
        <f t="shared" si="19"/>
        <v/>
      </c>
      <c r="L59" s="1329" t="str">
        <f t="shared" si="21"/>
        <v/>
      </c>
      <c r="M59" s="1329"/>
      <c r="N59" s="424" t="str">
        <f t="shared" si="20"/>
        <v/>
      </c>
      <c r="O59" s="1244"/>
      <c r="P59" s="1300"/>
      <c r="Q59" s="1300"/>
      <c r="R59" s="1300"/>
      <c r="S59" s="1300"/>
      <c r="T59" s="1300"/>
      <c r="U59" s="1300"/>
      <c r="V59" s="1300"/>
      <c r="W59" s="1300"/>
      <c r="X59" s="1300"/>
      <c r="Y59" s="1300"/>
      <c r="Z59" s="1300"/>
      <c r="AA59" s="1300"/>
      <c r="AB59" s="1300"/>
      <c r="AC59" s="1300"/>
      <c r="AD59" s="1300"/>
      <c r="AE59" s="1300"/>
      <c r="AF59" s="1300"/>
      <c r="AG59" s="1300"/>
      <c r="AH59" s="1245"/>
      <c r="AI59" s="352" t="str">
        <f t="shared" si="17"/>
        <v/>
      </c>
      <c r="BH59" s="353"/>
      <c r="BI59" s="353"/>
      <c r="BJ59" s="353"/>
      <c r="BK59" s="353"/>
      <c r="BL59" s="360">
        <v>-12</v>
      </c>
      <c r="BM59" s="353"/>
      <c r="BN59" s="353"/>
    </row>
    <row r="60" spans="1:66" ht="12.75" customHeight="1" x14ac:dyDescent="0.2">
      <c r="A60" s="1322" t="s">
        <v>373</v>
      </c>
      <c r="B60" s="1323"/>
      <c r="C60" s="1323"/>
      <c r="D60" s="1324"/>
      <c r="E60" s="1322">
        <v>1</v>
      </c>
      <c r="F60" s="1324"/>
      <c r="G60" s="1322">
        <v>2</v>
      </c>
      <c r="H60" s="1324"/>
      <c r="I60" s="1322">
        <v>3</v>
      </c>
      <c r="J60" s="1324"/>
      <c r="K60" s="1322">
        <v>4</v>
      </c>
      <c r="L60" s="1323"/>
      <c r="M60" s="1323"/>
      <c r="N60" s="1324"/>
      <c r="O60" s="1322">
        <v>5</v>
      </c>
      <c r="P60" s="1324"/>
      <c r="Q60" s="1322">
        <v>6</v>
      </c>
      <c r="R60" s="1324"/>
      <c r="S60" s="1322">
        <v>7</v>
      </c>
      <c r="T60" s="1324"/>
      <c r="U60" s="1322">
        <v>8</v>
      </c>
      <c r="V60" s="1324"/>
      <c r="W60" s="1322">
        <v>9</v>
      </c>
      <c r="X60" s="1324"/>
      <c r="Y60" s="1322">
        <v>10</v>
      </c>
      <c r="Z60" s="1324"/>
      <c r="AA60" s="1322">
        <v>11</v>
      </c>
      <c r="AB60" s="1324"/>
      <c r="AC60" s="1322">
        <v>12</v>
      </c>
      <c r="AD60" s="1324"/>
      <c r="AE60" s="1322">
        <v>13</v>
      </c>
      <c r="AF60" s="1324"/>
      <c r="AG60" s="1322">
        <v>14</v>
      </c>
      <c r="AH60" s="1324"/>
      <c r="BH60" s="353"/>
      <c r="BI60" s="353"/>
      <c r="BJ60" s="353"/>
      <c r="BK60" s="353"/>
      <c r="BL60" s="360">
        <v>-13</v>
      </c>
      <c r="BM60" s="353"/>
      <c r="BN60" s="353"/>
    </row>
    <row r="61" spans="1:66" ht="12.75" customHeight="1" x14ac:dyDescent="0.2">
      <c r="A61" s="1342"/>
      <c r="B61" s="1343"/>
      <c r="C61" s="1344"/>
      <c r="D61" s="425"/>
      <c r="E61" s="426"/>
      <c r="F61" s="427"/>
      <c r="G61" s="426"/>
      <c r="H61" s="427"/>
      <c r="I61" s="426"/>
      <c r="J61" s="427"/>
      <c r="K61" s="1345"/>
      <c r="L61" s="1346"/>
      <c r="M61" s="1347"/>
      <c r="N61" s="1348"/>
      <c r="O61" s="426"/>
      <c r="P61" s="427"/>
      <c r="Q61" s="426"/>
      <c r="R61" s="427"/>
      <c r="S61" s="426"/>
      <c r="T61" s="427"/>
      <c r="U61" s="426"/>
      <c r="V61" s="427"/>
      <c r="W61" s="426"/>
      <c r="X61" s="427"/>
      <c r="Y61" s="426"/>
      <c r="Z61" s="427"/>
      <c r="AA61" s="426"/>
      <c r="AB61" s="427"/>
      <c r="AC61" s="428"/>
      <c r="AD61" s="428"/>
      <c r="AE61" s="426"/>
      <c r="AF61" s="427"/>
      <c r="AG61" s="426"/>
      <c r="AH61" s="427"/>
      <c r="BH61" s="353"/>
      <c r="BI61" s="353"/>
      <c r="BJ61" s="353"/>
      <c r="BK61" s="353"/>
      <c r="BL61" s="360">
        <v>-14</v>
      </c>
      <c r="BM61" s="353"/>
      <c r="BN61" s="353"/>
    </row>
    <row r="62" spans="1:66" ht="12.75" customHeight="1" x14ac:dyDescent="0.2">
      <c r="A62" s="1349" t="str">
        <f>IF(A61="","",IF(A61=A10,Z10,A10))</f>
        <v/>
      </c>
      <c r="B62" s="1350"/>
      <c r="C62" s="1351"/>
      <c r="D62" s="429"/>
      <c r="E62" s="430"/>
      <c r="F62" s="431"/>
      <c r="G62" s="430"/>
      <c r="H62" s="431"/>
      <c r="I62" s="430"/>
      <c r="J62" s="431"/>
      <c r="K62" s="1352"/>
      <c r="L62" s="1353"/>
      <c r="M62" s="1356"/>
      <c r="N62" s="1357"/>
      <c r="O62" s="430"/>
      <c r="P62" s="431"/>
      <c r="Q62" s="430"/>
      <c r="R62" s="431"/>
      <c r="S62" s="430"/>
      <c r="T62" s="431"/>
      <c r="U62" s="430"/>
      <c r="V62" s="431"/>
      <c r="W62" s="430"/>
      <c r="X62" s="431"/>
      <c r="Y62" s="430"/>
      <c r="Z62" s="431"/>
      <c r="AA62" s="430"/>
      <c r="AB62" s="431"/>
      <c r="AC62" s="432"/>
      <c r="AD62" s="432"/>
      <c r="AE62" s="430"/>
      <c r="AF62" s="431"/>
      <c r="AG62" s="430"/>
      <c r="AH62" s="431"/>
      <c r="BH62" s="353"/>
      <c r="BI62" s="353"/>
      <c r="BJ62" s="353"/>
      <c r="BK62" s="353"/>
      <c r="BL62" s="360">
        <v>-15</v>
      </c>
      <c r="BM62" s="353"/>
      <c r="BN62" s="353"/>
    </row>
    <row r="63" spans="1:66" ht="12.75" customHeight="1" x14ac:dyDescent="0.2">
      <c r="A63" s="1341" t="s">
        <v>374</v>
      </c>
      <c r="B63" s="1341"/>
      <c r="C63" s="1341"/>
      <c r="D63" s="433"/>
      <c r="E63" s="1341"/>
      <c r="F63" s="1354"/>
      <c r="G63" s="1354"/>
      <c r="H63" s="1354"/>
      <c r="I63" s="1354"/>
      <c r="J63" s="1354"/>
      <c r="K63" s="1354"/>
      <c r="L63" s="1354"/>
      <c r="M63" s="1354"/>
      <c r="N63" s="1354"/>
      <c r="O63" s="1354"/>
      <c r="P63" s="1354"/>
      <c r="Q63" s="1354"/>
      <c r="R63" s="1354"/>
      <c r="S63" s="1354"/>
      <c r="T63" s="1354"/>
      <c r="U63" s="1354"/>
      <c r="V63" s="1354"/>
      <c r="W63" s="1354"/>
      <c r="X63" s="1354"/>
      <c r="Y63" s="1354"/>
      <c r="Z63" s="1354"/>
      <c r="AA63" s="1354"/>
      <c r="AB63" s="1354"/>
      <c r="AC63" s="1354"/>
      <c r="AD63" s="1354"/>
      <c r="AE63" s="1354"/>
      <c r="AF63" s="1354"/>
      <c r="AG63" s="1354"/>
      <c r="AH63" s="1354"/>
      <c r="BH63" s="353"/>
      <c r="BI63" s="353"/>
      <c r="BJ63" s="353"/>
      <c r="BK63" s="353"/>
      <c r="BL63" s="360">
        <v>-16</v>
      </c>
      <c r="BM63" s="353"/>
      <c r="BN63" s="353"/>
    </row>
    <row r="64" spans="1:66" ht="12.75" customHeight="1" x14ac:dyDescent="0.2">
      <c r="A64" s="1340" t="s">
        <v>375</v>
      </c>
      <c r="B64" s="1340"/>
      <c r="C64" s="351"/>
      <c r="D64" s="351"/>
      <c r="E64" s="1189"/>
      <c r="F64" s="1189"/>
      <c r="G64" s="1189"/>
      <c r="H64" s="1189"/>
      <c r="I64" s="1189"/>
      <c r="J64" s="1189"/>
      <c r="K64" s="1189"/>
      <c r="L64" s="1189"/>
      <c r="M64" s="1189"/>
      <c r="N64" s="1189"/>
      <c r="O64" s="1189"/>
      <c r="P64" s="1189"/>
      <c r="Q64" s="1189"/>
      <c r="R64" s="1189"/>
      <c r="S64" s="1189"/>
      <c r="T64" s="1189"/>
      <c r="U64" s="1189"/>
      <c r="V64" s="1189"/>
      <c r="W64" s="1189"/>
      <c r="X64" s="1189"/>
      <c r="Y64" s="1189"/>
      <c r="Z64" s="1189"/>
      <c r="AA64" s="1189"/>
      <c r="AB64" s="1189"/>
      <c r="AC64" s="1189"/>
      <c r="AD64" s="1189"/>
      <c r="AE64" s="1189"/>
      <c r="AF64" s="1189"/>
      <c r="AG64" s="1189"/>
      <c r="AH64" s="1189"/>
      <c r="BH64" s="353"/>
      <c r="BI64" s="353"/>
      <c r="BJ64" s="353"/>
      <c r="BK64" s="353"/>
      <c r="BL64" s="360">
        <v>-17</v>
      </c>
      <c r="BM64" s="353"/>
      <c r="BN64" s="353"/>
    </row>
    <row r="65" spans="1:66" ht="12.75" customHeight="1" x14ac:dyDescent="0.2">
      <c r="A65" s="351"/>
      <c r="B65" s="351"/>
      <c r="C65" s="351"/>
      <c r="D65" s="351"/>
      <c r="E65" s="351"/>
      <c r="F65" s="351"/>
      <c r="G65" s="351"/>
      <c r="H65" s="351"/>
      <c r="I65" s="351"/>
      <c r="J65" s="351"/>
      <c r="K65" s="351"/>
      <c r="L65" s="351"/>
      <c r="M65" s="351"/>
      <c r="N65" s="351"/>
      <c r="O65" s="351"/>
      <c r="P65" s="351"/>
      <c r="Q65" s="351"/>
      <c r="R65" s="351"/>
      <c r="S65" s="351"/>
      <c r="T65" s="351"/>
      <c r="U65" s="351"/>
      <c r="V65" s="351"/>
      <c r="W65" s="351"/>
      <c r="X65" s="351"/>
      <c r="Y65" s="351"/>
      <c r="Z65" s="351"/>
      <c r="AA65" s="351"/>
      <c r="AB65" s="351"/>
      <c r="AC65" s="351"/>
      <c r="AD65" s="351"/>
      <c r="AE65" s="351"/>
      <c r="AF65" s="351"/>
      <c r="AG65" s="351"/>
      <c r="AH65" s="351"/>
      <c r="BH65" s="353"/>
      <c r="BI65" s="353"/>
      <c r="BJ65" s="353"/>
      <c r="BK65" s="353"/>
      <c r="BL65" s="360">
        <v>-18</v>
      </c>
      <c r="BM65" s="353"/>
      <c r="BN65" s="353"/>
    </row>
    <row r="66" spans="1:66" ht="12.75" customHeight="1" x14ac:dyDescent="0.2">
      <c r="A66" s="1355" t="s">
        <v>376</v>
      </c>
      <c r="B66" s="1355"/>
      <c r="C66" s="1355"/>
      <c r="D66" s="1355"/>
      <c r="E66" s="1355"/>
      <c r="F66" s="1355"/>
      <c r="G66" s="1355"/>
      <c r="H66" s="1355"/>
      <c r="I66" s="1355"/>
      <c r="J66" s="1355"/>
      <c r="K66" s="1355"/>
      <c r="L66" s="1355"/>
      <c r="M66" s="1355"/>
      <c r="N66" s="1355"/>
      <c r="O66" s="1355"/>
      <c r="P66" s="1355"/>
      <c r="Q66" s="1355"/>
      <c r="R66" s="1355"/>
      <c r="S66" s="1355"/>
      <c r="T66" s="1355"/>
      <c r="U66" s="1355"/>
      <c r="V66" s="1355"/>
      <c r="W66" s="1355"/>
      <c r="X66" s="1355"/>
      <c r="Y66" s="1355"/>
      <c r="Z66" s="1355"/>
      <c r="AA66" s="1355"/>
      <c r="AB66" s="1355"/>
      <c r="AC66" s="1355"/>
      <c r="AD66" s="1355"/>
      <c r="AE66" s="1355"/>
      <c r="AF66" s="1355"/>
      <c r="AG66" s="1355"/>
      <c r="AH66" s="1355"/>
      <c r="BH66" s="353"/>
      <c r="BI66" s="353"/>
      <c r="BJ66" s="353"/>
      <c r="BK66" s="353"/>
      <c r="BL66" s="360">
        <v>-19</v>
      </c>
      <c r="BM66" s="353"/>
      <c r="BN66" s="353"/>
    </row>
    <row r="67" spans="1:66" ht="12.75" customHeight="1" thickBot="1" x14ac:dyDescent="0.25">
      <c r="A67" s="1355" t="s">
        <v>377</v>
      </c>
      <c r="B67" s="1355"/>
      <c r="C67" s="1355"/>
      <c r="D67" s="1355"/>
      <c r="E67" s="1355"/>
      <c r="F67" s="1355"/>
      <c r="G67" s="1355"/>
      <c r="H67" s="1355"/>
      <c r="I67" s="1355"/>
      <c r="J67" s="1355"/>
      <c r="K67" s="1355"/>
      <c r="L67" s="1355"/>
      <c r="M67" s="1355"/>
      <c r="N67" s="1355"/>
      <c r="O67" s="1355"/>
      <c r="P67" s="1355"/>
      <c r="Q67" s="1355"/>
      <c r="R67" s="1355"/>
      <c r="S67" s="1355"/>
      <c r="T67" s="1355"/>
      <c r="U67" s="1355"/>
      <c r="V67" s="1355"/>
      <c r="W67" s="1355"/>
      <c r="X67" s="1355"/>
      <c r="Y67" s="1355"/>
      <c r="Z67" s="1355"/>
      <c r="AA67" s="1355"/>
      <c r="AB67" s="1355"/>
      <c r="AC67" s="1355"/>
      <c r="AD67" s="1355"/>
      <c r="AE67" s="1355"/>
      <c r="AF67" s="1355"/>
      <c r="AG67" s="1355"/>
      <c r="AH67" s="1355"/>
      <c r="BH67" s="353"/>
      <c r="BI67" s="353"/>
      <c r="BJ67" s="353"/>
      <c r="BK67" s="353"/>
      <c r="BL67" s="399">
        <v>-20</v>
      </c>
      <c r="BM67" s="353"/>
      <c r="BN67" s="353"/>
    </row>
    <row r="68" spans="1:66" ht="11.25" customHeight="1" thickTop="1" x14ac:dyDescent="0.2">
      <c r="A68" s="351"/>
      <c r="B68" s="351"/>
      <c r="C68" s="351"/>
      <c r="D68" s="351"/>
      <c r="E68" s="351"/>
      <c r="F68" s="351"/>
      <c r="G68" s="351"/>
      <c r="H68" s="351"/>
      <c r="I68" s="351"/>
      <c r="J68" s="351"/>
      <c r="K68" s="351"/>
      <c r="L68" s="351"/>
      <c r="M68" s="351"/>
      <c r="N68" s="351"/>
      <c r="O68" s="351"/>
      <c r="P68" s="351"/>
      <c r="Q68" s="351"/>
      <c r="R68" s="351"/>
      <c r="S68" s="351"/>
      <c r="T68" s="351"/>
      <c r="U68" s="434"/>
      <c r="V68" s="434"/>
      <c r="W68" s="434"/>
      <c r="X68" s="434"/>
      <c r="Y68" s="434"/>
      <c r="Z68" s="434"/>
      <c r="AA68" s="434"/>
      <c r="AB68" s="434"/>
      <c r="AC68" s="351"/>
      <c r="AD68" s="351"/>
      <c r="AE68" s="351"/>
      <c r="AF68" s="351"/>
      <c r="AG68" s="351"/>
      <c r="AH68" s="351"/>
    </row>
    <row r="69" spans="1:66" ht="11.25" hidden="1" customHeight="1" x14ac:dyDescent="0.2">
      <c r="A69" s="1330" t="s">
        <v>378</v>
      </c>
      <c r="B69" s="1330"/>
      <c r="C69" s="1330"/>
      <c r="D69" s="351"/>
      <c r="E69" s="351"/>
      <c r="F69" s="351"/>
      <c r="G69" s="351"/>
      <c r="H69" s="351"/>
      <c r="I69" s="351"/>
      <c r="J69" s="351"/>
      <c r="K69" s="351"/>
      <c r="L69" s="351"/>
      <c r="M69" s="351"/>
      <c r="N69" s="351"/>
      <c r="O69" s="351"/>
      <c r="P69" s="351"/>
      <c r="Q69" s="351"/>
      <c r="R69" s="351"/>
      <c r="S69" s="351"/>
      <c r="T69" s="351"/>
      <c r="U69" s="351"/>
      <c r="V69" s="351"/>
      <c r="W69" s="351"/>
      <c r="X69" s="351"/>
      <c r="Y69" s="351"/>
      <c r="Z69" s="351"/>
      <c r="AA69" s="351"/>
      <c r="AB69" s="351"/>
      <c r="AC69" s="351"/>
      <c r="AD69" s="351"/>
      <c r="AE69" s="351"/>
      <c r="AF69" s="351"/>
      <c r="AG69" s="351"/>
      <c r="AH69" s="351"/>
    </row>
    <row r="70" spans="1:66" ht="11.25" hidden="1" customHeight="1" x14ac:dyDescent="0.2">
      <c r="A70" s="1331"/>
      <c r="B70" s="1332"/>
      <c r="C70" s="1332"/>
      <c r="D70" s="1332"/>
      <c r="E70" s="1332"/>
      <c r="F70" s="1332"/>
      <c r="G70" s="1332"/>
      <c r="H70" s="1332"/>
      <c r="I70" s="1332"/>
      <c r="J70" s="1332"/>
      <c r="K70" s="1332"/>
      <c r="L70" s="1332"/>
      <c r="M70" s="1332"/>
      <c r="N70" s="1332"/>
      <c r="O70" s="1332"/>
      <c r="P70" s="1332"/>
      <c r="Q70" s="1332"/>
      <c r="R70" s="1332"/>
      <c r="S70" s="1332"/>
      <c r="T70" s="1332"/>
      <c r="U70" s="1332"/>
      <c r="V70" s="1332"/>
      <c r="W70" s="1332"/>
      <c r="X70" s="1332"/>
      <c r="Y70" s="1332"/>
      <c r="Z70" s="1332"/>
      <c r="AA70" s="1332"/>
      <c r="AB70" s="1332"/>
      <c r="AC70" s="1332"/>
      <c r="AD70" s="1332"/>
      <c r="AE70" s="1332"/>
      <c r="AF70" s="1332"/>
      <c r="AG70" s="1332"/>
      <c r="AH70" s="1333"/>
    </row>
    <row r="71" spans="1:66" ht="11.25" hidden="1" customHeight="1" x14ac:dyDescent="0.2">
      <c r="A71" s="1334"/>
      <c r="B71" s="1335"/>
      <c r="C71" s="1335"/>
      <c r="D71" s="1335"/>
      <c r="E71" s="1335"/>
      <c r="F71" s="1335"/>
      <c r="G71" s="1335"/>
      <c r="H71" s="1335"/>
      <c r="I71" s="1335"/>
      <c r="J71" s="1335"/>
      <c r="K71" s="1335"/>
      <c r="L71" s="1335"/>
      <c r="M71" s="1335"/>
      <c r="N71" s="1335"/>
      <c r="O71" s="1335"/>
      <c r="P71" s="1335"/>
      <c r="Q71" s="1335"/>
      <c r="R71" s="1335"/>
      <c r="S71" s="1335"/>
      <c r="T71" s="1335"/>
      <c r="U71" s="1335"/>
      <c r="V71" s="1335"/>
      <c r="W71" s="1335"/>
      <c r="X71" s="1335"/>
      <c r="Y71" s="1335"/>
      <c r="Z71" s="1335"/>
      <c r="AA71" s="1335"/>
      <c r="AB71" s="1335"/>
      <c r="AC71" s="1335"/>
      <c r="AD71" s="1335"/>
      <c r="AE71" s="1335"/>
      <c r="AF71" s="1335"/>
      <c r="AG71" s="1335"/>
      <c r="AH71" s="1336"/>
    </row>
    <row r="72" spans="1:66" ht="11.25" hidden="1" customHeight="1" x14ac:dyDescent="0.2">
      <c r="A72" s="1334"/>
      <c r="B72" s="1335"/>
      <c r="C72" s="1335"/>
      <c r="D72" s="1335"/>
      <c r="E72" s="1335"/>
      <c r="F72" s="1335"/>
      <c r="G72" s="1335"/>
      <c r="H72" s="1335"/>
      <c r="I72" s="1335"/>
      <c r="J72" s="1335"/>
      <c r="K72" s="1335"/>
      <c r="L72" s="1335"/>
      <c r="M72" s="1335"/>
      <c r="N72" s="1335"/>
      <c r="O72" s="1335"/>
      <c r="P72" s="1335"/>
      <c r="Q72" s="1335"/>
      <c r="R72" s="1335"/>
      <c r="S72" s="1335"/>
      <c r="T72" s="1335"/>
      <c r="U72" s="1335"/>
      <c r="V72" s="1335"/>
      <c r="W72" s="1335"/>
      <c r="X72" s="1335"/>
      <c r="Y72" s="1335"/>
      <c r="Z72" s="1335"/>
      <c r="AA72" s="1335"/>
      <c r="AB72" s="1335"/>
      <c r="AC72" s="1335"/>
      <c r="AD72" s="1335"/>
      <c r="AE72" s="1335"/>
      <c r="AF72" s="1335"/>
      <c r="AG72" s="1335"/>
      <c r="AH72" s="1336"/>
    </row>
    <row r="73" spans="1:66" ht="11.25" hidden="1" customHeight="1" x14ac:dyDescent="0.2">
      <c r="A73" s="1334"/>
      <c r="B73" s="1335"/>
      <c r="C73" s="1335"/>
      <c r="D73" s="1335"/>
      <c r="E73" s="1335"/>
      <c r="F73" s="1335"/>
      <c r="G73" s="1335"/>
      <c r="H73" s="1335"/>
      <c r="I73" s="1335"/>
      <c r="J73" s="1335"/>
      <c r="K73" s="1335"/>
      <c r="L73" s="1335"/>
      <c r="M73" s="1335"/>
      <c r="N73" s="1335"/>
      <c r="O73" s="1335"/>
      <c r="P73" s="1335"/>
      <c r="Q73" s="1335"/>
      <c r="R73" s="1335"/>
      <c r="S73" s="1335"/>
      <c r="T73" s="1335"/>
      <c r="U73" s="1335"/>
      <c r="V73" s="1335"/>
      <c r="W73" s="1335"/>
      <c r="X73" s="1335"/>
      <c r="Y73" s="1335"/>
      <c r="Z73" s="1335"/>
      <c r="AA73" s="1335"/>
      <c r="AB73" s="1335"/>
      <c r="AC73" s="1335"/>
      <c r="AD73" s="1335"/>
      <c r="AE73" s="1335"/>
      <c r="AF73" s="1335"/>
      <c r="AG73" s="1335"/>
      <c r="AH73" s="1336"/>
    </row>
    <row r="74" spans="1:66" ht="11.25" hidden="1" customHeight="1" x14ac:dyDescent="0.2">
      <c r="A74" s="1334"/>
      <c r="B74" s="1335"/>
      <c r="C74" s="1335"/>
      <c r="D74" s="1335"/>
      <c r="E74" s="1335"/>
      <c r="F74" s="1335"/>
      <c r="G74" s="1335"/>
      <c r="H74" s="1335"/>
      <c r="I74" s="1335"/>
      <c r="J74" s="1335"/>
      <c r="K74" s="1335"/>
      <c r="L74" s="1335"/>
      <c r="M74" s="1335"/>
      <c r="N74" s="1335"/>
      <c r="O74" s="1335"/>
      <c r="P74" s="1335"/>
      <c r="Q74" s="1335"/>
      <c r="R74" s="1335"/>
      <c r="S74" s="1335"/>
      <c r="T74" s="1335"/>
      <c r="U74" s="1335"/>
      <c r="V74" s="1335"/>
      <c r="W74" s="1335"/>
      <c r="X74" s="1335"/>
      <c r="Y74" s="1335"/>
      <c r="Z74" s="1335"/>
      <c r="AA74" s="1335"/>
      <c r="AB74" s="1335"/>
      <c r="AC74" s="1335"/>
      <c r="AD74" s="1335"/>
      <c r="AE74" s="1335"/>
      <c r="AF74" s="1335"/>
      <c r="AG74" s="1335"/>
      <c r="AH74" s="1336"/>
    </row>
    <row r="75" spans="1:66" ht="11.25" hidden="1" customHeight="1" x14ac:dyDescent="0.2">
      <c r="A75" s="1334"/>
      <c r="B75" s="1335"/>
      <c r="C75" s="1335"/>
      <c r="D75" s="1335"/>
      <c r="E75" s="1335"/>
      <c r="F75" s="1335"/>
      <c r="G75" s="1335"/>
      <c r="H75" s="1335"/>
      <c r="I75" s="1335"/>
      <c r="J75" s="1335"/>
      <c r="K75" s="1335"/>
      <c r="L75" s="1335"/>
      <c r="M75" s="1335"/>
      <c r="N75" s="1335"/>
      <c r="O75" s="1335"/>
      <c r="P75" s="1335"/>
      <c r="Q75" s="1335"/>
      <c r="R75" s="1335"/>
      <c r="S75" s="1335"/>
      <c r="T75" s="1335"/>
      <c r="U75" s="1335"/>
      <c r="V75" s="1335"/>
      <c r="W75" s="1335"/>
      <c r="X75" s="1335"/>
      <c r="Y75" s="1335"/>
      <c r="Z75" s="1335"/>
      <c r="AA75" s="1335"/>
      <c r="AB75" s="1335"/>
      <c r="AC75" s="1335"/>
      <c r="AD75" s="1335"/>
      <c r="AE75" s="1335"/>
      <c r="AF75" s="1335"/>
      <c r="AG75" s="1335"/>
      <c r="AH75" s="1336"/>
    </row>
    <row r="76" spans="1:66" ht="11.25" hidden="1" customHeight="1" x14ac:dyDescent="0.2">
      <c r="A76" s="1334"/>
      <c r="B76" s="1335"/>
      <c r="C76" s="1335"/>
      <c r="D76" s="1335"/>
      <c r="E76" s="1335"/>
      <c r="F76" s="1335"/>
      <c r="G76" s="1335"/>
      <c r="H76" s="1335"/>
      <c r="I76" s="1335"/>
      <c r="J76" s="1335"/>
      <c r="K76" s="1335"/>
      <c r="L76" s="1335"/>
      <c r="M76" s="1335"/>
      <c r="N76" s="1335"/>
      <c r="O76" s="1335"/>
      <c r="P76" s="1335"/>
      <c r="Q76" s="1335"/>
      <c r="R76" s="1335"/>
      <c r="S76" s="1335"/>
      <c r="T76" s="1335"/>
      <c r="U76" s="1335"/>
      <c r="V76" s="1335"/>
      <c r="W76" s="1335"/>
      <c r="X76" s="1335"/>
      <c r="Y76" s="1335"/>
      <c r="Z76" s="1335"/>
      <c r="AA76" s="1335"/>
      <c r="AB76" s="1335"/>
      <c r="AC76" s="1335"/>
      <c r="AD76" s="1335"/>
      <c r="AE76" s="1335"/>
      <c r="AF76" s="1335"/>
      <c r="AG76" s="1335"/>
      <c r="AH76" s="1336"/>
    </row>
    <row r="77" spans="1:66" ht="11.25" hidden="1" customHeight="1" x14ac:dyDescent="0.2">
      <c r="A77" s="1334"/>
      <c r="B77" s="1335"/>
      <c r="C77" s="1335"/>
      <c r="D77" s="1335"/>
      <c r="E77" s="1335"/>
      <c r="F77" s="1335"/>
      <c r="G77" s="1335"/>
      <c r="H77" s="1335"/>
      <c r="I77" s="1335"/>
      <c r="J77" s="1335"/>
      <c r="K77" s="1335"/>
      <c r="L77" s="1335"/>
      <c r="M77" s="1335"/>
      <c r="N77" s="1335"/>
      <c r="O77" s="1335"/>
      <c r="P77" s="1335"/>
      <c r="Q77" s="1335"/>
      <c r="R77" s="1335"/>
      <c r="S77" s="1335"/>
      <c r="T77" s="1335"/>
      <c r="U77" s="1335"/>
      <c r="V77" s="1335"/>
      <c r="W77" s="1335"/>
      <c r="X77" s="1335"/>
      <c r="Y77" s="1335"/>
      <c r="Z77" s="1335"/>
      <c r="AA77" s="1335"/>
      <c r="AB77" s="1335"/>
      <c r="AC77" s="1335"/>
      <c r="AD77" s="1335"/>
      <c r="AE77" s="1335"/>
      <c r="AF77" s="1335"/>
      <c r="AG77" s="1335"/>
      <c r="AH77" s="1336"/>
    </row>
    <row r="78" spans="1:66" ht="11.25" hidden="1" customHeight="1" x14ac:dyDescent="0.2">
      <c r="A78" s="1334"/>
      <c r="B78" s="1335"/>
      <c r="C78" s="1335"/>
      <c r="D78" s="1335"/>
      <c r="E78" s="1335"/>
      <c r="F78" s="1335"/>
      <c r="G78" s="1335"/>
      <c r="H78" s="1335"/>
      <c r="I78" s="1335"/>
      <c r="J78" s="1335"/>
      <c r="K78" s="1335"/>
      <c r="L78" s="1335"/>
      <c r="M78" s="1335"/>
      <c r="N78" s="1335"/>
      <c r="O78" s="1335"/>
      <c r="P78" s="1335"/>
      <c r="Q78" s="1335"/>
      <c r="R78" s="1335"/>
      <c r="S78" s="1335"/>
      <c r="T78" s="1335"/>
      <c r="U78" s="1335"/>
      <c r="V78" s="1335"/>
      <c r="W78" s="1335"/>
      <c r="X78" s="1335"/>
      <c r="Y78" s="1335"/>
      <c r="Z78" s="1335"/>
      <c r="AA78" s="1335"/>
      <c r="AB78" s="1335"/>
      <c r="AC78" s="1335"/>
      <c r="AD78" s="1335"/>
      <c r="AE78" s="1335"/>
      <c r="AF78" s="1335"/>
      <c r="AG78" s="1335"/>
      <c r="AH78" s="1336"/>
    </row>
    <row r="79" spans="1:66" ht="11.25" hidden="1" customHeight="1" x14ac:dyDescent="0.2">
      <c r="A79" s="1334"/>
      <c r="B79" s="1335"/>
      <c r="C79" s="1335"/>
      <c r="D79" s="1335"/>
      <c r="E79" s="1335"/>
      <c r="F79" s="1335"/>
      <c r="G79" s="1335"/>
      <c r="H79" s="1335"/>
      <c r="I79" s="1335"/>
      <c r="J79" s="1335"/>
      <c r="K79" s="1335"/>
      <c r="L79" s="1335"/>
      <c r="M79" s="1335"/>
      <c r="N79" s="1335"/>
      <c r="O79" s="1335"/>
      <c r="P79" s="1335"/>
      <c r="Q79" s="1335"/>
      <c r="R79" s="1335"/>
      <c r="S79" s="1335"/>
      <c r="T79" s="1335"/>
      <c r="U79" s="1335"/>
      <c r="V79" s="1335"/>
      <c r="W79" s="1335"/>
      <c r="X79" s="1335"/>
      <c r="Y79" s="1335"/>
      <c r="Z79" s="1335"/>
      <c r="AA79" s="1335"/>
      <c r="AB79" s="1335"/>
      <c r="AC79" s="1335"/>
      <c r="AD79" s="1335"/>
      <c r="AE79" s="1335"/>
      <c r="AF79" s="1335"/>
      <c r="AG79" s="1335"/>
      <c r="AH79" s="1336"/>
    </row>
    <row r="80" spans="1:66" ht="11.25" hidden="1" customHeight="1" x14ac:dyDescent="0.2">
      <c r="A80" s="1334"/>
      <c r="B80" s="1335"/>
      <c r="C80" s="1335"/>
      <c r="D80" s="1335"/>
      <c r="E80" s="1335"/>
      <c r="F80" s="1335"/>
      <c r="G80" s="1335"/>
      <c r="H80" s="1335"/>
      <c r="I80" s="1335"/>
      <c r="J80" s="1335"/>
      <c r="K80" s="1335"/>
      <c r="L80" s="1335"/>
      <c r="M80" s="1335"/>
      <c r="N80" s="1335"/>
      <c r="O80" s="1335"/>
      <c r="P80" s="1335"/>
      <c r="Q80" s="1335"/>
      <c r="R80" s="1335"/>
      <c r="S80" s="1335"/>
      <c r="T80" s="1335"/>
      <c r="U80" s="1335"/>
      <c r="V80" s="1335"/>
      <c r="W80" s="1335"/>
      <c r="X80" s="1335"/>
      <c r="Y80" s="1335"/>
      <c r="Z80" s="1335"/>
      <c r="AA80" s="1335"/>
      <c r="AB80" s="1335"/>
      <c r="AC80" s="1335"/>
      <c r="AD80" s="1335"/>
      <c r="AE80" s="1335"/>
      <c r="AF80" s="1335"/>
      <c r="AG80" s="1335"/>
      <c r="AH80" s="1336"/>
    </row>
    <row r="81" spans="1:34" ht="11.25" hidden="1" customHeight="1" x14ac:dyDescent="0.2">
      <c r="A81" s="1337"/>
      <c r="B81" s="1338"/>
      <c r="C81" s="1338"/>
      <c r="D81" s="1338"/>
      <c r="E81" s="1338"/>
      <c r="F81" s="1338"/>
      <c r="G81" s="1338"/>
      <c r="H81" s="1338"/>
      <c r="I81" s="1338"/>
      <c r="J81" s="1338"/>
      <c r="K81" s="1338"/>
      <c r="L81" s="1338"/>
      <c r="M81" s="1338"/>
      <c r="N81" s="1338"/>
      <c r="O81" s="1338"/>
      <c r="P81" s="1338"/>
      <c r="Q81" s="1338"/>
      <c r="R81" s="1338"/>
      <c r="S81" s="1338"/>
      <c r="T81" s="1338"/>
      <c r="U81" s="1338"/>
      <c r="V81" s="1338"/>
      <c r="W81" s="1338"/>
      <c r="X81" s="1338"/>
      <c r="Y81" s="1338"/>
      <c r="Z81" s="1338"/>
      <c r="AA81" s="1338"/>
      <c r="AB81" s="1338"/>
      <c r="AC81" s="1338"/>
      <c r="AD81" s="1338"/>
      <c r="AE81" s="1338"/>
      <c r="AF81" s="1338"/>
      <c r="AG81" s="1338"/>
      <c r="AH81" s="1339"/>
    </row>
    <row r="82" spans="1:34" hidden="1" x14ac:dyDescent="0.2"/>
  </sheetData>
  <mergeCells count="413">
    <mergeCell ref="A13:I13"/>
    <mergeCell ref="Z13:AH13"/>
    <mergeCell ref="AA14:AB14"/>
    <mergeCell ref="A11:I12"/>
    <mergeCell ref="Z11:AH12"/>
    <mergeCell ref="Q14:T14"/>
    <mergeCell ref="U14:V14"/>
    <mergeCell ref="W9:Y15"/>
    <mergeCell ref="AA15:AB15"/>
    <mergeCell ref="O14:P14"/>
    <mergeCell ref="O15:P15"/>
    <mergeCell ref="G15:H15"/>
    <mergeCell ref="Q15:T15"/>
    <mergeCell ref="U15:V15"/>
    <mergeCell ref="U12:V12"/>
    <mergeCell ref="J9:N15"/>
    <mergeCell ref="O9:P9"/>
    <mergeCell ref="Q9:T9"/>
    <mergeCell ref="U9:V9"/>
    <mergeCell ref="O13:P13"/>
    <mergeCell ref="Q13:T13"/>
    <mergeCell ref="U13:V13"/>
    <mergeCell ref="O11:P11"/>
    <mergeCell ref="Q11:T11"/>
    <mergeCell ref="A69:C69"/>
    <mergeCell ref="A70:AH81"/>
    <mergeCell ref="A64:B64"/>
    <mergeCell ref="A63:C63"/>
    <mergeCell ref="AG60:AH60"/>
    <mergeCell ref="A61:C61"/>
    <mergeCell ref="K61:L61"/>
    <mergeCell ref="M61:N61"/>
    <mergeCell ref="A62:C62"/>
    <mergeCell ref="K62:L62"/>
    <mergeCell ref="AC60:AD60"/>
    <mergeCell ref="AE60:AF60"/>
    <mergeCell ref="E63:AH63"/>
    <mergeCell ref="A66:AH66"/>
    <mergeCell ref="A67:AH67"/>
    <mergeCell ref="M62:N62"/>
    <mergeCell ref="U60:V60"/>
    <mergeCell ref="W60:X60"/>
    <mergeCell ref="Y60:Z60"/>
    <mergeCell ref="AA60:AB60"/>
    <mergeCell ref="E64:AH64"/>
    <mergeCell ref="AE59:AF59"/>
    <mergeCell ref="AG59:AH59"/>
    <mergeCell ref="A60:D60"/>
    <mergeCell ref="E60:F60"/>
    <mergeCell ref="G60:H60"/>
    <mergeCell ref="I60:J60"/>
    <mergeCell ref="K60:N60"/>
    <mergeCell ref="O60:P60"/>
    <mergeCell ref="Q60:R60"/>
    <mergeCell ref="S60:T60"/>
    <mergeCell ref="S59:T59"/>
    <mergeCell ref="U59:V59"/>
    <mergeCell ref="W59:X59"/>
    <mergeCell ref="Y59:Z59"/>
    <mergeCell ref="AA59:AB59"/>
    <mergeCell ref="AC59:AD59"/>
    <mergeCell ref="A59:B59"/>
    <mergeCell ref="C59:E59"/>
    <mergeCell ref="G59:J59"/>
    <mergeCell ref="L59:M59"/>
    <mergeCell ref="O59:P59"/>
    <mergeCell ref="Q59:R59"/>
    <mergeCell ref="W58:X58"/>
    <mergeCell ref="Y58:Z58"/>
    <mergeCell ref="AA58:AB58"/>
    <mergeCell ref="AC58:AD58"/>
    <mergeCell ref="AE58:AF58"/>
    <mergeCell ref="AG58:AH58"/>
    <mergeCell ref="AE57:AF57"/>
    <mergeCell ref="AG57:AH57"/>
    <mergeCell ref="A58:B58"/>
    <mergeCell ref="C58:E58"/>
    <mergeCell ref="G58:J58"/>
    <mergeCell ref="L58:M58"/>
    <mergeCell ref="O58:P58"/>
    <mergeCell ref="Q58:R58"/>
    <mergeCell ref="S58:T58"/>
    <mergeCell ref="U58:V58"/>
    <mergeCell ref="S57:T57"/>
    <mergeCell ref="U57:V57"/>
    <mergeCell ref="W57:X57"/>
    <mergeCell ref="Y57:Z57"/>
    <mergeCell ref="AA57:AB57"/>
    <mergeCell ref="AC57:AD57"/>
    <mergeCell ref="A57:B57"/>
    <mergeCell ref="C57:E57"/>
    <mergeCell ref="G57:J57"/>
    <mergeCell ref="L57:M57"/>
    <mergeCell ref="O57:P57"/>
    <mergeCell ref="Q57:R57"/>
    <mergeCell ref="W56:X56"/>
    <mergeCell ref="Y56:Z56"/>
    <mergeCell ref="AA56:AB56"/>
    <mergeCell ref="AC56:AD56"/>
    <mergeCell ref="AE56:AF56"/>
    <mergeCell ref="AG56:AH56"/>
    <mergeCell ref="AE55:AF55"/>
    <mergeCell ref="AG55:AH55"/>
    <mergeCell ref="A56:B56"/>
    <mergeCell ref="C56:E56"/>
    <mergeCell ref="G56:J56"/>
    <mergeCell ref="L56:M56"/>
    <mergeCell ref="O56:P56"/>
    <mergeCell ref="Q56:R56"/>
    <mergeCell ref="S56:T56"/>
    <mergeCell ref="U56:V56"/>
    <mergeCell ref="S55:T55"/>
    <mergeCell ref="U55:V55"/>
    <mergeCell ref="W55:X55"/>
    <mergeCell ref="Y55:Z55"/>
    <mergeCell ref="AA55:AB55"/>
    <mergeCell ref="AC55:AD55"/>
    <mergeCell ref="A55:B55"/>
    <mergeCell ref="C55:E55"/>
    <mergeCell ref="G55:J55"/>
    <mergeCell ref="L55:M55"/>
    <mergeCell ref="O55:P55"/>
    <mergeCell ref="Q55:R55"/>
    <mergeCell ref="W54:X54"/>
    <mergeCell ref="Y54:Z54"/>
    <mergeCell ref="AA54:AB54"/>
    <mergeCell ref="AC54:AD54"/>
    <mergeCell ref="AE54:AF54"/>
    <mergeCell ref="AG54:AH54"/>
    <mergeCell ref="AE53:AF53"/>
    <mergeCell ref="AG53:AH53"/>
    <mergeCell ref="A54:B54"/>
    <mergeCell ref="C54:E54"/>
    <mergeCell ref="G54:J54"/>
    <mergeCell ref="L54:M54"/>
    <mergeCell ref="O54:P54"/>
    <mergeCell ref="Q54:R54"/>
    <mergeCell ref="S54:T54"/>
    <mergeCell ref="U54:V54"/>
    <mergeCell ref="S53:T53"/>
    <mergeCell ref="U53:V53"/>
    <mergeCell ref="W53:X53"/>
    <mergeCell ref="Y53:Z53"/>
    <mergeCell ref="AA53:AB53"/>
    <mergeCell ref="AC53:AD53"/>
    <mergeCell ref="A53:B53"/>
    <mergeCell ref="C53:E53"/>
    <mergeCell ref="G53:J53"/>
    <mergeCell ref="L53:M53"/>
    <mergeCell ref="O53:P53"/>
    <mergeCell ref="Q53:R53"/>
    <mergeCell ref="W52:X52"/>
    <mergeCell ref="Y52:Z52"/>
    <mergeCell ref="AA52:AB52"/>
    <mergeCell ref="AC52:AD52"/>
    <mergeCell ref="AE52:AF52"/>
    <mergeCell ref="AG52:AH52"/>
    <mergeCell ref="AE51:AF51"/>
    <mergeCell ref="AG51:AH51"/>
    <mergeCell ref="A52:B52"/>
    <mergeCell ref="C52:E52"/>
    <mergeCell ref="G52:J52"/>
    <mergeCell ref="L52:M52"/>
    <mergeCell ref="O52:P52"/>
    <mergeCell ref="Q52:R52"/>
    <mergeCell ref="S52:T52"/>
    <mergeCell ref="U52:V52"/>
    <mergeCell ref="S51:T51"/>
    <mergeCell ref="U51:V51"/>
    <mergeCell ref="W51:X51"/>
    <mergeCell ref="Y51:Z51"/>
    <mergeCell ref="AA51:AB51"/>
    <mergeCell ref="AC51:AD51"/>
    <mergeCell ref="A51:B51"/>
    <mergeCell ref="C51:E51"/>
    <mergeCell ref="G51:J51"/>
    <mergeCell ref="L51:M51"/>
    <mergeCell ref="O51:P51"/>
    <mergeCell ref="Q51:R51"/>
    <mergeCell ref="AF47:AH47"/>
    <mergeCell ref="A48:B48"/>
    <mergeCell ref="C48:E48"/>
    <mergeCell ref="G48:J48"/>
    <mergeCell ref="K48:N48"/>
    <mergeCell ref="O48:AH48"/>
    <mergeCell ref="W50:X50"/>
    <mergeCell ref="Y50:Z50"/>
    <mergeCell ref="AA50:AB50"/>
    <mergeCell ref="AC50:AD50"/>
    <mergeCell ref="AE50:AF50"/>
    <mergeCell ref="AG50:AH50"/>
    <mergeCell ref="AE49:AF49"/>
    <mergeCell ref="AG49:AH49"/>
    <mergeCell ref="A50:B50"/>
    <mergeCell ref="C50:E50"/>
    <mergeCell ref="G50:J50"/>
    <mergeCell ref="L50:M50"/>
    <mergeCell ref="O50:P50"/>
    <mergeCell ref="Q50:R50"/>
    <mergeCell ref="S50:T50"/>
    <mergeCell ref="U50:V50"/>
    <mergeCell ref="S49:T49"/>
    <mergeCell ref="U49:V49"/>
    <mergeCell ref="A47:B47"/>
    <mergeCell ref="D47:F47"/>
    <mergeCell ref="H47:J47"/>
    <mergeCell ref="K47:L47"/>
    <mergeCell ref="M47:N47"/>
    <mergeCell ref="R47:S47"/>
    <mergeCell ref="Y47:Z47"/>
    <mergeCell ref="AB47:AD47"/>
    <mergeCell ref="G49:J49"/>
    <mergeCell ref="L49:M49"/>
    <mergeCell ref="O49:P49"/>
    <mergeCell ref="Q49:R49"/>
    <mergeCell ref="W49:X49"/>
    <mergeCell ref="Y49:Z49"/>
    <mergeCell ref="AA49:AB49"/>
    <mergeCell ref="AC49:AD49"/>
    <mergeCell ref="A49:B49"/>
    <mergeCell ref="C49:E49"/>
    <mergeCell ref="Y45:Z45"/>
    <mergeCell ref="AB45:AD45"/>
    <mergeCell ref="AF45:AH45"/>
    <mergeCell ref="A46:B46"/>
    <mergeCell ref="D46:F46"/>
    <mergeCell ref="H46:J46"/>
    <mergeCell ref="K46:L46"/>
    <mergeCell ref="M46:N46"/>
    <mergeCell ref="R46:S46"/>
    <mergeCell ref="Y46:Z46"/>
    <mergeCell ref="A45:B45"/>
    <mergeCell ref="D45:F45"/>
    <mergeCell ref="H45:J45"/>
    <mergeCell ref="K45:L45"/>
    <mergeCell ref="M45:N45"/>
    <mergeCell ref="R45:S45"/>
    <mergeCell ref="AB46:AD46"/>
    <mergeCell ref="AF46:AH46"/>
    <mergeCell ref="A44:B44"/>
    <mergeCell ref="D44:F44"/>
    <mergeCell ref="H44:J44"/>
    <mergeCell ref="K44:L44"/>
    <mergeCell ref="M44:N44"/>
    <mergeCell ref="R44:S44"/>
    <mergeCell ref="Y44:Z44"/>
    <mergeCell ref="AB44:AD44"/>
    <mergeCell ref="AF44:AH44"/>
    <mergeCell ref="A43:B43"/>
    <mergeCell ref="D43:F43"/>
    <mergeCell ref="H43:J43"/>
    <mergeCell ref="K43:L43"/>
    <mergeCell ref="M43:N43"/>
    <mergeCell ref="R43:S43"/>
    <mergeCell ref="Y43:Z43"/>
    <mergeCell ref="AB43:AD43"/>
    <mergeCell ref="AF43:AH43"/>
    <mergeCell ref="Y41:Z41"/>
    <mergeCell ref="AB41:AD41"/>
    <mergeCell ref="AF41:AH41"/>
    <mergeCell ref="A42:B42"/>
    <mergeCell ref="D42:F42"/>
    <mergeCell ref="H42:J42"/>
    <mergeCell ref="K42:L42"/>
    <mergeCell ref="M42:N42"/>
    <mergeCell ref="R42:S42"/>
    <mergeCell ref="Y42:Z42"/>
    <mergeCell ref="A41:B41"/>
    <mergeCell ref="D41:F41"/>
    <mergeCell ref="H41:J41"/>
    <mergeCell ref="K41:L41"/>
    <mergeCell ref="M41:N41"/>
    <mergeCell ref="R41:S41"/>
    <mergeCell ref="AB42:AD42"/>
    <mergeCell ref="AF42:AH42"/>
    <mergeCell ref="AF39:AH39"/>
    <mergeCell ref="A40:B40"/>
    <mergeCell ref="D40:F40"/>
    <mergeCell ref="H40:J40"/>
    <mergeCell ref="Y40:Z40"/>
    <mergeCell ref="AB40:AD40"/>
    <mergeCell ref="AF40:AH40"/>
    <mergeCell ref="P39:P40"/>
    <mergeCell ref="A39:B39"/>
    <mergeCell ref="D39:F39"/>
    <mergeCell ref="H39:J39"/>
    <mergeCell ref="K39:L40"/>
    <mergeCell ref="M39:N40"/>
    <mergeCell ref="Y39:Z39"/>
    <mergeCell ref="Q39:T40"/>
    <mergeCell ref="U39:U40"/>
    <mergeCell ref="V39:V40"/>
    <mergeCell ref="W39:W40"/>
    <mergeCell ref="X39:X40"/>
    <mergeCell ref="AB39:AD39"/>
    <mergeCell ref="A37:B37"/>
    <mergeCell ref="C37:F37"/>
    <mergeCell ref="G37:J37"/>
    <mergeCell ref="K37:R37"/>
    <mergeCell ref="S37:X37"/>
    <mergeCell ref="O39:O40"/>
    <mergeCell ref="A38:B38"/>
    <mergeCell ref="D38:F38"/>
    <mergeCell ref="H38:J38"/>
    <mergeCell ref="K38:R38"/>
    <mergeCell ref="AF38:AH38"/>
    <mergeCell ref="J35:P35"/>
    <mergeCell ref="U35:Y35"/>
    <mergeCell ref="J36:P36"/>
    <mergeCell ref="U36:Y36"/>
    <mergeCell ref="AA37:AD37"/>
    <mergeCell ref="AE37:AH37"/>
    <mergeCell ref="S38:X38"/>
    <mergeCell ref="Y38:Z38"/>
    <mergeCell ref="AB38:AD38"/>
    <mergeCell ref="J30:P30"/>
    <mergeCell ref="U30:Y30"/>
    <mergeCell ref="J31:P31"/>
    <mergeCell ref="U31:Y31"/>
    <mergeCell ref="Y37:Z37"/>
    <mergeCell ref="J32:P32"/>
    <mergeCell ref="U32:Y32"/>
    <mergeCell ref="J33:P33"/>
    <mergeCell ref="U33:Y33"/>
    <mergeCell ref="J34:P34"/>
    <mergeCell ref="U34:Y34"/>
    <mergeCell ref="J27:P27"/>
    <mergeCell ref="U27:Y27"/>
    <mergeCell ref="J28:P28"/>
    <mergeCell ref="U28:Y28"/>
    <mergeCell ref="J29:P29"/>
    <mergeCell ref="U29:Y29"/>
    <mergeCell ref="J24:P24"/>
    <mergeCell ref="U24:Y24"/>
    <mergeCell ref="J25:P25"/>
    <mergeCell ref="U25:Y25"/>
    <mergeCell ref="J26:P26"/>
    <mergeCell ref="U26:Y26"/>
    <mergeCell ref="J21:P21"/>
    <mergeCell ref="U21:Y21"/>
    <mergeCell ref="J22:P22"/>
    <mergeCell ref="U22:Y22"/>
    <mergeCell ref="J23:P23"/>
    <mergeCell ref="U23:Y23"/>
    <mergeCell ref="AA17:AE17"/>
    <mergeCell ref="AF17:AG18"/>
    <mergeCell ref="AH17:AH18"/>
    <mergeCell ref="J19:P19"/>
    <mergeCell ref="U19:Y19"/>
    <mergeCell ref="J20:P20"/>
    <mergeCell ref="U20:Y20"/>
    <mergeCell ref="Q17:Q18"/>
    <mergeCell ref="R17:R18"/>
    <mergeCell ref="S17:S18"/>
    <mergeCell ref="T17:T18"/>
    <mergeCell ref="U17:Y18"/>
    <mergeCell ref="Z17:Z18"/>
    <mergeCell ref="J16:N16"/>
    <mergeCell ref="O16:P16"/>
    <mergeCell ref="Q16:T16"/>
    <mergeCell ref="U16:V16"/>
    <mergeCell ref="W16:Y16"/>
    <mergeCell ref="A17:A18"/>
    <mergeCell ref="B17:C18"/>
    <mergeCell ref="D17:H17"/>
    <mergeCell ref="I17:I18"/>
    <mergeCell ref="J17:P18"/>
    <mergeCell ref="U11:V11"/>
    <mergeCell ref="O12:P12"/>
    <mergeCell ref="Q12:T12"/>
    <mergeCell ref="AF7:AH8"/>
    <mergeCell ref="AB8:AE8"/>
    <mergeCell ref="AB7:AE7"/>
    <mergeCell ref="A8:E8"/>
    <mergeCell ref="F8:J8"/>
    <mergeCell ref="K8:N8"/>
    <mergeCell ref="O8:S8"/>
    <mergeCell ref="T8:U8"/>
    <mergeCell ref="V8:Z8"/>
    <mergeCell ref="A9:E9"/>
    <mergeCell ref="Z9:AD9"/>
    <mergeCell ref="U10:V10"/>
    <mergeCell ref="O10:P10"/>
    <mergeCell ref="C6:M6"/>
    <mergeCell ref="AF6:AH6"/>
    <mergeCell ref="A7:E7"/>
    <mergeCell ref="F7:J7"/>
    <mergeCell ref="K7:N7"/>
    <mergeCell ref="O7:S7"/>
    <mergeCell ref="T7:U7"/>
    <mergeCell ref="V7:Z7"/>
    <mergeCell ref="A6:B6"/>
    <mergeCell ref="N6:O6"/>
    <mergeCell ref="P6:Q6"/>
    <mergeCell ref="R6:S6"/>
    <mergeCell ref="T6:U6"/>
    <mergeCell ref="V6:W6"/>
    <mergeCell ref="AA6:AE6"/>
    <mergeCell ref="X6:Z6"/>
    <mergeCell ref="A1:P1"/>
    <mergeCell ref="W1:AB1"/>
    <mergeCell ref="AC1:AH1"/>
    <mergeCell ref="W2:AB3"/>
    <mergeCell ref="AC2:AH3"/>
    <mergeCell ref="A4:AH4"/>
    <mergeCell ref="A5:D5"/>
    <mergeCell ref="E5:H5"/>
    <mergeCell ref="I5:J5"/>
    <mergeCell ref="K5:N5"/>
    <mergeCell ref="O5:T5"/>
    <mergeCell ref="U5:V5"/>
    <mergeCell ref="W5:AH5"/>
    <mergeCell ref="A2:U3"/>
  </mergeCells>
  <phoneticPr fontId="2"/>
  <conditionalFormatting sqref="Q19:Q29 T19:T29">
    <cfRule type="cellIs" dxfId="1" priority="1" operator="equal">
      <formula>0</formula>
    </cfRule>
  </conditionalFormatting>
  <dataValidations count="10">
    <dataValidation type="list" allowBlank="1" showInputMessage="1" showErrorMessage="1" sqref="A61:C61 C49:E59" xr:uid="{00000000-0002-0000-1100-000000000000}">
      <formula1>$A$10:$B$10</formula1>
    </dataValidation>
    <dataValidation type="list" allowBlank="1" showInputMessage="1" showErrorMessage="1" sqref="F8:J8 O7:S8 V7:Z7" xr:uid="{00000000-0002-0000-1100-000001000000}">
      <formula1>$AY$2:$AY$21</formula1>
    </dataValidation>
    <dataValidation type="list" allowBlank="1" showInputMessage="1" showErrorMessage="1" sqref="F7:J7" xr:uid="{00000000-0002-0000-1100-000002000000}">
      <formula1>$BA$2:$BA$21</formula1>
    </dataValidation>
    <dataValidation type="list" allowBlank="1" showInputMessage="1" showErrorMessage="1" sqref="V8:Z8" xr:uid="{00000000-0002-0000-1100-000003000000}">
      <formula1>$BC$2:$BC$21</formula1>
    </dataValidation>
    <dataValidation type="list" allowBlank="1" showInputMessage="1" showErrorMessage="1" sqref="AB7:AE7" xr:uid="{00000000-0002-0000-1100-000004000000}">
      <formula1>$BE$2:$BE$21</formula1>
    </dataValidation>
    <dataValidation type="list" allowBlank="1" showInputMessage="1" showErrorMessage="1" sqref="AB8:AE8" xr:uid="{00000000-0002-0000-1100-000005000000}">
      <formula1>$BF$2:$BF$21</formula1>
    </dataValidation>
    <dataValidation type="list" allowBlank="1" showInputMessage="1" showErrorMessage="1" sqref="C6:M6" xr:uid="{00000000-0002-0000-1100-000006000000}">
      <formula1>$BH$2:$BH$21</formula1>
    </dataValidation>
    <dataValidation type="list" allowBlank="1" showInputMessage="1" showErrorMessage="1" sqref="P6:Q6" xr:uid="{00000000-0002-0000-1100-000007000000}">
      <formula1>$BL$2:$BL$67</formula1>
    </dataValidation>
    <dataValidation type="list" allowBlank="1" showInputMessage="1" showErrorMessage="1" sqref="T6:U6" xr:uid="{00000000-0002-0000-1100-000008000000}">
      <formula1>$BJ$2:$BJ$21</formula1>
    </dataValidation>
    <dataValidation type="list" allowBlank="1" showInputMessage="1" showErrorMessage="1" sqref="X6:Z6" xr:uid="{00000000-0002-0000-1100-000009000000}">
      <formula1>$BN$2:$BN$21</formula1>
    </dataValidation>
  </dataValidations>
  <printOptions horizontalCentered="1"/>
  <pageMargins left="0.39370078740157483" right="0.39370078740157483" top="0.39370078740157483" bottom="0.39370078740157483" header="0.31496062992125984" footer="0.31496062992125984"/>
  <pageSetup paperSize="9" scale="9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T86"/>
  <sheetViews>
    <sheetView topLeftCell="A58" workbookViewId="0">
      <selection activeCell="W85" sqref="W85"/>
    </sheetView>
  </sheetViews>
  <sheetFormatPr defaultColWidth="9" defaultRowHeight="13.5" x14ac:dyDescent="0.15"/>
  <cols>
    <col min="1" max="1" width="12.375" customWidth="1"/>
    <col min="2" max="2" width="3.125" customWidth="1"/>
    <col min="3" max="3" width="12.375" customWidth="1"/>
    <col min="4" max="4" width="3.125" customWidth="1"/>
    <col min="5" max="5" width="12.375" customWidth="1"/>
    <col min="6" max="6" width="3.125" customWidth="1"/>
    <col min="7" max="8" width="12.375" customWidth="1"/>
    <col min="9" max="9" width="3.125" customWidth="1"/>
    <col min="10" max="10" width="12.375" customWidth="1"/>
    <col min="11" max="11" width="3.125" customWidth="1"/>
    <col min="12" max="12" width="12.375" customWidth="1"/>
    <col min="13" max="13" width="3.125" customWidth="1"/>
    <col min="14" max="14" width="12.375" customWidth="1"/>
    <col min="15" max="15" width="3.125" customWidth="1"/>
    <col min="16" max="16" width="12.375" customWidth="1"/>
    <col min="18" max="18" width="19.125" customWidth="1"/>
    <col min="19" max="19" width="4" customWidth="1"/>
    <col min="20" max="20" width="12.375" customWidth="1"/>
    <col min="23" max="23" width="7.125" bestFit="1" customWidth="1"/>
    <col min="24" max="24" width="4.375" bestFit="1" customWidth="1"/>
    <col min="25" max="25" width="12.375" bestFit="1" customWidth="1"/>
  </cols>
  <sheetData>
    <row r="1" spans="1:20" ht="14.25" thickBot="1" x14ac:dyDescent="0.2">
      <c r="A1" t="s">
        <v>272</v>
      </c>
      <c r="C1" t="s">
        <v>273</v>
      </c>
      <c r="E1" t="s">
        <v>274</v>
      </c>
      <c r="G1" t="s">
        <v>275</v>
      </c>
      <c r="J1" s="21" t="s">
        <v>276</v>
      </c>
      <c r="K1" s="21"/>
      <c r="L1" s="21" t="s">
        <v>277</v>
      </c>
      <c r="M1" s="21"/>
      <c r="N1" s="21" t="s">
        <v>278</v>
      </c>
      <c r="O1" s="21"/>
      <c r="P1" s="21" t="s">
        <v>279</v>
      </c>
    </row>
    <row r="2" spans="1:20" ht="14.25" thickTop="1" x14ac:dyDescent="0.15">
      <c r="A2" s="22" t="s">
        <v>379</v>
      </c>
      <c r="C2" s="22" t="s">
        <v>380</v>
      </c>
      <c r="E2" s="22" t="s">
        <v>282</v>
      </c>
      <c r="G2" s="23" t="s">
        <v>283</v>
      </c>
      <c r="H2" s="22" t="s">
        <v>284</v>
      </c>
      <c r="J2" s="24" t="s">
        <v>285</v>
      </c>
      <c r="K2" s="21"/>
      <c r="L2" s="24">
        <v>5</v>
      </c>
      <c r="M2" s="21"/>
      <c r="N2" s="24">
        <v>45</v>
      </c>
      <c r="O2" s="21"/>
      <c r="P2" s="24" t="s">
        <v>286</v>
      </c>
      <c r="R2" t="str">
        <f>チーム①!B7&amp;"中学校"</f>
        <v>星稜中学校</v>
      </c>
      <c r="T2" t="str">
        <f>チーム①!B14</f>
        <v>河合　伸幸</v>
      </c>
    </row>
    <row r="3" spans="1:20" x14ac:dyDescent="0.15">
      <c r="A3" s="25" t="s">
        <v>381</v>
      </c>
      <c r="C3" s="25" t="s">
        <v>288</v>
      </c>
      <c r="E3" s="25" t="s">
        <v>289</v>
      </c>
      <c r="G3" s="26" t="s">
        <v>290</v>
      </c>
      <c r="H3" s="25" t="s">
        <v>291</v>
      </c>
      <c r="J3" s="27" t="s">
        <v>292</v>
      </c>
      <c r="K3" s="21"/>
      <c r="L3" s="27">
        <v>10</v>
      </c>
      <c r="M3" s="21"/>
      <c r="N3" s="27">
        <v>44</v>
      </c>
      <c r="O3" s="21"/>
      <c r="P3" s="27" t="s">
        <v>293</v>
      </c>
      <c r="R3">
        <f>チーム①!K4</f>
        <v>1</v>
      </c>
      <c r="S3" t="str">
        <f>チーム①!L4</f>
        <v>GK</v>
      </c>
      <c r="T3" t="str">
        <f>チーム①!M4</f>
        <v>西野　敬穂</v>
      </c>
    </row>
    <row r="4" spans="1:20" x14ac:dyDescent="0.15">
      <c r="A4" s="25" t="s">
        <v>382</v>
      </c>
      <c r="C4" s="25" t="s">
        <v>296</v>
      </c>
      <c r="E4" s="25" t="s">
        <v>297</v>
      </c>
      <c r="G4" s="26"/>
      <c r="H4" s="25"/>
      <c r="J4" s="27" t="s">
        <v>298</v>
      </c>
      <c r="K4" s="21"/>
      <c r="L4" s="27">
        <v>15</v>
      </c>
      <c r="M4" s="21"/>
      <c r="N4" s="27">
        <v>43</v>
      </c>
      <c r="O4" s="21"/>
      <c r="P4" s="27" t="s">
        <v>299</v>
      </c>
      <c r="R4">
        <f>チーム①!K5</f>
        <v>2</v>
      </c>
      <c r="S4" t="str">
        <f>チーム①!L5</f>
        <v>DF</v>
      </c>
      <c r="T4" t="str">
        <f>チーム①!M5</f>
        <v>宮﨑　凌真</v>
      </c>
    </row>
    <row r="5" spans="1:20" x14ac:dyDescent="0.15">
      <c r="A5" s="25" t="s">
        <v>383</v>
      </c>
      <c r="C5" s="25" t="s">
        <v>305</v>
      </c>
      <c r="E5" s="25" t="s">
        <v>306</v>
      </c>
      <c r="G5" s="26"/>
      <c r="H5" s="25"/>
      <c r="J5" s="27" t="s">
        <v>307</v>
      </c>
      <c r="K5" s="21"/>
      <c r="L5" s="27">
        <v>20</v>
      </c>
      <c r="M5" s="21"/>
      <c r="N5" s="27">
        <v>42</v>
      </c>
      <c r="O5" s="21"/>
      <c r="P5" s="27" t="s">
        <v>217</v>
      </c>
      <c r="R5">
        <f>チーム①!K6</f>
        <v>3</v>
      </c>
      <c r="S5" t="str">
        <f>チーム①!L6</f>
        <v>DF</v>
      </c>
      <c r="T5" t="str">
        <f>チーム①!M6</f>
        <v>岡野　隼弥</v>
      </c>
    </row>
    <row r="6" spans="1:20" x14ac:dyDescent="0.15">
      <c r="A6" s="25" t="s">
        <v>384</v>
      </c>
      <c r="C6" s="25" t="s">
        <v>297</v>
      </c>
      <c r="E6" s="25" t="s">
        <v>315</v>
      </c>
      <c r="G6" s="26"/>
      <c r="H6" s="25"/>
      <c r="J6" s="27" t="s">
        <v>316</v>
      </c>
      <c r="K6" s="21"/>
      <c r="L6" s="27">
        <v>25</v>
      </c>
      <c r="M6" s="21"/>
      <c r="N6" s="27">
        <v>41</v>
      </c>
      <c r="O6" s="21"/>
      <c r="P6" s="27"/>
      <c r="R6">
        <f>チーム①!K7</f>
        <v>4</v>
      </c>
      <c r="S6" t="str">
        <f>チーム①!L7</f>
        <v>DF</v>
      </c>
      <c r="T6" t="str">
        <f>チーム①!M7</f>
        <v>市川　透也</v>
      </c>
    </row>
    <row r="7" spans="1:20" x14ac:dyDescent="0.15">
      <c r="A7" s="25" t="s">
        <v>385</v>
      </c>
      <c r="C7" s="25" t="s">
        <v>289</v>
      </c>
      <c r="E7" s="25" t="s">
        <v>327</v>
      </c>
      <c r="G7" s="26"/>
      <c r="H7" s="25"/>
      <c r="J7" s="27" t="s">
        <v>322</v>
      </c>
      <c r="K7" s="21"/>
      <c r="L7" s="27">
        <v>30</v>
      </c>
      <c r="M7" s="21"/>
      <c r="N7" s="27">
        <v>40</v>
      </c>
      <c r="O7" s="21"/>
      <c r="P7" s="27"/>
      <c r="R7">
        <f>チーム①!K8</f>
        <v>5</v>
      </c>
      <c r="S7" t="str">
        <f>チーム①!L8</f>
        <v>DF</v>
      </c>
      <c r="T7" t="str">
        <f>チーム①!M8</f>
        <v>坂本　琉杏</v>
      </c>
    </row>
    <row r="8" spans="1:20" x14ac:dyDescent="0.15">
      <c r="A8" s="25" t="s">
        <v>386</v>
      </c>
      <c r="C8" s="25" t="s">
        <v>327</v>
      </c>
      <c r="E8" s="25" t="s">
        <v>328</v>
      </c>
      <c r="G8" s="26"/>
      <c r="H8" s="25"/>
      <c r="J8" s="27"/>
      <c r="K8" s="21"/>
      <c r="L8" s="27">
        <v>35</v>
      </c>
      <c r="M8" s="21"/>
      <c r="N8" s="27">
        <v>39</v>
      </c>
      <c r="O8" s="21"/>
      <c r="P8" s="27"/>
      <c r="R8">
        <f>チーム①!K9</f>
        <v>6</v>
      </c>
      <c r="S8" t="str">
        <f>チーム①!L9</f>
        <v>DF</v>
      </c>
      <c r="T8" t="str">
        <f>チーム①!M9</f>
        <v>竹内　一馬</v>
      </c>
    </row>
    <row r="9" spans="1:20" x14ac:dyDescent="0.15">
      <c r="A9" s="25" t="s">
        <v>387</v>
      </c>
      <c r="C9" s="25"/>
      <c r="E9" s="25"/>
      <c r="G9" s="26"/>
      <c r="H9" s="25"/>
      <c r="J9" s="27"/>
      <c r="K9" s="21"/>
      <c r="L9" s="27">
        <v>40</v>
      </c>
      <c r="M9" s="21"/>
      <c r="N9" s="27">
        <v>38</v>
      </c>
      <c r="O9" s="21"/>
      <c r="P9" s="27"/>
      <c r="R9">
        <f>チーム①!K10</f>
        <v>7</v>
      </c>
      <c r="S9" t="str">
        <f>チーム①!L10</f>
        <v>MF</v>
      </c>
      <c r="T9" t="str">
        <f>チーム①!M10</f>
        <v>前出　悠杜</v>
      </c>
    </row>
    <row r="10" spans="1:20" x14ac:dyDescent="0.15">
      <c r="A10" s="25" t="s">
        <v>332</v>
      </c>
      <c r="C10" s="25"/>
      <c r="E10" s="25"/>
      <c r="G10" s="26"/>
      <c r="H10" s="25"/>
      <c r="J10" s="27"/>
      <c r="K10" s="21"/>
      <c r="L10" s="27">
        <v>45</v>
      </c>
      <c r="M10" s="21"/>
      <c r="N10" s="27">
        <v>37</v>
      </c>
      <c r="O10" s="21"/>
      <c r="P10" s="27"/>
      <c r="R10">
        <f>チーム①!K11</f>
        <v>8</v>
      </c>
      <c r="S10" t="str">
        <f>チーム①!L11</f>
        <v>MF</v>
      </c>
      <c r="T10" t="str">
        <f>チーム①!M11</f>
        <v>中川　小哲</v>
      </c>
    </row>
    <row r="11" spans="1:20" x14ac:dyDescent="0.15">
      <c r="A11" s="25" t="s">
        <v>388</v>
      </c>
      <c r="C11" s="25"/>
      <c r="E11" s="25"/>
      <c r="G11" s="26"/>
      <c r="H11" s="25"/>
      <c r="J11" s="27"/>
      <c r="K11" s="21"/>
      <c r="L11" s="27">
        <v>50</v>
      </c>
      <c r="M11" s="21"/>
      <c r="N11" s="27">
        <v>36</v>
      </c>
      <c r="O11" s="21"/>
      <c r="P11" s="27"/>
      <c r="R11">
        <f>チーム①!K12</f>
        <v>9</v>
      </c>
      <c r="S11" t="str">
        <f>チーム①!L12</f>
        <v>FW</v>
      </c>
      <c r="T11" t="str">
        <f>チーム①!M12</f>
        <v>堀　　結輝</v>
      </c>
    </row>
    <row r="12" spans="1:20" x14ac:dyDescent="0.15">
      <c r="A12" s="25" t="s">
        <v>335</v>
      </c>
      <c r="C12" s="25"/>
      <c r="E12" s="25"/>
      <c r="G12" s="26"/>
      <c r="H12" s="25"/>
      <c r="J12" s="27"/>
      <c r="K12" s="21"/>
      <c r="L12" s="27">
        <v>55</v>
      </c>
      <c r="M12" s="21"/>
      <c r="N12" s="27">
        <v>35</v>
      </c>
      <c r="O12" s="21"/>
      <c r="P12" s="27"/>
      <c r="R12">
        <f>チーム①!K13</f>
        <v>10</v>
      </c>
      <c r="S12" t="str">
        <f>チーム①!L13</f>
        <v>MF</v>
      </c>
      <c r="T12" t="str">
        <f>チーム①!M13</f>
        <v>西尾　友希</v>
      </c>
    </row>
    <row r="13" spans="1:20" x14ac:dyDescent="0.15">
      <c r="A13" s="25" t="s">
        <v>336</v>
      </c>
      <c r="C13" s="25"/>
      <c r="E13" s="25"/>
      <c r="G13" s="26"/>
      <c r="H13" s="25"/>
      <c r="J13" s="27"/>
      <c r="K13" s="21"/>
      <c r="L13" s="27">
        <v>60</v>
      </c>
      <c r="M13" s="21"/>
      <c r="N13" s="27">
        <v>34</v>
      </c>
      <c r="O13" s="21"/>
      <c r="P13" s="27"/>
      <c r="R13">
        <f>チーム①!K14</f>
        <v>11</v>
      </c>
      <c r="S13" t="str">
        <f>チーム①!L14</f>
        <v>FW</v>
      </c>
      <c r="T13" t="str">
        <f>チーム①!M14</f>
        <v>橋本　莞汰</v>
      </c>
    </row>
    <row r="14" spans="1:20" x14ac:dyDescent="0.15">
      <c r="A14" s="25" t="s">
        <v>337</v>
      </c>
      <c r="C14" s="25"/>
      <c r="E14" s="25"/>
      <c r="G14" s="26"/>
      <c r="H14" s="25"/>
      <c r="J14" s="27"/>
      <c r="K14" s="21"/>
      <c r="L14" s="27">
        <v>65</v>
      </c>
      <c r="M14" s="21"/>
      <c r="N14" s="27">
        <v>33</v>
      </c>
      <c r="O14" s="21"/>
      <c r="P14" s="27"/>
      <c r="R14">
        <f>チーム①!K15</f>
        <v>12</v>
      </c>
      <c r="S14" t="str">
        <f>チーム①!L15</f>
        <v>MF</v>
      </c>
      <c r="T14" t="str">
        <f>チーム①!M15</f>
        <v>清水　新志</v>
      </c>
    </row>
    <row r="15" spans="1:20" x14ac:dyDescent="0.15">
      <c r="A15" s="25" t="s">
        <v>389</v>
      </c>
      <c r="C15" s="25"/>
      <c r="E15" s="25"/>
      <c r="G15" s="26"/>
      <c r="H15" s="25"/>
      <c r="J15" s="27"/>
      <c r="K15" s="21"/>
      <c r="L15" s="27">
        <v>70</v>
      </c>
      <c r="M15" s="21"/>
      <c r="N15" s="27">
        <v>32</v>
      </c>
      <c r="O15" s="21"/>
      <c r="P15" s="27"/>
      <c r="R15">
        <f>チーム①!K16</f>
        <v>13</v>
      </c>
      <c r="S15" t="str">
        <f>チーム①!L16</f>
        <v>MF</v>
      </c>
      <c r="T15" t="str">
        <f>チーム①!M16</f>
        <v>水野　　蓮</v>
      </c>
    </row>
    <row r="16" spans="1:20" x14ac:dyDescent="0.15">
      <c r="A16" s="25" t="s">
        <v>340</v>
      </c>
      <c r="C16" s="25"/>
      <c r="E16" s="25"/>
      <c r="G16" s="26"/>
      <c r="H16" s="25"/>
      <c r="J16" s="27"/>
      <c r="K16" s="21"/>
      <c r="L16" s="27">
        <v>75</v>
      </c>
      <c r="M16" s="21"/>
      <c r="N16" s="27">
        <v>31</v>
      </c>
      <c r="O16" s="21"/>
      <c r="P16" s="27"/>
      <c r="R16">
        <f>チーム①!K17</f>
        <v>14</v>
      </c>
      <c r="S16" t="str">
        <f>チーム①!L17</f>
        <v>FW</v>
      </c>
      <c r="T16" t="str">
        <f>チーム①!M17</f>
        <v>伊藤　大雅</v>
      </c>
    </row>
    <row r="17" spans="1:20" x14ac:dyDescent="0.15">
      <c r="A17" s="25" t="s">
        <v>348</v>
      </c>
      <c r="C17" s="25"/>
      <c r="E17" s="25"/>
      <c r="G17" s="26"/>
      <c r="H17" s="25"/>
      <c r="J17" s="27"/>
      <c r="K17" s="21"/>
      <c r="L17" s="27">
        <v>80</v>
      </c>
      <c r="M17" s="21"/>
      <c r="N17" s="27">
        <v>30</v>
      </c>
      <c r="O17" s="21"/>
      <c r="P17" s="27"/>
      <c r="R17">
        <f>チーム①!K18</f>
        <v>15</v>
      </c>
      <c r="S17" t="str">
        <f>チーム①!L18</f>
        <v>FW</v>
      </c>
      <c r="T17" t="str">
        <f>チーム①!M18</f>
        <v>佐々木　真之介</v>
      </c>
    </row>
    <row r="18" spans="1:20" x14ac:dyDescent="0.15">
      <c r="A18" s="25" t="s">
        <v>353</v>
      </c>
      <c r="C18" s="25"/>
      <c r="E18" s="25"/>
      <c r="G18" s="26"/>
      <c r="H18" s="25"/>
      <c r="J18" s="27"/>
      <c r="K18" s="21"/>
      <c r="L18" s="27">
        <v>85</v>
      </c>
      <c r="M18" s="21"/>
      <c r="N18" s="27">
        <v>29</v>
      </c>
      <c r="O18" s="21"/>
      <c r="P18" s="27"/>
      <c r="R18">
        <f>チーム①!K19</f>
        <v>16</v>
      </c>
      <c r="S18" t="str">
        <f>チーム①!L19</f>
        <v>DF</v>
      </c>
      <c r="T18" t="str">
        <f>チーム①!M19</f>
        <v>山田　凌平</v>
      </c>
    </row>
    <row r="19" spans="1:20" x14ac:dyDescent="0.15">
      <c r="A19" s="25" t="s">
        <v>354</v>
      </c>
      <c r="C19" s="25"/>
      <c r="E19" s="25"/>
      <c r="G19" s="26"/>
      <c r="H19" s="25"/>
      <c r="J19" s="27"/>
      <c r="K19" s="21"/>
      <c r="L19" s="27">
        <v>90</v>
      </c>
      <c r="M19" s="21"/>
      <c r="N19" s="27">
        <v>28</v>
      </c>
      <c r="O19" s="21"/>
      <c r="P19" s="27"/>
      <c r="R19">
        <f>チーム①!K20</f>
        <v>17</v>
      </c>
      <c r="S19" t="str">
        <f>チーム①!L20</f>
        <v>GK</v>
      </c>
      <c r="T19" t="str">
        <f>チーム①!M20</f>
        <v>山岸　　光</v>
      </c>
    </row>
    <row r="20" spans="1:20" x14ac:dyDescent="0.15">
      <c r="A20" s="25" t="s">
        <v>320</v>
      </c>
      <c r="C20" s="25"/>
      <c r="E20" s="25"/>
      <c r="G20" s="26"/>
      <c r="H20" s="25"/>
      <c r="J20" s="27"/>
      <c r="K20" s="21"/>
      <c r="L20" s="27">
        <v>95</v>
      </c>
      <c r="M20" s="21"/>
      <c r="N20" s="27">
        <v>27</v>
      </c>
      <c r="O20" s="21"/>
      <c r="P20" s="27"/>
      <c r="R20">
        <f>チーム①!K21</f>
        <v>18</v>
      </c>
      <c r="S20" t="str">
        <f>チーム①!L21</f>
        <v>MF</v>
      </c>
      <c r="T20" t="str">
        <f>チーム①!M21</f>
        <v>中谷　拓斗</v>
      </c>
    </row>
    <row r="21" spans="1:20" ht="14.25" thickBot="1" x14ac:dyDescent="0.2">
      <c r="A21" s="28"/>
      <c r="C21" s="28"/>
      <c r="E21" s="28"/>
      <c r="G21" s="29"/>
      <c r="H21" s="28"/>
      <c r="J21" s="30"/>
      <c r="K21" s="21"/>
      <c r="L21" s="30">
        <v>100</v>
      </c>
      <c r="M21" s="21"/>
      <c r="N21" s="27">
        <v>26</v>
      </c>
      <c r="O21" s="21"/>
      <c r="P21" s="30"/>
    </row>
    <row r="22" spans="1:20" ht="14.25" thickTop="1" x14ac:dyDescent="0.15">
      <c r="J22" s="21"/>
      <c r="K22" s="21"/>
      <c r="L22" s="21"/>
      <c r="M22" s="21"/>
      <c r="N22" s="27">
        <v>25</v>
      </c>
      <c r="O22" s="21"/>
      <c r="P22" s="21"/>
    </row>
    <row r="23" spans="1:20" x14ac:dyDescent="0.15">
      <c r="J23" s="21"/>
      <c r="K23" s="21"/>
      <c r="L23" s="21"/>
      <c r="M23" s="21"/>
      <c r="N23" s="27">
        <v>24</v>
      </c>
      <c r="O23" s="21"/>
      <c r="P23" s="21"/>
    </row>
    <row r="24" spans="1:20" x14ac:dyDescent="0.15">
      <c r="J24" s="21"/>
      <c r="K24" s="21"/>
      <c r="L24" s="21"/>
      <c r="M24" s="21"/>
      <c r="N24" s="27">
        <v>23</v>
      </c>
      <c r="O24" s="21"/>
      <c r="P24" s="21"/>
      <c r="R24" t="str">
        <f>チーム②!B7&amp;"中学校"</f>
        <v>白山市立北辰中学校</v>
      </c>
      <c r="T24" t="str">
        <f>チーム②!B14</f>
        <v>河島 統志</v>
      </c>
    </row>
    <row r="25" spans="1:20" x14ac:dyDescent="0.15">
      <c r="J25" s="21"/>
      <c r="K25" s="21"/>
      <c r="L25" s="21"/>
      <c r="M25" s="21"/>
      <c r="N25" s="27">
        <v>22</v>
      </c>
      <c r="O25" s="21"/>
      <c r="P25" s="21"/>
      <c r="R25">
        <f>チーム②!K4</f>
        <v>1</v>
      </c>
      <c r="S25" t="str">
        <f>チーム②!L4</f>
        <v>GK</v>
      </c>
      <c r="T25" t="str">
        <f>チーム②!M4</f>
        <v>村本　遼</v>
      </c>
    </row>
    <row r="26" spans="1:20" x14ac:dyDescent="0.15">
      <c r="J26" s="21"/>
      <c r="K26" s="21"/>
      <c r="L26" s="21"/>
      <c r="M26" s="21"/>
      <c r="N26" s="27">
        <v>21</v>
      </c>
      <c r="O26" s="21"/>
      <c r="P26" s="21"/>
      <c r="R26">
        <f>チーム②!K5</f>
        <v>2</v>
      </c>
      <c r="S26" t="str">
        <f>チーム②!L5</f>
        <v>DF</v>
      </c>
      <c r="T26" t="str">
        <f>チーム②!M5</f>
        <v>奥田　脩十</v>
      </c>
    </row>
    <row r="27" spans="1:20" x14ac:dyDescent="0.15">
      <c r="J27" s="21"/>
      <c r="K27" s="21"/>
      <c r="L27" s="21"/>
      <c r="M27" s="21"/>
      <c r="N27" s="27">
        <v>20</v>
      </c>
      <c r="O27" s="21"/>
      <c r="P27" s="21"/>
      <c r="R27">
        <f>チーム②!K6</f>
        <v>3</v>
      </c>
      <c r="S27" t="str">
        <f>チーム②!L6</f>
        <v>DF</v>
      </c>
      <c r="T27" t="str">
        <f>チーム②!M6</f>
        <v>坂井　音哉</v>
      </c>
    </row>
    <row r="28" spans="1:20" x14ac:dyDescent="0.15">
      <c r="J28" s="21"/>
      <c r="K28" s="21"/>
      <c r="L28" s="21"/>
      <c r="M28" s="21"/>
      <c r="N28" s="27">
        <v>19</v>
      </c>
      <c r="O28" s="21"/>
      <c r="P28" s="21"/>
      <c r="R28">
        <f>チーム②!K7</f>
        <v>4</v>
      </c>
      <c r="S28" t="str">
        <f>チーム②!L7</f>
        <v>DF</v>
      </c>
      <c r="T28" t="str">
        <f>チーム②!M7</f>
        <v>山﨑　一輝</v>
      </c>
    </row>
    <row r="29" spans="1:20" x14ac:dyDescent="0.15">
      <c r="J29" s="21"/>
      <c r="K29" s="21"/>
      <c r="L29" s="21"/>
      <c r="M29" s="21"/>
      <c r="N29" s="27">
        <v>18</v>
      </c>
      <c r="O29" s="21"/>
      <c r="P29" s="21"/>
      <c r="R29">
        <f>チーム②!K8</f>
        <v>5</v>
      </c>
      <c r="S29" t="str">
        <f>チーム②!L8</f>
        <v>DF</v>
      </c>
      <c r="T29" t="str">
        <f>チーム②!M8</f>
        <v>金平　宏陽</v>
      </c>
    </row>
    <row r="30" spans="1:20" x14ac:dyDescent="0.15">
      <c r="J30" s="21"/>
      <c r="K30" s="21"/>
      <c r="L30" s="21"/>
      <c r="M30" s="21"/>
      <c r="N30" s="27">
        <v>17</v>
      </c>
      <c r="O30" s="21"/>
      <c r="P30" s="21"/>
      <c r="R30">
        <f>チーム②!K9</f>
        <v>6</v>
      </c>
      <c r="S30" t="str">
        <f>チーム②!L9</f>
        <v>MF</v>
      </c>
      <c r="T30" t="str">
        <f>チーム②!M9</f>
        <v>山本　将義</v>
      </c>
    </row>
    <row r="31" spans="1:20" x14ac:dyDescent="0.15">
      <c r="J31" s="21"/>
      <c r="K31" s="21"/>
      <c r="L31" s="21"/>
      <c r="M31" s="21"/>
      <c r="N31" s="27">
        <v>16</v>
      </c>
      <c r="O31" s="21"/>
      <c r="P31" s="21"/>
      <c r="R31">
        <f>チーム②!K10</f>
        <v>7</v>
      </c>
      <c r="S31" t="str">
        <f>チーム②!L10</f>
        <v>MF</v>
      </c>
      <c r="T31" t="str">
        <f>チーム②!M10</f>
        <v>末田　裕大</v>
      </c>
    </row>
    <row r="32" spans="1:20" x14ac:dyDescent="0.15">
      <c r="J32" s="21"/>
      <c r="K32" s="21"/>
      <c r="L32" s="21"/>
      <c r="M32" s="21"/>
      <c r="N32" s="27">
        <v>15</v>
      </c>
      <c r="O32" s="21"/>
      <c r="P32" s="21"/>
      <c r="R32">
        <f>チーム②!K11</f>
        <v>8</v>
      </c>
      <c r="S32" t="str">
        <f>チーム②!L11</f>
        <v>MF</v>
      </c>
      <c r="T32" t="str">
        <f>チーム②!M11</f>
        <v>炭田　健太郎</v>
      </c>
    </row>
    <row r="33" spans="10:20" x14ac:dyDescent="0.15">
      <c r="J33" s="21"/>
      <c r="K33" s="21"/>
      <c r="L33" s="21"/>
      <c r="M33" s="21"/>
      <c r="N33" s="27">
        <v>14</v>
      </c>
      <c r="O33" s="21"/>
      <c r="P33" s="21"/>
      <c r="R33">
        <f>チーム②!K12</f>
        <v>9</v>
      </c>
      <c r="S33" t="str">
        <f>チーム②!L12</f>
        <v>FW</v>
      </c>
      <c r="T33" t="str">
        <f>チーム②!M12</f>
        <v>上甲　健太</v>
      </c>
    </row>
    <row r="34" spans="10:20" x14ac:dyDescent="0.15">
      <c r="J34" s="21"/>
      <c r="K34" s="21"/>
      <c r="L34" s="21"/>
      <c r="M34" s="21"/>
      <c r="N34" s="27">
        <v>13</v>
      </c>
      <c r="O34" s="21"/>
      <c r="P34" s="21"/>
      <c r="R34">
        <f>チーム②!K13</f>
        <v>10</v>
      </c>
      <c r="S34" t="str">
        <f>チーム②!L13</f>
        <v>FW</v>
      </c>
      <c r="T34" t="str">
        <f>チーム②!M13</f>
        <v>林　怜史</v>
      </c>
    </row>
    <row r="35" spans="10:20" x14ac:dyDescent="0.15">
      <c r="J35" s="21"/>
      <c r="K35" s="21"/>
      <c r="L35" s="21"/>
      <c r="M35" s="21"/>
      <c r="N35" s="27">
        <v>12</v>
      </c>
      <c r="O35" s="21"/>
      <c r="P35" s="21"/>
      <c r="R35">
        <f>チーム②!K14</f>
        <v>11</v>
      </c>
      <c r="S35" t="str">
        <f>チーム②!L14</f>
        <v>MF</v>
      </c>
      <c r="T35" t="str">
        <f>チーム②!M14</f>
        <v>茂森　丈瑠</v>
      </c>
    </row>
    <row r="36" spans="10:20" x14ac:dyDescent="0.15">
      <c r="J36" s="21"/>
      <c r="K36" s="21"/>
      <c r="L36" s="21"/>
      <c r="M36" s="21"/>
      <c r="N36" s="27">
        <v>11</v>
      </c>
      <c r="O36" s="21"/>
      <c r="P36" s="21"/>
      <c r="R36">
        <f>チーム②!K15</f>
        <v>12</v>
      </c>
      <c r="S36" t="str">
        <f>チーム②!L15</f>
        <v>MF</v>
      </c>
      <c r="T36" t="str">
        <f>チーム②!M15</f>
        <v>中山　結都</v>
      </c>
    </row>
    <row r="37" spans="10:20" x14ac:dyDescent="0.15">
      <c r="J37" s="21"/>
      <c r="K37" s="21"/>
      <c r="L37" s="21"/>
      <c r="M37" s="21"/>
      <c r="N37" s="27">
        <v>10</v>
      </c>
      <c r="O37" s="21"/>
      <c r="P37" s="21"/>
      <c r="R37">
        <f>チーム②!K16</f>
        <v>13</v>
      </c>
      <c r="S37" t="str">
        <f>チーム②!L16</f>
        <v>DF</v>
      </c>
      <c r="T37" t="str">
        <f>チーム②!M16</f>
        <v>宮田　陽輝</v>
      </c>
    </row>
    <row r="38" spans="10:20" x14ac:dyDescent="0.15">
      <c r="J38" s="21"/>
      <c r="K38" s="21"/>
      <c r="L38" s="21"/>
      <c r="M38" s="21"/>
      <c r="N38" s="27">
        <v>9</v>
      </c>
      <c r="O38" s="21"/>
      <c r="P38" s="21"/>
      <c r="R38">
        <f>チーム②!K17</f>
        <v>14</v>
      </c>
      <c r="S38" t="str">
        <f>チーム②!L17</f>
        <v>DF</v>
      </c>
      <c r="T38" t="str">
        <f>チーム②!M17</f>
        <v>松尾　瑞紀</v>
      </c>
    </row>
    <row r="39" spans="10:20" x14ac:dyDescent="0.15">
      <c r="J39" s="21"/>
      <c r="K39" s="21"/>
      <c r="L39" s="21"/>
      <c r="M39" s="21"/>
      <c r="N39" s="27">
        <v>8</v>
      </c>
      <c r="O39" s="21"/>
      <c r="P39" s="21"/>
      <c r="R39">
        <f>チーム②!K18</f>
        <v>15</v>
      </c>
      <c r="S39" t="str">
        <f>チーム②!L18</f>
        <v>MF</v>
      </c>
      <c r="T39" t="str">
        <f>チーム②!M18</f>
        <v>横山　裕亮</v>
      </c>
    </row>
    <row r="40" spans="10:20" x14ac:dyDescent="0.15">
      <c r="J40" s="21"/>
      <c r="K40" s="21"/>
      <c r="L40" s="21"/>
      <c r="M40" s="21"/>
      <c r="N40" s="27">
        <v>7</v>
      </c>
      <c r="O40" s="21"/>
      <c r="P40" s="21"/>
      <c r="R40">
        <f>チーム②!K19</f>
        <v>16</v>
      </c>
      <c r="S40" t="str">
        <f>チーム②!L19</f>
        <v>MF</v>
      </c>
      <c r="T40" t="str">
        <f>チーム②!M19</f>
        <v>藤田　倖輝</v>
      </c>
    </row>
    <row r="41" spans="10:20" x14ac:dyDescent="0.15">
      <c r="J41" s="21"/>
      <c r="K41" s="21"/>
      <c r="L41" s="21"/>
      <c r="M41" s="21"/>
      <c r="N41" s="27">
        <v>6</v>
      </c>
      <c r="O41" s="21"/>
      <c r="P41" s="21"/>
      <c r="R41">
        <f>チーム②!K20</f>
        <v>17</v>
      </c>
      <c r="S41" t="str">
        <f>チーム②!L20</f>
        <v>MF</v>
      </c>
      <c r="T41" t="str">
        <f>チーム②!M20</f>
        <v>長坂　昇星</v>
      </c>
    </row>
    <row r="42" spans="10:20" x14ac:dyDescent="0.15">
      <c r="J42" s="21"/>
      <c r="K42" s="21"/>
      <c r="L42" s="21"/>
      <c r="M42" s="21"/>
      <c r="N42" s="27">
        <v>5</v>
      </c>
      <c r="O42" s="21"/>
      <c r="P42" s="21"/>
      <c r="R42">
        <f>チーム②!K21</f>
        <v>18</v>
      </c>
      <c r="S42" t="str">
        <f>チーム②!L21</f>
        <v>GK</v>
      </c>
      <c r="T42" t="str">
        <f>チーム②!M21</f>
        <v>北本　竜也</v>
      </c>
    </row>
    <row r="43" spans="10:20" x14ac:dyDescent="0.15">
      <c r="J43" s="21"/>
      <c r="K43" s="21"/>
      <c r="L43" s="21"/>
      <c r="M43" s="21"/>
      <c r="N43" s="27">
        <v>4</v>
      </c>
      <c r="O43" s="21"/>
      <c r="P43" s="21"/>
    </row>
    <row r="44" spans="10:20" x14ac:dyDescent="0.15">
      <c r="J44" s="21"/>
      <c r="K44" s="21"/>
      <c r="L44" s="21"/>
      <c r="M44" s="21"/>
      <c r="N44" s="27">
        <v>3</v>
      </c>
      <c r="O44" s="21"/>
      <c r="P44" s="21"/>
    </row>
    <row r="45" spans="10:20" x14ac:dyDescent="0.15">
      <c r="J45" s="21"/>
      <c r="K45" s="21"/>
      <c r="L45" s="21"/>
      <c r="M45" s="21"/>
      <c r="N45" s="27">
        <v>2</v>
      </c>
      <c r="O45" s="21"/>
      <c r="P45" s="21"/>
    </row>
    <row r="46" spans="10:20" x14ac:dyDescent="0.15">
      <c r="J46" s="21"/>
      <c r="K46" s="21"/>
      <c r="L46" s="21"/>
      <c r="M46" s="21"/>
      <c r="N46" s="27">
        <v>1</v>
      </c>
      <c r="O46" s="21"/>
      <c r="P46" s="21"/>
      <c r="R46" t="str">
        <f>チーム③!B7&amp;"中学校"</f>
        <v>小松市立南部中学校</v>
      </c>
      <c r="T46" t="str">
        <f>チーム③!B14</f>
        <v>大島　哲史</v>
      </c>
    </row>
    <row r="47" spans="10:20" x14ac:dyDescent="0.15">
      <c r="J47" s="21"/>
      <c r="K47" s="21"/>
      <c r="L47" s="21"/>
      <c r="M47" s="21"/>
      <c r="N47" s="27">
        <v>0</v>
      </c>
      <c r="O47" s="21"/>
      <c r="P47" s="21"/>
      <c r="R47">
        <f>チーム③!K4</f>
        <v>1</v>
      </c>
      <c r="S47" t="str">
        <f>チーム③!L4</f>
        <v>GK</v>
      </c>
      <c r="T47" t="str">
        <f>チーム③!M4</f>
        <v>宮西　大樹</v>
      </c>
    </row>
    <row r="48" spans="10:20" x14ac:dyDescent="0.15">
      <c r="J48" s="21"/>
      <c r="K48" s="21"/>
      <c r="L48" s="21"/>
      <c r="M48" s="21"/>
      <c r="N48" s="27">
        <v>-1</v>
      </c>
      <c r="O48" s="21"/>
      <c r="P48" s="21"/>
      <c r="R48">
        <f>チーム③!K5</f>
        <v>2</v>
      </c>
      <c r="S48" t="str">
        <f>チーム③!L5</f>
        <v>DF</v>
      </c>
      <c r="T48" t="str">
        <f>チーム③!M5</f>
        <v>島田　遥輝</v>
      </c>
    </row>
    <row r="49" spans="10:20" x14ac:dyDescent="0.15">
      <c r="J49" s="21"/>
      <c r="K49" s="21"/>
      <c r="L49" s="21"/>
      <c r="M49" s="21"/>
      <c r="N49" s="27">
        <v>-2</v>
      </c>
      <c r="O49" s="21"/>
      <c r="P49" s="21"/>
      <c r="R49">
        <f>チーム③!K6</f>
        <v>3</v>
      </c>
      <c r="S49" t="str">
        <f>チーム③!L6</f>
        <v>DF</v>
      </c>
      <c r="T49" t="str">
        <f>チーム③!M6</f>
        <v>下野　滉太</v>
      </c>
    </row>
    <row r="50" spans="10:20" x14ac:dyDescent="0.15">
      <c r="J50" s="21"/>
      <c r="K50" s="21"/>
      <c r="L50" s="21"/>
      <c r="M50" s="21"/>
      <c r="N50" s="27">
        <v>-3</v>
      </c>
      <c r="O50" s="21"/>
      <c r="P50" s="21"/>
      <c r="R50">
        <f>チーム③!K7</f>
        <v>4</v>
      </c>
      <c r="S50" t="str">
        <f>チーム③!L7</f>
        <v>DF</v>
      </c>
      <c r="T50" t="str">
        <f>チーム③!M7</f>
        <v>北村　灯梧</v>
      </c>
    </row>
    <row r="51" spans="10:20" x14ac:dyDescent="0.15">
      <c r="J51" s="21"/>
      <c r="K51" s="21"/>
      <c r="L51" s="21"/>
      <c r="M51" s="21"/>
      <c r="N51" s="27">
        <v>-4</v>
      </c>
      <c r="O51" s="21"/>
      <c r="P51" s="21"/>
      <c r="R51">
        <f>チーム③!K8</f>
        <v>5</v>
      </c>
      <c r="S51" t="str">
        <f>チーム③!L8</f>
        <v>DF</v>
      </c>
      <c r="T51" t="str">
        <f>チーム③!M8</f>
        <v>橋本　健吾</v>
      </c>
    </row>
    <row r="52" spans="10:20" x14ac:dyDescent="0.15">
      <c r="J52" s="21"/>
      <c r="K52" s="21"/>
      <c r="L52" s="21"/>
      <c r="M52" s="21"/>
      <c r="N52" s="27">
        <v>-5</v>
      </c>
      <c r="O52" s="21"/>
      <c r="P52" s="21"/>
      <c r="R52">
        <f>チーム③!K9</f>
        <v>6</v>
      </c>
      <c r="S52" t="str">
        <f>チーム③!L9</f>
        <v>MF</v>
      </c>
      <c r="T52" t="str">
        <f>チーム③!M9</f>
        <v>猪辺　稜斗</v>
      </c>
    </row>
    <row r="53" spans="10:20" x14ac:dyDescent="0.15">
      <c r="J53" s="21"/>
      <c r="K53" s="21"/>
      <c r="L53" s="21"/>
      <c r="M53" s="21"/>
      <c r="N53" s="27">
        <v>-6</v>
      </c>
      <c r="O53" s="21"/>
      <c r="P53" s="21"/>
      <c r="R53">
        <f>チーム③!K10</f>
        <v>7</v>
      </c>
      <c r="S53" t="str">
        <f>チーム③!L10</f>
        <v>MF</v>
      </c>
      <c r="T53" t="str">
        <f>チーム③!M10</f>
        <v>澤本　凌佑</v>
      </c>
    </row>
    <row r="54" spans="10:20" x14ac:dyDescent="0.15">
      <c r="J54" s="21"/>
      <c r="K54" s="21"/>
      <c r="L54" s="21"/>
      <c r="M54" s="21"/>
      <c r="N54" s="27">
        <v>-7</v>
      </c>
      <c r="O54" s="21"/>
      <c r="P54" s="21"/>
      <c r="R54">
        <f>チーム③!K11</f>
        <v>8</v>
      </c>
      <c r="S54" t="str">
        <f>チーム③!L11</f>
        <v>MF</v>
      </c>
      <c r="T54" t="str">
        <f>チーム③!M11</f>
        <v>北村　丞梧</v>
      </c>
    </row>
    <row r="55" spans="10:20" x14ac:dyDescent="0.15">
      <c r="J55" s="21"/>
      <c r="K55" s="21"/>
      <c r="L55" s="21"/>
      <c r="M55" s="21"/>
      <c r="N55" s="27">
        <v>-8</v>
      </c>
      <c r="O55" s="21"/>
      <c r="P55" s="21"/>
      <c r="R55">
        <f>チーム③!K12</f>
        <v>9</v>
      </c>
      <c r="S55" t="str">
        <f>チーム③!L12</f>
        <v>FW</v>
      </c>
      <c r="T55" t="str">
        <f>チーム③!M12</f>
        <v>西田　響</v>
      </c>
    </row>
    <row r="56" spans="10:20" x14ac:dyDescent="0.15">
      <c r="J56" s="21"/>
      <c r="K56" s="21"/>
      <c r="L56" s="21"/>
      <c r="M56" s="21"/>
      <c r="N56" s="27">
        <v>-9</v>
      </c>
      <c r="O56" s="21"/>
      <c r="P56" s="21"/>
      <c r="R56">
        <f>チーム③!K13</f>
        <v>10</v>
      </c>
      <c r="S56" t="str">
        <f>チーム③!L13</f>
        <v>MF</v>
      </c>
      <c r="T56" t="str">
        <f>チーム③!M13</f>
        <v>濱岡　駿太郎</v>
      </c>
    </row>
    <row r="57" spans="10:20" x14ac:dyDescent="0.15">
      <c r="J57" s="21"/>
      <c r="K57" s="21"/>
      <c r="L57" s="21"/>
      <c r="M57" s="21"/>
      <c r="N57" s="27">
        <v>-10</v>
      </c>
      <c r="O57" s="21"/>
      <c r="P57" s="21"/>
      <c r="R57">
        <f>チーム③!K14</f>
        <v>11</v>
      </c>
      <c r="S57" t="str">
        <f>チーム③!L14</f>
        <v>FW</v>
      </c>
      <c r="T57" t="str">
        <f>チーム③!M14</f>
        <v>農田　蓮</v>
      </c>
    </row>
    <row r="58" spans="10:20" x14ac:dyDescent="0.15">
      <c r="J58" s="21"/>
      <c r="K58" s="21"/>
      <c r="L58" s="21"/>
      <c r="M58" s="21"/>
      <c r="N58" s="27">
        <v>-11</v>
      </c>
      <c r="O58" s="21"/>
      <c r="P58" s="21"/>
      <c r="R58">
        <f>チーム③!K15</f>
        <v>12</v>
      </c>
      <c r="S58" t="str">
        <f>チーム③!L15</f>
        <v>DF</v>
      </c>
      <c r="T58" t="str">
        <f>チーム③!M15</f>
        <v>清水　悠生</v>
      </c>
    </row>
    <row r="59" spans="10:20" x14ac:dyDescent="0.15">
      <c r="J59" s="21"/>
      <c r="K59" s="21"/>
      <c r="L59" s="21"/>
      <c r="M59" s="21"/>
      <c r="N59" s="27">
        <v>-12</v>
      </c>
      <c r="O59" s="21"/>
      <c r="P59" s="21"/>
      <c r="R59">
        <f>チーム③!K16</f>
        <v>13</v>
      </c>
      <c r="S59" t="str">
        <f>チーム③!L16</f>
        <v>MF</v>
      </c>
      <c r="T59" t="str">
        <f>チーム③!M16</f>
        <v>戸田　亘</v>
      </c>
    </row>
    <row r="60" spans="10:20" x14ac:dyDescent="0.15">
      <c r="J60" s="21"/>
      <c r="K60" s="21"/>
      <c r="L60" s="21"/>
      <c r="M60" s="21"/>
      <c r="N60" s="27">
        <v>-13</v>
      </c>
      <c r="O60" s="21"/>
      <c r="P60" s="21"/>
      <c r="R60">
        <f>チーム③!K17</f>
        <v>14</v>
      </c>
      <c r="S60" t="str">
        <f>チーム③!L17</f>
        <v>FW</v>
      </c>
      <c r="T60" t="str">
        <f>チーム③!M17</f>
        <v>宮野　裕生</v>
      </c>
    </row>
    <row r="61" spans="10:20" x14ac:dyDescent="0.15">
      <c r="J61" s="21"/>
      <c r="K61" s="21"/>
      <c r="L61" s="21"/>
      <c r="M61" s="21"/>
      <c r="N61" s="27">
        <v>-14</v>
      </c>
      <c r="O61" s="21"/>
      <c r="P61" s="21"/>
      <c r="R61">
        <f>チーム③!K18</f>
        <v>15</v>
      </c>
      <c r="S61" t="str">
        <f>チーム③!L18</f>
        <v>FW</v>
      </c>
      <c r="T61" t="str">
        <f>チーム③!M18</f>
        <v>藤田　永遠</v>
      </c>
    </row>
    <row r="62" spans="10:20" x14ac:dyDescent="0.15">
      <c r="J62" s="21"/>
      <c r="K62" s="21"/>
      <c r="L62" s="21"/>
      <c r="M62" s="21"/>
      <c r="N62" s="27">
        <v>-15</v>
      </c>
      <c r="O62" s="21"/>
      <c r="P62" s="21"/>
      <c r="R62">
        <f>チーム③!K19</f>
        <v>16</v>
      </c>
      <c r="S62" t="str">
        <f>チーム③!L19</f>
        <v>DF</v>
      </c>
      <c r="T62" t="str">
        <f>チーム③!M19</f>
        <v>寺田　恵太朗</v>
      </c>
    </row>
    <row r="63" spans="10:20" x14ac:dyDescent="0.15">
      <c r="J63" s="21"/>
      <c r="K63" s="21"/>
      <c r="L63" s="21"/>
      <c r="M63" s="21"/>
      <c r="N63" s="27">
        <v>-16</v>
      </c>
      <c r="O63" s="21"/>
      <c r="P63" s="21"/>
      <c r="R63">
        <f>チーム③!K20</f>
        <v>17</v>
      </c>
      <c r="S63" t="str">
        <f>チーム③!L20</f>
        <v>MF</v>
      </c>
      <c r="T63" t="str">
        <f>チーム③!M20</f>
        <v>原田　飛翔</v>
      </c>
    </row>
    <row r="64" spans="10:20" x14ac:dyDescent="0.15">
      <c r="J64" s="21"/>
      <c r="K64" s="21"/>
      <c r="L64" s="21"/>
      <c r="M64" s="21"/>
      <c r="N64" s="27">
        <v>-17</v>
      </c>
      <c r="O64" s="21"/>
      <c r="P64" s="21"/>
      <c r="R64">
        <f>チーム③!K21</f>
        <v>18</v>
      </c>
      <c r="S64" t="str">
        <f>チーム③!L21</f>
        <v>GK</v>
      </c>
      <c r="T64" t="str">
        <f>チーム③!M21</f>
        <v>吉野　心晟</v>
      </c>
    </row>
    <row r="65" spans="10:20" x14ac:dyDescent="0.15">
      <c r="J65" s="21"/>
      <c r="K65" s="21"/>
      <c r="L65" s="21"/>
      <c r="M65" s="21"/>
      <c r="N65" s="27">
        <v>-18</v>
      </c>
      <c r="O65" s="21"/>
      <c r="P65" s="21"/>
    </row>
    <row r="66" spans="10:20" x14ac:dyDescent="0.15">
      <c r="J66" s="21"/>
      <c r="K66" s="21"/>
      <c r="L66" s="21"/>
      <c r="M66" s="21"/>
      <c r="N66" s="27">
        <v>-19</v>
      </c>
      <c r="O66" s="21"/>
      <c r="P66" s="21"/>
    </row>
    <row r="67" spans="10:20" ht="14.25" thickBot="1" x14ac:dyDescent="0.2">
      <c r="J67" s="21"/>
      <c r="K67" s="21"/>
      <c r="L67" s="21"/>
      <c r="M67" s="21"/>
      <c r="N67" s="30">
        <v>-20</v>
      </c>
      <c r="O67" s="21"/>
      <c r="P67" s="21"/>
    </row>
    <row r="68" spans="10:20" ht="14.25" thickTop="1" x14ac:dyDescent="0.15">
      <c r="R68" t="str">
        <f>チーム④!B7&amp;"中学校"</f>
        <v>金沢市立西南部中学校</v>
      </c>
      <c r="T68" t="str">
        <f>チーム④!B14</f>
        <v>千木　良介</v>
      </c>
    </row>
    <row r="69" spans="10:20" x14ac:dyDescent="0.15">
      <c r="R69">
        <f>チーム④!K4</f>
        <v>1</v>
      </c>
      <c r="S69" t="str">
        <f>チーム④!L4</f>
        <v>GK</v>
      </c>
      <c r="T69" t="str">
        <f>チーム④!M4</f>
        <v>松井　佑靜</v>
      </c>
    </row>
    <row r="70" spans="10:20" x14ac:dyDescent="0.15">
      <c r="R70">
        <f>チーム④!K5</f>
        <v>2</v>
      </c>
      <c r="S70" t="str">
        <f>チーム④!L5</f>
        <v>DF</v>
      </c>
      <c r="T70" t="str">
        <f>チーム④!M5</f>
        <v>松本　優士</v>
      </c>
    </row>
    <row r="71" spans="10:20" x14ac:dyDescent="0.15">
      <c r="R71">
        <f>チーム④!K6</f>
        <v>3</v>
      </c>
      <c r="S71" t="str">
        <f>チーム④!L6</f>
        <v>DF</v>
      </c>
      <c r="T71" t="str">
        <f>チーム④!M6</f>
        <v>諸田　恭佑</v>
      </c>
    </row>
    <row r="72" spans="10:20" x14ac:dyDescent="0.15">
      <c r="R72">
        <f>チーム④!K7</f>
        <v>4</v>
      </c>
      <c r="S72" t="str">
        <f>チーム④!L7</f>
        <v>DF</v>
      </c>
      <c r="T72" t="str">
        <f>チーム④!M7</f>
        <v>濱本　恒汰</v>
      </c>
    </row>
    <row r="73" spans="10:20" x14ac:dyDescent="0.15">
      <c r="R73">
        <f>チーム④!K8</f>
        <v>5</v>
      </c>
      <c r="S73" t="str">
        <f>チーム④!L8</f>
        <v>DF</v>
      </c>
      <c r="T73" t="str">
        <f>チーム④!M8</f>
        <v>陽本　健太</v>
      </c>
    </row>
    <row r="74" spans="10:20" x14ac:dyDescent="0.15">
      <c r="R74">
        <f>チーム④!K9</f>
        <v>6</v>
      </c>
      <c r="S74" t="str">
        <f>チーム④!L9</f>
        <v>MF</v>
      </c>
      <c r="T74" t="str">
        <f>チーム④!M9</f>
        <v>釣　輝昂</v>
      </c>
    </row>
    <row r="75" spans="10:20" x14ac:dyDescent="0.15">
      <c r="R75">
        <f>チーム④!K10</f>
        <v>7</v>
      </c>
      <c r="S75" t="str">
        <f>チーム④!L10</f>
        <v>MF</v>
      </c>
      <c r="T75" t="str">
        <f>チーム④!M10</f>
        <v>中農　響</v>
      </c>
    </row>
    <row r="76" spans="10:20" x14ac:dyDescent="0.15">
      <c r="R76">
        <f>チーム④!K11</f>
        <v>8</v>
      </c>
      <c r="S76" t="str">
        <f>チーム④!L11</f>
        <v>MF</v>
      </c>
      <c r="T76" t="str">
        <f>チーム④!M11</f>
        <v>松永　涼雅</v>
      </c>
    </row>
    <row r="77" spans="10:20" x14ac:dyDescent="0.15">
      <c r="R77">
        <f>チーム④!K12</f>
        <v>9</v>
      </c>
      <c r="S77" t="str">
        <f>チーム④!L12</f>
        <v>MF</v>
      </c>
      <c r="T77" t="str">
        <f>チーム④!M12</f>
        <v>上馬　大知</v>
      </c>
    </row>
    <row r="78" spans="10:20" x14ac:dyDescent="0.15">
      <c r="R78">
        <f>チーム④!K13</f>
        <v>10</v>
      </c>
      <c r="S78" t="str">
        <f>チーム④!L13</f>
        <v>MF</v>
      </c>
      <c r="T78" t="str">
        <f>チーム④!M13</f>
        <v>須﨑　由尊</v>
      </c>
    </row>
    <row r="79" spans="10:20" x14ac:dyDescent="0.15">
      <c r="R79">
        <f>チーム④!K14</f>
        <v>11</v>
      </c>
      <c r="S79" t="str">
        <f>チーム④!L14</f>
        <v>FW</v>
      </c>
      <c r="T79" t="str">
        <f>チーム④!M14</f>
        <v>杉山　真啓</v>
      </c>
    </row>
    <row r="80" spans="10:20" x14ac:dyDescent="0.15">
      <c r="R80">
        <f>チーム④!K15</f>
        <v>12</v>
      </c>
      <c r="S80" t="str">
        <f>チーム④!L15</f>
        <v>MF</v>
      </c>
      <c r="T80" t="str">
        <f>チーム④!M15</f>
        <v>村上　天馬</v>
      </c>
    </row>
    <row r="81" spans="18:20" x14ac:dyDescent="0.15">
      <c r="R81">
        <f>チーム④!K16</f>
        <v>13</v>
      </c>
      <c r="S81" t="str">
        <f>チーム④!L16</f>
        <v>FW</v>
      </c>
      <c r="T81" t="str">
        <f>チーム④!M16</f>
        <v>赤丸　太一</v>
      </c>
    </row>
    <row r="82" spans="18:20" x14ac:dyDescent="0.15">
      <c r="R82">
        <f>チーム④!K17</f>
        <v>14</v>
      </c>
      <c r="S82" t="str">
        <f>チーム④!L17</f>
        <v>MF</v>
      </c>
      <c r="T82" t="str">
        <f>チーム④!M17</f>
        <v>山﨑　壮</v>
      </c>
    </row>
    <row r="83" spans="18:20" x14ac:dyDescent="0.15">
      <c r="R83">
        <f>チーム④!K18</f>
        <v>15</v>
      </c>
      <c r="S83" t="str">
        <f>チーム④!L18</f>
        <v>DF</v>
      </c>
      <c r="T83" t="str">
        <f>チーム④!M18</f>
        <v>吉田　京矢</v>
      </c>
    </row>
    <row r="84" spans="18:20" x14ac:dyDescent="0.15">
      <c r="R84">
        <f>チーム④!K19</f>
        <v>16</v>
      </c>
      <c r="S84" t="str">
        <f>チーム④!L19</f>
        <v>GK</v>
      </c>
      <c r="T84" t="str">
        <f>チーム④!M19</f>
        <v>竹内　慎之助</v>
      </c>
    </row>
    <row r="85" spans="18:20" x14ac:dyDescent="0.15">
      <c r="R85">
        <f>チーム④!K20</f>
        <v>17</v>
      </c>
      <c r="S85" t="str">
        <f>チーム④!L20</f>
        <v>DF</v>
      </c>
      <c r="T85" t="str">
        <f>チーム④!M20</f>
        <v>小林　昂純</v>
      </c>
    </row>
    <row r="86" spans="18:20" x14ac:dyDescent="0.15">
      <c r="R86">
        <f>チーム④!K21</f>
        <v>18</v>
      </c>
      <c r="S86" t="str">
        <f>チーム④!L21</f>
        <v>DF</v>
      </c>
      <c r="T86" t="str">
        <f>チーム④!M21</f>
        <v>松井　大輝</v>
      </c>
    </row>
  </sheetData>
  <phoneticPr fontId="2"/>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pageSetUpPr fitToPage="1"/>
  </sheetPr>
  <dimension ref="A1:BN82"/>
  <sheetViews>
    <sheetView topLeftCell="A37" zoomScale="115" zoomScaleNormal="115" workbookViewId="0">
      <selection activeCell="AX27" sqref="AX27"/>
    </sheetView>
  </sheetViews>
  <sheetFormatPr defaultColWidth="9" defaultRowHeight="14.25" x14ac:dyDescent="0.2"/>
  <cols>
    <col min="1" max="10" width="3" style="352" customWidth="1"/>
    <col min="11" max="11" width="2.375" style="352" customWidth="1"/>
    <col min="12" max="13" width="0.625" style="352" customWidth="1"/>
    <col min="14" max="14" width="2.375" style="352" customWidth="1"/>
    <col min="15" max="34" width="3" style="352" customWidth="1"/>
    <col min="35" max="35" width="2.875" style="352" customWidth="1"/>
    <col min="36" max="41" width="2.625" style="352" customWidth="1"/>
    <col min="42" max="43" width="5.375" style="352" hidden="1" customWidth="1"/>
    <col min="44" max="44" width="7.375" style="352" hidden="1" customWidth="1"/>
    <col min="45" max="45" width="13.375" style="352" hidden="1" customWidth="1"/>
    <col min="46" max="47" width="5.375" style="352" hidden="1" customWidth="1"/>
    <col min="48" max="48" width="5.625" style="352" hidden="1" customWidth="1"/>
    <col min="49" max="49" width="13.125" style="352" hidden="1" customWidth="1"/>
    <col min="50" max="50" width="9" style="352"/>
    <col min="51" max="51" width="12.375" style="258" customWidth="1"/>
    <col min="52" max="52" width="3.125" style="258" customWidth="1"/>
    <col min="53" max="53" width="12.375" style="258" customWidth="1"/>
    <col min="54" max="54" width="3.125" style="258" customWidth="1"/>
    <col min="55" max="55" width="12.375" style="258" customWidth="1"/>
    <col min="56" max="56" width="3.125" style="258" customWidth="1"/>
    <col min="57" max="58" width="12.375" style="258" customWidth="1"/>
    <col min="59" max="59" width="3.125" style="258" customWidth="1"/>
    <col min="60" max="60" width="12.375" style="258" customWidth="1"/>
    <col min="61" max="61" width="3.125" style="258" customWidth="1"/>
    <col min="62" max="62" width="12.375" style="258" customWidth="1"/>
    <col min="63" max="63" width="3.125" style="258" customWidth="1"/>
    <col min="64" max="64" width="12.375" style="258" customWidth="1"/>
    <col min="65" max="65" width="3.125" style="258" customWidth="1"/>
    <col min="66" max="66" width="12.375" style="258" customWidth="1"/>
    <col min="67" max="16384" width="9" style="352"/>
  </cols>
  <sheetData>
    <row r="1" spans="1:66" ht="12.75" customHeight="1" thickBot="1" x14ac:dyDescent="0.25">
      <c r="A1" s="1189" t="s">
        <v>269</v>
      </c>
      <c r="B1" s="1189"/>
      <c r="C1" s="1189"/>
      <c r="D1" s="1189"/>
      <c r="E1" s="1189"/>
      <c r="F1" s="1189"/>
      <c r="G1" s="1189"/>
      <c r="H1" s="1189"/>
      <c r="I1" s="1189"/>
      <c r="J1" s="1189"/>
      <c r="K1" s="1189"/>
      <c r="L1" s="1189"/>
      <c r="M1" s="1189"/>
      <c r="N1" s="1189"/>
      <c r="O1" s="1189"/>
      <c r="P1" s="1189"/>
      <c r="Q1" s="351"/>
      <c r="R1" s="351"/>
      <c r="S1" s="351"/>
      <c r="T1" s="351"/>
      <c r="U1" s="351"/>
      <c r="V1" s="351"/>
      <c r="W1" s="1190" t="s">
        <v>270</v>
      </c>
      <c r="X1" s="1190"/>
      <c r="Y1" s="1190"/>
      <c r="Z1" s="1190"/>
      <c r="AA1" s="1190"/>
      <c r="AB1" s="1190"/>
      <c r="AC1" s="1190" t="s">
        <v>271</v>
      </c>
      <c r="AD1" s="1190"/>
      <c r="AE1" s="1190"/>
      <c r="AF1" s="1190"/>
      <c r="AG1" s="1190"/>
      <c r="AH1" s="1190"/>
      <c r="AY1" s="258" t="s">
        <v>272</v>
      </c>
      <c r="BA1" s="258" t="s">
        <v>273</v>
      </c>
      <c r="BC1" s="258" t="s">
        <v>274</v>
      </c>
      <c r="BE1" s="258" t="s">
        <v>275</v>
      </c>
      <c r="BH1" s="353" t="s">
        <v>276</v>
      </c>
      <c r="BI1" s="353"/>
      <c r="BJ1" s="353" t="s">
        <v>277</v>
      </c>
      <c r="BK1" s="353"/>
      <c r="BL1" s="353" t="s">
        <v>278</v>
      </c>
      <c r="BM1" s="353"/>
      <c r="BN1" s="353" t="s">
        <v>279</v>
      </c>
    </row>
    <row r="2" spans="1:66" ht="12.75" customHeight="1" thickTop="1" x14ac:dyDescent="0.2">
      <c r="A2" s="1201" t="str">
        <f ca="1">"第"&amp;YEAR(NOW())-1962&amp;"回 石川県中学校サッカー大会公式記録"</f>
        <v>第62回 石川県中学校サッカー大会公式記録</v>
      </c>
      <c r="B2" s="1201"/>
      <c r="C2" s="1201"/>
      <c r="D2" s="1201"/>
      <c r="E2" s="1201"/>
      <c r="F2" s="1201"/>
      <c r="G2" s="1201"/>
      <c r="H2" s="1201"/>
      <c r="I2" s="1201"/>
      <c r="J2" s="1201"/>
      <c r="K2" s="1201"/>
      <c r="L2" s="1201"/>
      <c r="M2" s="1201"/>
      <c r="N2" s="1201"/>
      <c r="O2" s="1201"/>
      <c r="P2" s="1201"/>
      <c r="Q2" s="1201"/>
      <c r="R2" s="1201"/>
      <c r="S2" s="1201"/>
      <c r="T2" s="1201"/>
      <c r="U2" s="1201"/>
      <c r="V2" s="354"/>
      <c r="W2" s="1191" t="str">
        <f>IF(F7="","",F7)</f>
        <v/>
      </c>
      <c r="X2" s="1191"/>
      <c r="Y2" s="1191"/>
      <c r="Z2" s="1191"/>
      <c r="AA2" s="1191"/>
      <c r="AB2" s="1191"/>
      <c r="AC2" s="1191" t="str">
        <f>IF(F8="","",F8)</f>
        <v/>
      </c>
      <c r="AD2" s="1191"/>
      <c r="AE2" s="1191"/>
      <c r="AF2" s="1191"/>
      <c r="AG2" s="1191"/>
      <c r="AH2" s="1191"/>
      <c r="AY2" s="355" t="s">
        <v>280</v>
      </c>
      <c r="BA2" s="355" t="s">
        <v>281</v>
      </c>
      <c r="BC2" s="355" t="s">
        <v>282</v>
      </c>
      <c r="BE2" s="356" t="s">
        <v>283</v>
      </c>
      <c r="BF2" s="355" t="s">
        <v>284</v>
      </c>
      <c r="BH2" s="357" t="s">
        <v>285</v>
      </c>
      <c r="BI2" s="353"/>
      <c r="BJ2" s="357">
        <v>5</v>
      </c>
      <c r="BK2" s="353"/>
      <c r="BL2" s="357">
        <v>45</v>
      </c>
      <c r="BM2" s="353"/>
      <c r="BN2" s="357" t="s">
        <v>286</v>
      </c>
    </row>
    <row r="3" spans="1:66" ht="12.75" customHeight="1" x14ac:dyDescent="0.2">
      <c r="A3" s="1201"/>
      <c r="B3" s="1201"/>
      <c r="C3" s="1201"/>
      <c r="D3" s="1201"/>
      <c r="E3" s="1201"/>
      <c r="F3" s="1201"/>
      <c r="G3" s="1201"/>
      <c r="H3" s="1201"/>
      <c r="I3" s="1201"/>
      <c r="J3" s="1201"/>
      <c r="K3" s="1201"/>
      <c r="L3" s="1201"/>
      <c r="M3" s="1201"/>
      <c r="N3" s="1201"/>
      <c r="O3" s="1201"/>
      <c r="P3" s="1201"/>
      <c r="Q3" s="1201"/>
      <c r="R3" s="1201"/>
      <c r="S3" s="1201"/>
      <c r="T3" s="1201"/>
      <c r="U3" s="1201"/>
      <c r="V3" s="354"/>
      <c r="W3" s="1192"/>
      <c r="X3" s="1192"/>
      <c r="Y3" s="1192"/>
      <c r="Z3" s="1192"/>
      <c r="AA3" s="1192"/>
      <c r="AB3" s="1192"/>
      <c r="AC3" s="1192"/>
      <c r="AD3" s="1192"/>
      <c r="AE3" s="1192"/>
      <c r="AF3" s="1192"/>
      <c r="AG3" s="1192"/>
      <c r="AH3" s="1192"/>
      <c r="AY3" s="358" t="s">
        <v>287</v>
      </c>
      <c r="BA3" s="358" t="s">
        <v>288</v>
      </c>
      <c r="BC3" s="358" t="s">
        <v>289</v>
      </c>
      <c r="BE3" s="359" t="s">
        <v>290</v>
      </c>
      <c r="BF3" s="358" t="s">
        <v>291</v>
      </c>
      <c r="BH3" s="360" t="s">
        <v>292</v>
      </c>
      <c r="BI3" s="353"/>
      <c r="BJ3" s="360">
        <v>10</v>
      </c>
      <c r="BK3" s="353"/>
      <c r="BL3" s="360">
        <v>44</v>
      </c>
      <c r="BM3" s="353"/>
      <c r="BN3" s="360" t="s">
        <v>293</v>
      </c>
    </row>
    <row r="4" spans="1:66" ht="12.75" customHeight="1" x14ac:dyDescent="0.2">
      <c r="A4" s="1193" t="s">
        <v>294</v>
      </c>
      <c r="B4" s="1193"/>
      <c r="C4" s="1193"/>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Y4" s="358" t="s">
        <v>295</v>
      </c>
      <c r="BA4" s="358" t="s">
        <v>296</v>
      </c>
      <c r="BC4" s="358" t="s">
        <v>297</v>
      </c>
      <c r="BE4" s="359"/>
      <c r="BF4" s="358"/>
      <c r="BH4" s="360" t="s">
        <v>298</v>
      </c>
      <c r="BI4" s="353"/>
      <c r="BJ4" s="360">
        <v>15</v>
      </c>
      <c r="BK4" s="353"/>
      <c r="BL4" s="360">
        <v>43</v>
      </c>
      <c r="BM4" s="353"/>
      <c r="BN4" s="360" t="s">
        <v>299</v>
      </c>
    </row>
    <row r="5" spans="1:66" ht="12.75" customHeight="1" x14ac:dyDescent="0.2">
      <c r="A5" s="1194" t="s">
        <v>300</v>
      </c>
      <c r="B5" s="1195"/>
      <c r="C5" s="1195"/>
      <c r="D5" s="1195"/>
      <c r="E5" s="1196">
        <f ca="1">マッチ第3!C9</f>
        <v>45488</v>
      </c>
      <c r="F5" s="1196"/>
      <c r="G5" s="1196"/>
      <c r="H5" s="1197"/>
      <c r="I5" s="1198">
        <f>マッチ第3!G9</f>
        <v>0.52083333333333337</v>
      </c>
      <c r="J5" s="1199"/>
      <c r="K5" s="1195" t="s">
        <v>301</v>
      </c>
      <c r="L5" s="1195"/>
      <c r="M5" s="1195"/>
      <c r="N5" s="1195"/>
      <c r="O5" s="1195" t="s">
        <v>302</v>
      </c>
      <c r="P5" s="1195"/>
      <c r="Q5" s="1195"/>
      <c r="R5" s="1195"/>
      <c r="S5" s="1195"/>
      <c r="T5" s="1195"/>
      <c r="U5" s="1195" t="s">
        <v>303</v>
      </c>
      <c r="V5" s="1195"/>
      <c r="W5" s="1195" t="str">
        <f>マッチ第3!C18</f>
        <v>金沢ゴーゴーカレースタジアム</v>
      </c>
      <c r="X5" s="1195"/>
      <c r="Y5" s="1195"/>
      <c r="Z5" s="1195"/>
      <c r="AA5" s="1195"/>
      <c r="AB5" s="1195"/>
      <c r="AC5" s="1195"/>
      <c r="AD5" s="1195"/>
      <c r="AE5" s="1195"/>
      <c r="AF5" s="1195"/>
      <c r="AG5" s="1195"/>
      <c r="AH5" s="1200"/>
      <c r="AY5" s="358" t="s">
        <v>304</v>
      </c>
      <c r="BA5" s="358" t="s">
        <v>305</v>
      </c>
      <c r="BC5" s="358" t="s">
        <v>306</v>
      </c>
      <c r="BE5" s="359"/>
      <c r="BF5" s="358"/>
      <c r="BH5" s="360" t="s">
        <v>307</v>
      </c>
      <c r="BI5" s="353"/>
      <c r="BJ5" s="360">
        <v>20</v>
      </c>
      <c r="BK5" s="353"/>
      <c r="BL5" s="360">
        <v>42</v>
      </c>
      <c r="BM5" s="353"/>
      <c r="BN5" s="360" t="s">
        <v>217</v>
      </c>
    </row>
    <row r="6" spans="1:66" ht="12.75" customHeight="1" x14ac:dyDescent="0.2">
      <c r="A6" s="1208" t="s">
        <v>308</v>
      </c>
      <c r="B6" s="1206"/>
      <c r="C6" s="1202"/>
      <c r="D6" s="1203"/>
      <c r="E6" s="1203"/>
      <c r="F6" s="1203"/>
      <c r="G6" s="1203"/>
      <c r="H6" s="1203"/>
      <c r="I6" s="1203"/>
      <c r="J6" s="1203"/>
      <c r="K6" s="1203"/>
      <c r="L6" s="1204"/>
      <c r="M6" s="1205"/>
      <c r="N6" s="1206" t="s">
        <v>309</v>
      </c>
      <c r="O6" s="1206"/>
      <c r="P6" s="1209"/>
      <c r="Q6" s="1210"/>
      <c r="R6" s="1206" t="s">
        <v>310</v>
      </c>
      <c r="S6" s="1206"/>
      <c r="T6" s="1211"/>
      <c r="U6" s="1212"/>
      <c r="V6" s="1206" t="s">
        <v>311</v>
      </c>
      <c r="W6" s="1206"/>
      <c r="X6" s="1206"/>
      <c r="Y6" s="1206"/>
      <c r="Z6" s="1206"/>
      <c r="AA6" s="1206" t="s">
        <v>312</v>
      </c>
      <c r="AB6" s="1206"/>
      <c r="AC6" s="1206"/>
      <c r="AD6" s="1206"/>
      <c r="AE6" s="1206"/>
      <c r="AF6" s="1206" t="s">
        <v>313</v>
      </c>
      <c r="AG6" s="1206"/>
      <c r="AH6" s="1207"/>
      <c r="AY6" s="358" t="s">
        <v>314</v>
      </c>
      <c r="BA6" s="358" t="s">
        <v>297</v>
      </c>
      <c r="BC6" s="358" t="s">
        <v>315</v>
      </c>
      <c r="BE6" s="359"/>
      <c r="BF6" s="358"/>
      <c r="BH6" s="360" t="s">
        <v>316</v>
      </c>
      <c r="BI6" s="353"/>
      <c r="BJ6" s="360">
        <v>25</v>
      </c>
      <c r="BK6" s="353"/>
      <c r="BL6" s="360">
        <v>41</v>
      </c>
      <c r="BM6" s="353"/>
      <c r="BN6" s="360"/>
    </row>
    <row r="7" spans="1:66" ht="12.75" customHeight="1" x14ac:dyDescent="0.2">
      <c r="A7" s="1208" t="s">
        <v>270</v>
      </c>
      <c r="B7" s="1206"/>
      <c r="C7" s="1206"/>
      <c r="D7" s="1206"/>
      <c r="E7" s="1206"/>
      <c r="F7" s="1206"/>
      <c r="G7" s="1206"/>
      <c r="H7" s="1206"/>
      <c r="I7" s="1206"/>
      <c r="J7" s="1206"/>
      <c r="K7" s="1206" t="s">
        <v>317</v>
      </c>
      <c r="L7" s="1206"/>
      <c r="M7" s="1206"/>
      <c r="N7" s="1206"/>
      <c r="O7" s="1206"/>
      <c r="P7" s="1206"/>
      <c r="Q7" s="1206"/>
      <c r="R7" s="1206"/>
      <c r="S7" s="1206"/>
      <c r="T7" s="1206" t="s">
        <v>318</v>
      </c>
      <c r="U7" s="1206"/>
      <c r="V7" s="1206"/>
      <c r="W7" s="1206"/>
      <c r="X7" s="1206"/>
      <c r="Y7" s="1206"/>
      <c r="Z7" s="1206"/>
      <c r="AA7" s="361" t="s">
        <v>319</v>
      </c>
      <c r="AB7" s="1206"/>
      <c r="AC7" s="1206"/>
      <c r="AD7" s="1206"/>
      <c r="AE7" s="1206"/>
      <c r="AF7" s="1220"/>
      <c r="AG7" s="1220"/>
      <c r="AH7" s="1221"/>
      <c r="AY7" s="358" t="s">
        <v>320</v>
      </c>
      <c r="BA7" s="358" t="s">
        <v>289</v>
      </c>
      <c r="BC7" s="358" t="s">
        <v>321</v>
      </c>
      <c r="BE7" s="359"/>
      <c r="BF7" s="358"/>
      <c r="BH7" s="360" t="s">
        <v>322</v>
      </c>
      <c r="BI7" s="353"/>
      <c r="BJ7" s="360">
        <v>30</v>
      </c>
      <c r="BK7" s="353"/>
      <c r="BL7" s="360">
        <v>40</v>
      </c>
      <c r="BM7" s="353"/>
      <c r="BN7" s="360"/>
    </row>
    <row r="8" spans="1:66" ht="12.75" customHeight="1" x14ac:dyDescent="0.2">
      <c r="A8" s="1225" t="s">
        <v>271</v>
      </c>
      <c r="B8" s="1224"/>
      <c r="C8" s="1224"/>
      <c r="D8" s="1224"/>
      <c r="E8" s="1224"/>
      <c r="F8" s="1206"/>
      <c r="G8" s="1206"/>
      <c r="H8" s="1206"/>
      <c r="I8" s="1206"/>
      <c r="J8" s="1206"/>
      <c r="K8" s="1224" t="s">
        <v>323</v>
      </c>
      <c r="L8" s="1224"/>
      <c r="M8" s="1224"/>
      <c r="N8" s="1224"/>
      <c r="O8" s="1206"/>
      <c r="P8" s="1206"/>
      <c r="Q8" s="1206"/>
      <c r="R8" s="1206"/>
      <c r="S8" s="1206"/>
      <c r="T8" s="1224" t="s">
        <v>324</v>
      </c>
      <c r="U8" s="1224"/>
      <c r="V8" s="1206"/>
      <c r="W8" s="1206"/>
      <c r="X8" s="1206"/>
      <c r="Y8" s="1206"/>
      <c r="Z8" s="1206"/>
      <c r="AA8" s="362" t="s">
        <v>325</v>
      </c>
      <c r="AB8" s="1224"/>
      <c r="AC8" s="1224"/>
      <c r="AD8" s="1224"/>
      <c r="AE8" s="1224"/>
      <c r="AF8" s="1222"/>
      <c r="AG8" s="1222"/>
      <c r="AH8" s="1223"/>
      <c r="AY8" s="358" t="s">
        <v>326</v>
      </c>
      <c r="BA8" s="358" t="s">
        <v>327</v>
      </c>
      <c r="BC8" s="358" t="s">
        <v>328</v>
      </c>
      <c r="BE8" s="359"/>
      <c r="BF8" s="358"/>
      <c r="BH8" s="360"/>
      <c r="BI8" s="353"/>
      <c r="BJ8" s="360">
        <v>35</v>
      </c>
      <c r="BK8" s="353"/>
      <c r="BL8" s="360">
        <v>39</v>
      </c>
      <c r="BM8" s="353"/>
      <c r="BN8" s="360"/>
    </row>
    <row r="9" spans="1:66" ht="15" customHeight="1" x14ac:dyDescent="0.2">
      <c r="A9" s="1226" t="str">
        <f>IF(ISERROR(FIND("立",AQ17)),"",LEFT(AQ17,FIND("立",AQ17)))</f>
        <v/>
      </c>
      <c r="B9" s="1227"/>
      <c r="C9" s="1227"/>
      <c r="D9" s="1227"/>
      <c r="E9" s="1227"/>
      <c r="F9" s="363"/>
      <c r="G9" s="363"/>
      <c r="H9" s="363"/>
      <c r="I9" s="364"/>
      <c r="J9" s="1379"/>
      <c r="K9" s="1370"/>
      <c r="L9" s="1370"/>
      <c r="M9" s="1370"/>
      <c r="N9" s="1370"/>
      <c r="O9" s="1215"/>
      <c r="P9" s="1216"/>
      <c r="Q9" s="1217" t="s">
        <v>329</v>
      </c>
      <c r="R9" s="1218"/>
      <c r="S9" s="1218"/>
      <c r="T9" s="1219"/>
      <c r="U9" s="1368"/>
      <c r="V9" s="1369"/>
      <c r="W9" s="1370"/>
      <c r="X9" s="1370"/>
      <c r="Y9" s="1371"/>
      <c r="Z9" s="1226" t="str">
        <f>IF(ISERROR(FIND("立",AU17)),"",LEFT(AU17,FIND("立",AU17)))</f>
        <v/>
      </c>
      <c r="AA9" s="1227"/>
      <c r="AB9" s="1227"/>
      <c r="AC9" s="1227"/>
      <c r="AD9" s="1227"/>
      <c r="AE9" s="363"/>
      <c r="AF9" s="363"/>
      <c r="AG9" s="363"/>
      <c r="AH9" s="364"/>
      <c r="AY9" s="358" t="s">
        <v>330</v>
      </c>
      <c r="BA9" s="358" t="s">
        <v>331</v>
      </c>
      <c r="BC9" s="358"/>
      <c r="BE9" s="359"/>
      <c r="BF9" s="358"/>
      <c r="BH9" s="360"/>
      <c r="BI9" s="353"/>
      <c r="BJ9" s="360">
        <v>40</v>
      </c>
      <c r="BK9" s="353"/>
      <c r="BL9" s="360">
        <v>38</v>
      </c>
      <c r="BM9" s="353"/>
      <c r="BN9" s="360"/>
    </row>
    <row r="10" spans="1:66" ht="12.75" hidden="1" customHeight="1" x14ac:dyDescent="0.2">
      <c r="A10" s="365" t="str">
        <f>'県体(赤)'!N14</f>
        <v/>
      </c>
      <c r="B10" s="366" t="str">
        <f>Z10</f>
        <v/>
      </c>
      <c r="C10" s="354"/>
      <c r="D10" s="354"/>
      <c r="E10" s="354"/>
      <c r="F10" s="354"/>
      <c r="G10" s="354"/>
      <c r="H10" s="354"/>
      <c r="I10" s="367"/>
      <c r="J10" s="1380"/>
      <c r="K10" s="1372"/>
      <c r="L10" s="1372"/>
      <c r="M10" s="1372"/>
      <c r="N10" s="1372"/>
      <c r="O10" s="1230"/>
      <c r="P10" s="1231"/>
      <c r="Q10" s="368"/>
      <c r="R10" s="369"/>
      <c r="S10" s="369"/>
      <c r="T10" s="370"/>
      <c r="U10" s="1228"/>
      <c r="V10" s="1229"/>
      <c r="W10" s="1372"/>
      <c r="X10" s="1372"/>
      <c r="Y10" s="1373"/>
      <c r="Z10" s="365" t="str">
        <f>'県体(赤)'!AX14</f>
        <v/>
      </c>
      <c r="AA10" s="354"/>
      <c r="AB10" s="354"/>
      <c r="AC10" s="354"/>
      <c r="AD10" s="354"/>
      <c r="AE10" s="354"/>
      <c r="AF10" s="354"/>
      <c r="AG10" s="354"/>
      <c r="AH10" s="367"/>
      <c r="AY10" s="358" t="s">
        <v>332</v>
      </c>
      <c r="BA10" s="358"/>
      <c r="BC10" s="358"/>
      <c r="BE10" s="359"/>
      <c r="BF10" s="358"/>
      <c r="BH10" s="360"/>
      <c r="BI10" s="353"/>
      <c r="BJ10" s="360">
        <v>45</v>
      </c>
      <c r="BK10" s="353"/>
      <c r="BL10" s="360">
        <v>37</v>
      </c>
      <c r="BM10" s="353"/>
      <c r="BN10" s="360"/>
    </row>
    <row r="11" spans="1:66" ht="15" customHeight="1" x14ac:dyDescent="0.2">
      <c r="A11" s="1362" t="str">
        <f>IF(ISERROR(FIND("立",AQ17)),AQ17,MID(AQ17,FIND("立",AQ17)+1,10))</f>
        <v/>
      </c>
      <c r="B11" s="1363"/>
      <c r="C11" s="1363"/>
      <c r="D11" s="1363"/>
      <c r="E11" s="1363"/>
      <c r="F11" s="1363"/>
      <c r="G11" s="1363"/>
      <c r="H11" s="1363"/>
      <c r="I11" s="1364"/>
      <c r="J11" s="1380"/>
      <c r="K11" s="1372"/>
      <c r="L11" s="1372"/>
      <c r="M11" s="1372"/>
      <c r="N11" s="1372"/>
      <c r="O11" s="1376"/>
      <c r="P11" s="1377"/>
      <c r="Q11" s="1382" t="s">
        <v>333</v>
      </c>
      <c r="R11" s="1250"/>
      <c r="S11" s="1250"/>
      <c r="T11" s="1383"/>
      <c r="U11" s="1213"/>
      <c r="V11" s="1214"/>
      <c r="W11" s="1372"/>
      <c r="X11" s="1372"/>
      <c r="Y11" s="1373"/>
      <c r="Z11" s="1362" t="str">
        <f>IF(ISERROR(FIND("立",AU17)),AU17,MID(AU17,FIND("立",AU17)+1,10))</f>
        <v/>
      </c>
      <c r="AA11" s="1365"/>
      <c r="AB11" s="1365"/>
      <c r="AC11" s="1365"/>
      <c r="AD11" s="1365"/>
      <c r="AE11" s="1365"/>
      <c r="AF11" s="1365"/>
      <c r="AG11" s="1365"/>
      <c r="AH11" s="1366"/>
      <c r="AY11" s="358" t="s">
        <v>334</v>
      </c>
      <c r="BA11" s="358"/>
      <c r="BC11" s="358"/>
      <c r="BE11" s="359"/>
      <c r="BF11" s="358"/>
      <c r="BH11" s="360"/>
      <c r="BI11" s="353"/>
      <c r="BJ11" s="360">
        <v>50</v>
      </c>
      <c r="BK11" s="353"/>
      <c r="BL11" s="360">
        <v>36</v>
      </c>
      <c r="BM11" s="353"/>
      <c r="BN11" s="360"/>
    </row>
    <row r="12" spans="1:66" ht="15" customHeight="1" x14ac:dyDescent="0.2">
      <c r="A12" s="1362"/>
      <c r="B12" s="1363"/>
      <c r="C12" s="1363"/>
      <c r="D12" s="1363"/>
      <c r="E12" s="1363"/>
      <c r="F12" s="1363"/>
      <c r="G12" s="1363"/>
      <c r="H12" s="1363"/>
      <c r="I12" s="1364"/>
      <c r="J12" s="1380"/>
      <c r="K12" s="1372"/>
      <c r="L12" s="1372"/>
      <c r="M12" s="1372"/>
      <c r="N12" s="1372"/>
      <c r="O12" s="1215"/>
      <c r="P12" s="1216"/>
      <c r="Q12" s="1217" t="s">
        <v>245</v>
      </c>
      <c r="R12" s="1218"/>
      <c r="S12" s="1218"/>
      <c r="T12" s="1219"/>
      <c r="U12" s="1368"/>
      <c r="V12" s="1369"/>
      <c r="W12" s="1372"/>
      <c r="X12" s="1372"/>
      <c r="Y12" s="1373"/>
      <c r="Z12" s="1367"/>
      <c r="AA12" s="1365"/>
      <c r="AB12" s="1365"/>
      <c r="AC12" s="1365"/>
      <c r="AD12" s="1365"/>
      <c r="AE12" s="1365"/>
      <c r="AF12" s="1365"/>
      <c r="AG12" s="1365"/>
      <c r="AH12" s="1366"/>
      <c r="AY12" s="358" t="s">
        <v>335</v>
      </c>
      <c r="BA12" s="358"/>
      <c r="BC12" s="358"/>
      <c r="BE12" s="359"/>
      <c r="BF12" s="358"/>
      <c r="BH12" s="360"/>
      <c r="BI12" s="353"/>
      <c r="BJ12" s="360">
        <v>55</v>
      </c>
      <c r="BK12" s="353"/>
      <c r="BL12" s="360">
        <v>35</v>
      </c>
      <c r="BM12" s="353"/>
      <c r="BN12" s="360"/>
    </row>
    <row r="13" spans="1:66" ht="15" customHeight="1" x14ac:dyDescent="0.2">
      <c r="A13" s="1358" t="str">
        <f>AQ18</f>
        <v/>
      </c>
      <c r="B13" s="1359"/>
      <c r="C13" s="1359"/>
      <c r="D13" s="1359"/>
      <c r="E13" s="1359"/>
      <c r="F13" s="1359"/>
      <c r="G13" s="1359"/>
      <c r="H13" s="1360"/>
      <c r="I13" s="1361"/>
      <c r="J13" s="1380"/>
      <c r="K13" s="1372"/>
      <c r="L13" s="1372"/>
      <c r="M13" s="1372"/>
      <c r="N13" s="1372"/>
      <c r="O13" s="1376"/>
      <c r="P13" s="1377"/>
      <c r="Q13" s="1311" t="s">
        <v>246</v>
      </c>
      <c r="R13" s="1378"/>
      <c r="S13" s="1378"/>
      <c r="T13" s="1286"/>
      <c r="U13" s="1213"/>
      <c r="V13" s="1214"/>
      <c r="W13" s="1372"/>
      <c r="X13" s="1372"/>
      <c r="Y13" s="1373"/>
      <c r="Z13" s="1358" t="str">
        <f>AU18</f>
        <v/>
      </c>
      <c r="AA13" s="1359"/>
      <c r="AB13" s="1359"/>
      <c r="AC13" s="1359"/>
      <c r="AD13" s="1359"/>
      <c r="AE13" s="1359"/>
      <c r="AF13" s="1359"/>
      <c r="AG13" s="1360"/>
      <c r="AH13" s="1361"/>
      <c r="AY13" s="358" t="s">
        <v>336</v>
      </c>
      <c r="BA13" s="358"/>
      <c r="BC13" s="358"/>
      <c r="BE13" s="359"/>
      <c r="BF13" s="358"/>
      <c r="BH13" s="360"/>
      <c r="BI13" s="353"/>
      <c r="BJ13" s="360">
        <v>60</v>
      </c>
      <c r="BK13" s="353"/>
      <c r="BL13" s="360">
        <v>34</v>
      </c>
      <c r="BM13" s="353"/>
      <c r="BN13" s="360"/>
    </row>
    <row r="14" spans="1:66" ht="15" customHeight="1" x14ac:dyDescent="0.2">
      <c r="A14" s="365"/>
      <c r="B14" s="354"/>
      <c r="C14" s="354"/>
      <c r="D14" s="354"/>
      <c r="E14" s="354"/>
      <c r="F14" s="354"/>
      <c r="I14" s="371"/>
      <c r="J14" s="1380"/>
      <c r="K14" s="1372"/>
      <c r="L14" s="1372"/>
      <c r="M14" s="1372"/>
      <c r="N14" s="1372"/>
      <c r="O14" s="1215"/>
      <c r="P14" s="1216"/>
      <c r="Q14" s="1217"/>
      <c r="R14" s="1218"/>
      <c r="S14" s="1218"/>
      <c r="T14" s="1219"/>
      <c r="U14" s="1368"/>
      <c r="V14" s="1369"/>
      <c r="W14" s="1372"/>
      <c r="X14" s="1372"/>
      <c r="Y14" s="1373"/>
      <c r="Z14" s="354"/>
      <c r="AA14" s="1280"/>
      <c r="AB14" s="1280"/>
      <c r="AC14" s="354"/>
      <c r="AD14" s="354"/>
      <c r="AE14" s="354"/>
      <c r="AF14" s="354"/>
      <c r="AG14" s="354"/>
      <c r="AH14" s="371"/>
      <c r="AY14" s="358" t="s">
        <v>337</v>
      </c>
      <c r="BA14" s="358"/>
      <c r="BC14" s="358"/>
      <c r="BE14" s="359"/>
      <c r="BF14" s="358"/>
      <c r="BH14" s="360"/>
      <c r="BI14" s="353"/>
      <c r="BJ14" s="360">
        <v>65</v>
      </c>
      <c r="BK14" s="353"/>
      <c r="BL14" s="360">
        <v>33</v>
      </c>
      <c r="BM14" s="353"/>
      <c r="BN14" s="360"/>
    </row>
    <row r="15" spans="1:66" ht="15" customHeight="1" x14ac:dyDescent="0.2">
      <c r="A15" s="365"/>
      <c r="B15" s="354"/>
      <c r="C15" s="354"/>
      <c r="D15" s="354"/>
      <c r="E15" s="354"/>
      <c r="F15" s="354"/>
      <c r="G15" s="1280" t="s">
        <v>338</v>
      </c>
      <c r="H15" s="1280"/>
      <c r="I15" s="371"/>
      <c r="J15" s="1381"/>
      <c r="K15" s="1374"/>
      <c r="L15" s="1374"/>
      <c r="M15" s="1374"/>
      <c r="N15" s="1374"/>
      <c r="O15" s="1376"/>
      <c r="P15" s="1377"/>
      <c r="Q15" s="1311"/>
      <c r="R15" s="1378"/>
      <c r="S15" s="1378"/>
      <c r="T15" s="1286"/>
      <c r="U15" s="1213"/>
      <c r="V15" s="1214"/>
      <c r="W15" s="1374"/>
      <c r="X15" s="1374"/>
      <c r="Y15" s="1375"/>
      <c r="Z15" s="354"/>
      <c r="AA15" s="1280" t="s">
        <v>338</v>
      </c>
      <c r="AB15" s="1280"/>
      <c r="AC15" s="354"/>
      <c r="AD15" s="354"/>
      <c r="AE15" s="354"/>
      <c r="AF15" s="354"/>
      <c r="AG15" s="354"/>
      <c r="AH15" s="371"/>
      <c r="AY15" s="358" t="s">
        <v>339</v>
      </c>
      <c r="BA15" s="358"/>
      <c r="BC15" s="358"/>
      <c r="BE15" s="359"/>
      <c r="BF15" s="358"/>
      <c r="BH15" s="360"/>
      <c r="BI15" s="353"/>
      <c r="BJ15" s="360">
        <v>70</v>
      </c>
      <c r="BK15" s="353"/>
      <c r="BL15" s="360">
        <v>32</v>
      </c>
      <c r="BM15" s="353"/>
      <c r="BN15" s="360"/>
    </row>
    <row r="16" spans="1:66" ht="12.75" customHeight="1" x14ac:dyDescent="0.2">
      <c r="A16" s="372"/>
      <c r="B16" s="373"/>
      <c r="C16" s="373"/>
      <c r="D16" s="373"/>
      <c r="E16" s="373"/>
      <c r="F16" s="373"/>
      <c r="G16" s="373"/>
      <c r="H16" s="373"/>
      <c r="I16" s="374"/>
      <c r="J16" s="1232"/>
      <c r="K16" s="1233"/>
      <c r="L16" s="1233"/>
      <c r="M16" s="1233"/>
      <c r="N16" s="1233"/>
      <c r="O16" s="1234" t="str">
        <f>IF('県体(赤)'!AE19="","",'県体(赤)'!AE19)</f>
        <v/>
      </c>
      <c r="P16" s="1235"/>
      <c r="Q16" s="1236" t="str">
        <f>IF(O16="","","PK")</f>
        <v/>
      </c>
      <c r="R16" s="1233"/>
      <c r="S16" s="1233"/>
      <c r="T16" s="1237"/>
      <c r="U16" s="1238" t="str">
        <f>IF('県体(赤)'!AH19="","",'県体(赤)'!AH19)</f>
        <v/>
      </c>
      <c r="V16" s="1234"/>
      <c r="W16" s="1233"/>
      <c r="X16" s="1233"/>
      <c r="Y16" s="1239"/>
      <c r="Z16" s="372"/>
      <c r="AA16" s="373"/>
      <c r="AB16" s="373"/>
      <c r="AC16" s="373"/>
      <c r="AD16" s="373"/>
      <c r="AE16" s="373"/>
      <c r="AF16" s="373"/>
      <c r="AG16" s="373"/>
      <c r="AH16" s="374"/>
      <c r="AY16" s="358" t="s">
        <v>340</v>
      </c>
      <c r="BA16" s="358"/>
      <c r="BC16" s="358"/>
      <c r="BE16" s="359"/>
      <c r="BF16" s="358"/>
      <c r="BH16" s="360"/>
      <c r="BI16" s="353"/>
      <c r="BJ16" s="360">
        <v>75</v>
      </c>
      <c r="BK16" s="353"/>
      <c r="BL16" s="360">
        <v>31</v>
      </c>
      <c r="BM16" s="353"/>
      <c r="BN16" s="360"/>
    </row>
    <row r="17" spans="1:66" ht="12.75" customHeight="1" x14ac:dyDescent="0.2">
      <c r="A17" s="1240" t="s">
        <v>341</v>
      </c>
      <c r="B17" s="1242" t="s">
        <v>342</v>
      </c>
      <c r="C17" s="1243"/>
      <c r="D17" s="1219" t="s">
        <v>343</v>
      </c>
      <c r="E17" s="1246"/>
      <c r="F17" s="1246"/>
      <c r="G17" s="1246"/>
      <c r="H17" s="1243"/>
      <c r="I17" s="1247" t="s">
        <v>344</v>
      </c>
      <c r="J17" s="1240" t="s">
        <v>345</v>
      </c>
      <c r="K17" s="1218"/>
      <c r="L17" s="1218"/>
      <c r="M17" s="1218"/>
      <c r="N17" s="1218"/>
      <c r="O17" s="1218"/>
      <c r="P17" s="1218"/>
      <c r="Q17" s="1247" t="s">
        <v>346</v>
      </c>
      <c r="R17" s="1258" t="s">
        <v>347</v>
      </c>
      <c r="S17" s="1247" t="s">
        <v>347</v>
      </c>
      <c r="T17" s="1247" t="s">
        <v>346</v>
      </c>
      <c r="U17" s="1218" t="s">
        <v>345</v>
      </c>
      <c r="V17" s="1218"/>
      <c r="W17" s="1218"/>
      <c r="X17" s="1218"/>
      <c r="Y17" s="1253"/>
      <c r="Z17" s="1247" t="s">
        <v>344</v>
      </c>
      <c r="AA17" s="1240" t="s">
        <v>343</v>
      </c>
      <c r="AB17" s="1218"/>
      <c r="AC17" s="1218"/>
      <c r="AD17" s="1218"/>
      <c r="AE17" s="1253"/>
      <c r="AF17" s="1240" t="s">
        <v>342</v>
      </c>
      <c r="AG17" s="1253"/>
      <c r="AH17" s="1253" t="s">
        <v>341</v>
      </c>
      <c r="AQ17" s="352" t="str">
        <f>マッチ第3!E10</f>
        <v/>
      </c>
      <c r="AU17" s="352" t="str">
        <f>マッチ第3!I10</f>
        <v/>
      </c>
      <c r="AY17" s="358" t="s">
        <v>348</v>
      </c>
      <c r="BA17" s="358"/>
      <c r="BC17" s="358"/>
      <c r="BE17" s="359"/>
      <c r="BF17" s="358"/>
      <c r="BH17" s="360"/>
      <c r="BI17" s="353"/>
      <c r="BJ17" s="360">
        <v>80</v>
      </c>
      <c r="BK17" s="353"/>
      <c r="BL17" s="360">
        <v>30</v>
      </c>
      <c r="BM17" s="353"/>
      <c r="BN17" s="360"/>
    </row>
    <row r="18" spans="1:66" ht="12.75" customHeight="1" x14ac:dyDescent="0.2">
      <c r="A18" s="1241"/>
      <c r="B18" s="1244"/>
      <c r="C18" s="1245"/>
      <c r="D18" s="375"/>
      <c r="E18" s="376"/>
      <c r="F18" s="377" t="s">
        <v>349</v>
      </c>
      <c r="G18" s="378" t="s">
        <v>350</v>
      </c>
      <c r="H18" s="379" t="s">
        <v>351</v>
      </c>
      <c r="I18" s="1248"/>
      <c r="J18" s="1249"/>
      <c r="K18" s="1250"/>
      <c r="L18" s="1250"/>
      <c r="M18" s="1250"/>
      <c r="N18" s="1250"/>
      <c r="O18" s="1250"/>
      <c r="P18" s="1250"/>
      <c r="Q18" s="1248"/>
      <c r="R18" s="1259"/>
      <c r="S18" s="1248"/>
      <c r="T18" s="1248"/>
      <c r="U18" s="1250"/>
      <c r="V18" s="1250"/>
      <c r="W18" s="1250"/>
      <c r="X18" s="1250"/>
      <c r="Y18" s="1260"/>
      <c r="Z18" s="1248"/>
      <c r="AA18" s="380" t="s">
        <v>351</v>
      </c>
      <c r="AB18" s="380" t="s">
        <v>350</v>
      </c>
      <c r="AC18" s="378" t="s">
        <v>349</v>
      </c>
      <c r="AD18" s="377"/>
      <c r="AE18" s="379"/>
      <c r="AF18" s="1241"/>
      <c r="AG18" s="1254"/>
      <c r="AH18" s="1254"/>
      <c r="AQ18" s="352" t="str">
        <f>IF('県体(赤)'!N14="","","("&amp;VLOOKUP('県体(赤)'!#REF!,県体学校名!$C$4:$I$19,2,FALSE)&amp;")")</f>
        <v/>
      </c>
      <c r="AR18" s="381" t="s">
        <v>352</v>
      </c>
      <c r="AS18" s="382" t="e">
        <f>VLOOKUP(AQ17,データ!$R$2:$T$86,3,FALSE)</f>
        <v>#N/A</v>
      </c>
      <c r="AU18" s="352" t="str">
        <f>IF('県体(赤)'!AX14="","","("&amp;VLOOKUP('県体(赤)'!#REF!,県体学校名!$C$4:$I$19,2,FALSE)&amp;")")</f>
        <v/>
      </c>
      <c r="AV18" s="381" t="s">
        <v>352</v>
      </c>
      <c r="AW18" s="382" t="e">
        <f>VLOOKUP(AU17,データ!$R$2:$T$86,3,FALSE)</f>
        <v>#N/A</v>
      </c>
      <c r="AY18" s="358" t="s">
        <v>353</v>
      </c>
      <c r="BA18" s="358"/>
      <c r="BC18" s="358"/>
      <c r="BE18" s="359"/>
      <c r="BF18" s="358"/>
      <c r="BH18" s="360"/>
      <c r="BI18" s="353"/>
      <c r="BJ18" s="360">
        <v>85</v>
      </c>
      <c r="BK18" s="353"/>
      <c r="BL18" s="360">
        <v>29</v>
      </c>
      <c r="BM18" s="353"/>
      <c r="BN18" s="360"/>
    </row>
    <row r="19" spans="1:66" ht="12.75" customHeight="1" x14ac:dyDescent="0.2">
      <c r="A19" s="383"/>
      <c r="B19" s="384"/>
      <c r="C19" s="385"/>
      <c r="D19" s="386"/>
      <c r="E19" s="387"/>
      <c r="F19" s="384"/>
      <c r="G19" s="385"/>
      <c r="H19" s="388" t="str">
        <f t="shared" ref="H19:H33" si="0">IF(F19+G19=0,"",F19+G19)</f>
        <v/>
      </c>
      <c r="I19" s="383" t="str">
        <f t="shared" ref="I19:I36" si="1">IF(OR($A$10="",COUNTIF($AI$49:$AI$59,$A$10&amp;Q19&amp;J19)=0),"",COUNTIF($AI$49:$AI$59,$A$10&amp;Q19&amp;J19))</f>
        <v/>
      </c>
      <c r="J19" s="1255" t="str">
        <f>IF(Q19="","",VLOOKUP(Q19,$AQ$19:$AS$36,3,FALSE))</f>
        <v/>
      </c>
      <c r="K19" s="1256"/>
      <c r="L19" s="1256"/>
      <c r="M19" s="1256"/>
      <c r="N19" s="1256"/>
      <c r="O19" s="1256"/>
      <c r="P19" s="1257"/>
      <c r="Q19" s="383"/>
      <c r="R19" s="383" t="str">
        <f t="shared" ref="R19:R36" si="2">IF(Q19="","",VLOOKUP(Q19,$AQ$19:$AS$36,2,FALSE))</f>
        <v/>
      </c>
      <c r="S19" s="389" t="str">
        <f t="shared" ref="S19:S36" si="3">IF(T19="","",VLOOKUP(T19,$AU$19:$AW$36,2,FALSE))</f>
        <v/>
      </c>
      <c r="T19" s="383"/>
      <c r="U19" s="1255" t="str">
        <f t="shared" ref="U19:U36" si="4">IF(T19="","",VLOOKUP(T19,$AU$19:$AW$36,3,FALSE))</f>
        <v/>
      </c>
      <c r="V19" s="1256"/>
      <c r="W19" s="1256"/>
      <c r="X19" s="1256"/>
      <c r="Y19" s="1257"/>
      <c r="Z19" s="388" t="str">
        <f t="shared" ref="Z19:Z36" si="5">IF(OR($Z$10="",COUNTIF($AI$49:$AI$59,$Z$10&amp;T19&amp;U19)=0),"",COUNTIF($AI$49:$AI$59,$Z$10&amp;T19&amp;U19))</f>
        <v/>
      </c>
      <c r="AA19" s="383" t="str">
        <f t="shared" ref="AA19:AA36" si="6">IF(AB19+AC19=0,"",AB19+AC19)</f>
        <v/>
      </c>
      <c r="AB19" s="383"/>
      <c r="AC19" s="385"/>
      <c r="AD19" s="384"/>
      <c r="AE19" s="388"/>
      <c r="AF19" s="383"/>
      <c r="AG19" s="385"/>
      <c r="AH19" s="388"/>
      <c r="AP19" s="352">
        <v>1</v>
      </c>
      <c r="AQ19" s="382" t="e">
        <f>INDEX(データ!$R$2:$T$86,MATCH(AQ$17,データ!$R$2:$R$86,0)+AP19,AQ$37-1)</f>
        <v>#N/A</v>
      </c>
      <c r="AR19" s="382" t="e">
        <f>INDEX(データ!$R$2:$T$86,MATCH(AQ$17,データ!$R$2:$R$86,0)+AP19,AR$37-1)</f>
        <v>#N/A</v>
      </c>
      <c r="AS19" s="382" t="e">
        <f>INDEX(データ!$R$2:$T$86,MATCH(AQ$17,データ!$R$2:$R$86,0)+AP19,AS$37-1)</f>
        <v>#N/A</v>
      </c>
      <c r="AT19" s="352">
        <v>1</v>
      </c>
      <c r="AU19" s="382" t="e">
        <f>INDEX(データ!$R$2:$T$86,MATCH(AU$17,データ!$R$2:$R$86,0)+AT19,AU$37-1)</f>
        <v>#N/A</v>
      </c>
      <c r="AV19" s="382" t="e">
        <f>INDEX(データ!$R$2:$T$86,MATCH(AU$17,データ!$R$2:$R$86,0)+AT19,AV$37-1)</f>
        <v>#N/A</v>
      </c>
      <c r="AW19" s="382" t="e">
        <f>INDEX(データ!$R$2:$T$86,MATCH(AU$17,データ!$R$2:$R$86,0)+AT19,AW$37-1)</f>
        <v>#N/A</v>
      </c>
      <c r="AY19" s="358" t="s">
        <v>354</v>
      </c>
      <c r="BA19" s="358"/>
      <c r="BC19" s="358"/>
      <c r="BE19" s="359"/>
      <c r="BF19" s="358"/>
      <c r="BH19" s="360"/>
      <c r="BI19" s="353"/>
      <c r="BJ19" s="360">
        <v>90</v>
      </c>
      <c r="BK19" s="353"/>
      <c r="BL19" s="360">
        <v>28</v>
      </c>
      <c r="BM19" s="353"/>
      <c r="BN19" s="360"/>
    </row>
    <row r="20" spans="1:66" ht="12.75" customHeight="1" x14ac:dyDescent="0.2">
      <c r="A20" s="390"/>
      <c r="B20" s="391"/>
      <c r="C20" s="392"/>
      <c r="D20" s="393"/>
      <c r="E20" s="394"/>
      <c r="F20" s="391"/>
      <c r="G20" s="392"/>
      <c r="H20" s="395" t="str">
        <f t="shared" si="0"/>
        <v/>
      </c>
      <c r="I20" s="390" t="str">
        <f t="shared" si="1"/>
        <v/>
      </c>
      <c r="J20" s="1251" t="str">
        <f t="shared" ref="J20:J36" si="7">IF(Q20="","",VLOOKUP(Q20,$AQ$19:$AS$36,3,FALSE))</f>
        <v/>
      </c>
      <c r="K20" s="1203"/>
      <c r="L20" s="1203"/>
      <c r="M20" s="1203"/>
      <c r="N20" s="1203"/>
      <c r="O20" s="1203"/>
      <c r="P20" s="1252"/>
      <c r="Q20" s="390"/>
      <c r="R20" s="390" t="str">
        <f t="shared" si="2"/>
        <v/>
      </c>
      <c r="S20" s="396" t="str">
        <f t="shared" si="3"/>
        <v/>
      </c>
      <c r="T20" s="390"/>
      <c r="U20" s="1251" t="str">
        <f t="shared" si="4"/>
        <v/>
      </c>
      <c r="V20" s="1203"/>
      <c r="W20" s="1203"/>
      <c r="X20" s="1203"/>
      <c r="Y20" s="1252"/>
      <c r="Z20" s="395" t="str">
        <f t="shared" si="5"/>
        <v/>
      </c>
      <c r="AA20" s="390" t="str">
        <f t="shared" si="6"/>
        <v/>
      </c>
      <c r="AB20" s="390"/>
      <c r="AC20" s="392"/>
      <c r="AD20" s="391"/>
      <c r="AE20" s="395"/>
      <c r="AF20" s="390"/>
      <c r="AG20" s="392"/>
      <c r="AH20" s="395"/>
      <c r="AP20" s="352">
        <v>2</v>
      </c>
      <c r="AQ20" s="382" t="e">
        <f>INDEX(データ!$R$2:$T$86,MATCH(AQ$17,データ!$R$2:$R$86,0)+AP20,AQ$37-1)</f>
        <v>#N/A</v>
      </c>
      <c r="AR20" s="382" t="e">
        <f>INDEX(データ!$R$2:$T$86,MATCH(AQ$17,データ!$R$2:$R$86,0)+AP20,AR$37-1)</f>
        <v>#N/A</v>
      </c>
      <c r="AS20" s="382" t="e">
        <f>INDEX(データ!$R$2:$T$86,MATCH(AQ$17,データ!$R$2:$R$86,0)+AP20,AS$37-1)</f>
        <v>#N/A</v>
      </c>
      <c r="AT20" s="352">
        <v>2</v>
      </c>
      <c r="AU20" s="382" t="e">
        <f>INDEX(データ!$R$2:$T$86,MATCH(AU$17,データ!$R$2:$R$86,0)+AT20,AU$37-1)</f>
        <v>#N/A</v>
      </c>
      <c r="AV20" s="382" t="e">
        <f>INDEX(データ!$R$2:$T$86,MATCH(AU$17,データ!$R$2:$R$86,0)+AT20,AV$37-1)</f>
        <v>#N/A</v>
      </c>
      <c r="AW20" s="382" t="e">
        <f>INDEX(データ!$R$2:$T$86,MATCH(AU$17,データ!$R$2:$R$86,0)+AT20,AW$37-1)</f>
        <v>#N/A</v>
      </c>
      <c r="AY20" s="358"/>
      <c r="BA20" s="358"/>
      <c r="BC20" s="358"/>
      <c r="BE20" s="359"/>
      <c r="BF20" s="358"/>
      <c r="BH20" s="360"/>
      <c r="BI20" s="353"/>
      <c r="BJ20" s="360">
        <v>95</v>
      </c>
      <c r="BK20" s="353"/>
      <c r="BL20" s="360">
        <v>27</v>
      </c>
      <c r="BM20" s="353"/>
      <c r="BN20" s="360"/>
    </row>
    <row r="21" spans="1:66" ht="12.75" customHeight="1" thickBot="1" x14ac:dyDescent="0.25">
      <c r="A21" s="390"/>
      <c r="B21" s="391" t="s">
        <v>294</v>
      </c>
      <c r="C21" s="392"/>
      <c r="D21" s="393"/>
      <c r="E21" s="394"/>
      <c r="F21" s="391"/>
      <c r="G21" s="392"/>
      <c r="H21" s="395" t="str">
        <f t="shared" si="0"/>
        <v/>
      </c>
      <c r="I21" s="390" t="str">
        <f t="shared" si="1"/>
        <v/>
      </c>
      <c r="J21" s="1251" t="str">
        <f t="shared" si="7"/>
        <v/>
      </c>
      <c r="K21" s="1203"/>
      <c r="L21" s="1203"/>
      <c r="M21" s="1203"/>
      <c r="N21" s="1203"/>
      <c r="O21" s="1203"/>
      <c r="P21" s="1252"/>
      <c r="Q21" s="390"/>
      <c r="R21" s="390" t="str">
        <f t="shared" si="2"/>
        <v/>
      </c>
      <c r="S21" s="396" t="str">
        <f t="shared" si="3"/>
        <v/>
      </c>
      <c r="T21" s="390"/>
      <c r="U21" s="1251" t="str">
        <f t="shared" si="4"/>
        <v/>
      </c>
      <c r="V21" s="1203"/>
      <c r="W21" s="1203"/>
      <c r="X21" s="1203"/>
      <c r="Y21" s="1252"/>
      <c r="Z21" s="395" t="str">
        <f t="shared" si="5"/>
        <v/>
      </c>
      <c r="AA21" s="390" t="str">
        <f t="shared" si="6"/>
        <v/>
      </c>
      <c r="AB21" s="390"/>
      <c r="AC21" s="392"/>
      <c r="AD21" s="391"/>
      <c r="AE21" s="395"/>
      <c r="AF21" s="390"/>
      <c r="AG21" s="392"/>
      <c r="AH21" s="395"/>
      <c r="AP21" s="352">
        <v>3</v>
      </c>
      <c r="AQ21" s="382" t="e">
        <f>INDEX(データ!$R$2:$T$86,MATCH(AQ$17,データ!$R$2:$R$86,0)+AP21,AQ$37-1)</f>
        <v>#N/A</v>
      </c>
      <c r="AR21" s="382" t="e">
        <f>INDEX(データ!$R$2:$T$86,MATCH(AQ$17,データ!$R$2:$R$86,0)+AP21,AR$37-1)</f>
        <v>#N/A</v>
      </c>
      <c r="AS21" s="382" t="e">
        <f>INDEX(データ!$R$2:$T$86,MATCH(AQ$17,データ!$R$2:$R$86,0)+AP21,AS$37-1)</f>
        <v>#N/A</v>
      </c>
      <c r="AT21" s="352">
        <v>3</v>
      </c>
      <c r="AU21" s="382" t="e">
        <f>INDEX(データ!$R$2:$T$86,MATCH(AU$17,データ!$R$2:$R$86,0)+AT21,AU$37-1)</f>
        <v>#N/A</v>
      </c>
      <c r="AV21" s="382" t="e">
        <f>INDEX(データ!$R$2:$T$86,MATCH(AU$17,データ!$R$2:$R$86,0)+AT21,AV$37-1)</f>
        <v>#N/A</v>
      </c>
      <c r="AW21" s="382" t="e">
        <f>INDEX(データ!$R$2:$T$86,MATCH(AU$17,データ!$R$2:$R$86,0)+AT21,AW$37-1)</f>
        <v>#N/A</v>
      </c>
      <c r="AY21" s="397"/>
      <c r="BA21" s="397"/>
      <c r="BC21" s="397"/>
      <c r="BE21" s="398"/>
      <c r="BF21" s="397"/>
      <c r="BH21" s="399"/>
      <c r="BI21" s="353"/>
      <c r="BJ21" s="399">
        <v>100</v>
      </c>
      <c r="BK21" s="353"/>
      <c r="BL21" s="360">
        <v>26</v>
      </c>
      <c r="BM21" s="353"/>
      <c r="BN21" s="399"/>
    </row>
    <row r="22" spans="1:66" ht="12.75" customHeight="1" thickTop="1" x14ac:dyDescent="0.2">
      <c r="A22" s="390"/>
      <c r="B22" s="391"/>
      <c r="C22" s="392"/>
      <c r="D22" s="393"/>
      <c r="E22" s="394"/>
      <c r="F22" s="391"/>
      <c r="G22" s="392"/>
      <c r="H22" s="395" t="str">
        <f t="shared" si="0"/>
        <v/>
      </c>
      <c r="I22" s="390" t="str">
        <f t="shared" si="1"/>
        <v/>
      </c>
      <c r="J22" s="1251" t="str">
        <f t="shared" si="7"/>
        <v/>
      </c>
      <c r="K22" s="1203"/>
      <c r="L22" s="1203"/>
      <c r="M22" s="1203"/>
      <c r="N22" s="1203"/>
      <c r="O22" s="1203"/>
      <c r="P22" s="1252"/>
      <c r="Q22" s="390"/>
      <c r="R22" s="390" t="str">
        <f t="shared" si="2"/>
        <v/>
      </c>
      <c r="S22" s="396" t="str">
        <f t="shared" si="3"/>
        <v/>
      </c>
      <c r="T22" s="390"/>
      <c r="U22" s="1251" t="str">
        <f t="shared" si="4"/>
        <v/>
      </c>
      <c r="V22" s="1203"/>
      <c r="W22" s="1203"/>
      <c r="X22" s="1203"/>
      <c r="Y22" s="1252"/>
      <c r="Z22" s="395" t="str">
        <f t="shared" si="5"/>
        <v/>
      </c>
      <c r="AA22" s="390" t="str">
        <f t="shared" si="6"/>
        <v/>
      </c>
      <c r="AB22" s="390"/>
      <c r="AC22" s="392"/>
      <c r="AD22" s="391"/>
      <c r="AE22" s="395"/>
      <c r="AF22" s="390"/>
      <c r="AG22" s="392"/>
      <c r="AH22" s="395"/>
      <c r="AP22" s="352">
        <v>4</v>
      </c>
      <c r="AQ22" s="382" t="e">
        <f>INDEX(データ!$R$2:$T$86,MATCH(AQ$17,データ!$R$2:$R$86,0)+AP22,AQ$37-1)</f>
        <v>#N/A</v>
      </c>
      <c r="AR22" s="382" t="e">
        <f>INDEX(データ!$R$2:$T$86,MATCH(AQ$17,データ!$R$2:$R$86,0)+AP22,AR$37-1)</f>
        <v>#N/A</v>
      </c>
      <c r="AS22" s="382" t="e">
        <f>INDEX(データ!$R$2:$T$86,MATCH(AQ$17,データ!$R$2:$R$86,0)+AP22,AS$37-1)</f>
        <v>#N/A</v>
      </c>
      <c r="AT22" s="352">
        <v>4</v>
      </c>
      <c r="AU22" s="382" t="e">
        <f>INDEX(データ!$R$2:$T$86,MATCH(AU$17,データ!$R$2:$R$86,0)+AT22,AU$37-1)</f>
        <v>#N/A</v>
      </c>
      <c r="AV22" s="382" t="e">
        <f>INDEX(データ!$R$2:$T$86,MATCH(AU$17,データ!$R$2:$R$86,0)+AT22,AV$37-1)</f>
        <v>#N/A</v>
      </c>
      <c r="AW22" s="382" t="e">
        <f>INDEX(データ!$R$2:$T$86,MATCH(AU$17,データ!$R$2:$R$86,0)+AT22,AW$37-1)</f>
        <v>#N/A</v>
      </c>
      <c r="BH22" s="353"/>
      <c r="BI22" s="353"/>
      <c r="BJ22" s="353"/>
      <c r="BK22" s="353"/>
      <c r="BL22" s="360">
        <v>25</v>
      </c>
      <c r="BM22" s="353"/>
      <c r="BN22" s="353"/>
    </row>
    <row r="23" spans="1:66" ht="12.75" customHeight="1" x14ac:dyDescent="0.2">
      <c r="A23" s="390"/>
      <c r="B23" s="391"/>
      <c r="C23" s="392"/>
      <c r="D23" s="393"/>
      <c r="E23" s="394"/>
      <c r="F23" s="391"/>
      <c r="G23" s="392"/>
      <c r="H23" s="395" t="str">
        <f t="shared" si="0"/>
        <v/>
      </c>
      <c r="I23" s="390" t="str">
        <f t="shared" si="1"/>
        <v/>
      </c>
      <c r="J23" s="1251" t="str">
        <f t="shared" si="7"/>
        <v/>
      </c>
      <c r="K23" s="1203"/>
      <c r="L23" s="1203"/>
      <c r="M23" s="1203"/>
      <c r="N23" s="1203"/>
      <c r="O23" s="1203"/>
      <c r="P23" s="1252"/>
      <c r="Q23" s="390"/>
      <c r="R23" s="390" t="str">
        <f t="shared" si="2"/>
        <v/>
      </c>
      <c r="S23" s="396" t="str">
        <f t="shared" si="3"/>
        <v/>
      </c>
      <c r="T23" s="390"/>
      <c r="U23" s="1251" t="str">
        <f t="shared" si="4"/>
        <v/>
      </c>
      <c r="V23" s="1203"/>
      <c r="W23" s="1203"/>
      <c r="X23" s="1203"/>
      <c r="Y23" s="1252"/>
      <c r="Z23" s="395" t="str">
        <f t="shared" si="5"/>
        <v/>
      </c>
      <c r="AA23" s="390" t="str">
        <f t="shared" si="6"/>
        <v/>
      </c>
      <c r="AB23" s="390"/>
      <c r="AC23" s="392"/>
      <c r="AD23" s="391"/>
      <c r="AE23" s="395"/>
      <c r="AF23" s="390"/>
      <c r="AG23" s="392"/>
      <c r="AH23" s="395"/>
      <c r="AP23" s="352">
        <v>5</v>
      </c>
      <c r="AQ23" s="382" t="e">
        <f>INDEX(データ!$R$2:$T$86,MATCH(AQ$17,データ!$R$2:$R$86,0)+AP23,AQ$37-1)</f>
        <v>#N/A</v>
      </c>
      <c r="AR23" s="382" t="e">
        <f>INDEX(データ!$R$2:$T$86,MATCH(AQ$17,データ!$R$2:$R$86,0)+AP23,AR$37-1)</f>
        <v>#N/A</v>
      </c>
      <c r="AS23" s="382" t="e">
        <f>INDEX(データ!$R$2:$T$86,MATCH(AQ$17,データ!$R$2:$R$86,0)+AP23,AS$37-1)</f>
        <v>#N/A</v>
      </c>
      <c r="AT23" s="352">
        <v>5</v>
      </c>
      <c r="AU23" s="382" t="e">
        <f>INDEX(データ!$R$2:$T$86,MATCH(AU$17,データ!$R$2:$R$86,0)+AT23,AU$37-1)</f>
        <v>#N/A</v>
      </c>
      <c r="AV23" s="382" t="e">
        <f>INDEX(データ!$R$2:$T$86,MATCH(AU$17,データ!$R$2:$R$86,0)+AT23,AV$37-1)</f>
        <v>#N/A</v>
      </c>
      <c r="AW23" s="382" t="e">
        <f>INDEX(データ!$R$2:$T$86,MATCH(AU$17,データ!$R$2:$R$86,0)+AT23,AW$37-1)</f>
        <v>#N/A</v>
      </c>
      <c r="BH23" s="353"/>
      <c r="BI23" s="353"/>
      <c r="BJ23" s="353"/>
      <c r="BK23" s="353"/>
      <c r="BL23" s="360">
        <v>24</v>
      </c>
      <c r="BM23" s="353"/>
      <c r="BN23" s="353"/>
    </row>
    <row r="24" spans="1:66" ht="12.75" customHeight="1" x14ac:dyDescent="0.2">
      <c r="A24" s="390"/>
      <c r="B24" s="391"/>
      <c r="C24" s="392"/>
      <c r="D24" s="393"/>
      <c r="E24" s="394"/>
      <c r="F24" s="391"/>
      <c r="G24" s="392"/>
      <c r="H24" s="395" t="str">
        <f t="shared" si="0"/>
        <v/>
      </c>
      <c r="I24" s="390" t="str">
        <f t="shared" si="1"/>
        <v/>
      </c>
      <c r="J24" s="1251" t="str">
        <f t="shared" si="7"/>
        <v/>
      </c>
      <c r="K24" s="1203"/>
      <c r="L24" s="1203"/>
      <c r="M24" s="1203"/>
      <c r="N24" s="1203"/>
      <c r="O24" s="1203"/>
      <c r="P24" s="1252"/>
      <c r="Q24" s="390"/>
      <c r="R24" s="390" t="str">
        <f t="shared" si="2"/>
        <v/>
      </c>
      <c r="S24" s="396" t="str">
        <f t="shared" si="3"/>
        <v/>
      </c>
      <c r="T24" s="390"/>
      <c r="U24" s="1251" t="str">
        <f t="shared" si="4"/>
        <v/>
      </c>
      <c r="V24" s="1203"/>
      <c r="W24" s="1203"/>
      <c r="X24" s="1203"/>
      <c r="Y24" s="1252"/>
      <c r="Z24" s="395" t="str">
        <f t="shared" si="5"/>
        <v/>
      </c>
      <c r="AA24" s="390" t="str">
        <f t="shared" si="6"/>
        <v/>
      </c>
      <c r="AB24" s="390"/>
      <c r="AC24" s="392"/>
      <c r="AD24" s="391"/>
      <c r="AE24" s="395"/>
      <c r="AF24" s="390"/>
      <c r="AG24" s="392"/>
      <c r="AH24" s="395"/>
      <c r="AP24" s="352">
        <v>6</v>
      </c>
      <c r="AQ24" s="382" t="e">
        <f>INDEX(データ!$R$2:$T$86,MATCH(AQ$17,データ!$R$2:$R$86,0)+AP24,AQ$37-1)</f>
        <v>#N/A</v>
      </c>
      <c r="AR24" s="382" t="e">
        <f>INDEX(データ!$R$2:$T$86,MATCH(AQ$17,データ!$R$2:$R$86,0)+AP24,AR$37-1)</f>
        <v>#N/A</v>
      </c>
      <c r="AS24" s="382" t="e">
        <f>INDEX(データ!$R$2:$T$86,MATCH(AQ$17,データ!$R$2:$R$86,0)+AP24,AS$37-1)</f>
        <v>#N/A</v>
      </c>
      <c r="AT24" s="352">
        <v>6</v>
      </c>
      <c r="AU24" s="382" t="e">
        <f>INDEX(データ!$R$2:$T$86,MATCH(AU$17,データ!$R$2:$R$86,0)+AT24,AU$37-1)</f>
        <v>#N/A</v>
      </c>
      <c r="AV24" s="382" t="e">
        <f>INDEX(データ!$R$2:$T$86,MATCH(AU$17,データ!$R$2:$R$86,0)+AT24,AV$37-1)</f>
        <v>#N/A</v>
      </c>
      <c r="AW24" s="382" t="e">
        <f>INDEX(データ!$R$2:$T$86,MATCH(AU$17,データ!$R$2:$R$86,0)+AT24,AW$37-1)</f>
        <v>#N/A</v>
      </c>
      <c r="BH24" s="353"/>
      <c r="BI24" s="353"/>
      <c r="BJ24" s="353"/>
      <c r="BK24" s="353"/>
      <c r="BL24" s="360">
        <v>23</v>
      </c>
      <c r="BM24" s="353"/>
      <c r="BN24" s="353"/>
    </row>
    <row r="25" spans="1:66" ht="12.75" customHeight="1" x14ac:dyDescent="0.2">
      <c r="A25" s="390"/>
      <c r="B25" s="391"/>
      <c r="C25" s="392"/>
      <c r="D25" s="393"/>
      <c r="E25" s="394"/>
      <c r="F25" s="391"/>
      <c r="G25" s="392"/>
      <c r="H25" s="395" t="str">
        <f t="shared" si="0"/>
        <v/>
      </c>
      <c r="I25" s="390" t="str">
        <f t="shared" si="1"/>
        <v/>
      </c>
      <c r="J25" s="1251" t="str">
        <f t="shared" si="7"/>
        <v/>
      </c>
      <c r="K25" s="1203"/>
      <c r="L25" s="1203"/>
      <c r="M25" s="1203"/>
      <c r="N25" s="1203"/>
      <c r="O25" s="1203"/>
      <c r="P25" s="1252"/>
      <c r="Q25" s="390"/>
      <c r="R25" s="390" t="str">
        <f t="shared" si="2"/>
        <v/>
      </c>
      <c r="S25" s="396" t="str">
        <f t="shared" si="3"/>
        <v/>
      </c>
      <c r="T25" s="390"/>
      <c r="U25" s="1251" t="str">
        <f t="shared" si="4"/>
        <v/>
      </c>
      <c r="V25" s="1203"/>
      <c r="W25" s="1203"/>
      <c r="X25" s="1203"/>
      <c r="Y25" s="1252"/>
      <c r="Z25" s="395" t="str">
        <f t="shared" si="5"/>
        <v/>
      </c>
      <c r="AA25" s="390" t="str">
        <f t="shared" si="6"/>
        <v/>
      </c>
      <c r="AB25" s="390"/>
      <c r="AC25" s="392"/>
      <c r="AD25" s="391"/>
      <c r="AE25" s="395"/>
      <c r="AF25" s="390"/>
      <c r="AG25" s="392"/>
      <c r="AH25" s="395"/>
      <c r="AP25" s="352">
        <v>7</v>
      </c>
      <c r="AQ25" s="382" t="e">
        <f>INDEX(データ!$R$2:$T$86,MATCH(AQ$17,データ!$R$2:$R$86,0)+AP25,AQ$37-1)</f>
        <v>#N/A</v>
      </c>
      <c r="AR25" s="382" t="e">
        <f>INDEX(データ!$R$2:$T$86,MATCH(AQ$17,データ!$R$2:$R$86,0)+AP25,AR$37-1)</f>
        <v>#N/A</v>
      </c>
      <c r="AS25" s="382" t="e">
        <f>INDEX(データ!$R$2:$T$86,MATCH(AQ$17,データ!$R$2:$R$86,0)+AP25,AS$37-1)</f>
        <v>#N/A</v>
      </c>
      <c r="AT25" s="352">
        <v>7</v>
      </c>
      <c r="AU25" s="382" t="e">
        <f>INDEX(データ!$R$2:$T$86,MATCH(AU$17,データ!$R$2:$R$86,0)+AT25,AU$37-1)</f>
        <v>#N/A</v>
      </c>
      <c r="AV25" s="382" t="e">
        <f>INDEX(データ!$R$2:$T$86,MATCH(AU$17,データ!$R$2:$R$86,0)+AT25,AV$37-1)</f>
        <v>#N/A</v>
      </c>
      <c r="AW25" s="382" t="e">
        <f>INDEX(データ!$R$2:$T$86,MATCH(AU$17,データ!$R$2:$R$86,0)+AT25,AW$37-1)</f>
        <v>#N/A</v>
      </c>
      <c r="BH25" s="353"/>
      <c r="BI25" s="353"/>
      <c r="BJ25" s="353"/>
      <c r="BK25" s="353"/>
      <c r="BL25" s="360">
        <v>22</v>
      </c>
      <c r="BM25" s="353"/>
      <c r="BN25" s="353"/>
    </row>
    <row r="26" spans="1:66" ht="12.75" customHeight="1" x14ac:dyDescent="0.2">
      <c r="A26" s="390"/>
      <c r="B26" s="391"/>
      <c r="C26" s="392"/>
      <c r="D26" s="393"/>
      <c r="E26" s="394"/>
      <c r="F26" s="391"/>
      <c r="G26" s="392"/>
      <c r="H26" s="395" t="str">
        <f t="shared" si="0"/>
        <v/>
      </c>
      <c r="I26" s="390" t="str">
        <f t="shared" si="1"/>
        <v/>
      </c>
      <c r="J26" s="1251" t="str">
        <f t="shared" si="7"/>
        <v/>
      </c>
      <c r="K26" s="1203"/>
      <c r="L26" s="1203"/>
      <c r="M26" s="1203"/>
      <c r="N26" s="1203"/>
      <c r="O26" s="1203"/>
      <c r="P26" s="1252"/>
      <c r="Q26" s="390"/>
      <c r="R26" s="390" t="str">
        <f t="shared" si="2"/>
        <v/>
      </c>
      <c r="S26" s="396" t="str">
        <f t="shared" si="3"/>
        <v/>
      </c>
      <c r="T26" s="390"/>
      <c r="U26" s="1251" t="str">
        <f t="shared" si="4"/>
        <v/>
      </c>
      <c r="V26" s="1203"/>
      <c r="W26" s="1203"/>
      <c r="X26" s="1203"/>
      <c r="Y26" s="1252"/>
      <c r="Z26" s="395" t="str">
        <f t="shared" si="5"/>
        <v/>
      </c>
      <c r="AA26" s="390" t="str">
        <f t="shared" si="6"/>
        <v/>
      </c>
      <c r="AB26" s="390"/>
      <c r="AC26" s="392"/>
      <c r="AD26" s="391"/>
      <c r="AE26" s="395"/>
      <c r="AF26" s="390"/>
      <c r="AG26" s="392"/>
      <c r="AH26" s="395"/>
      <c r="AP26" s="352">
        <v>8</v>
      </c>
      <c r="AQ26" s="382" t="e">
        <f>INDEX(データ!$R$2:$T$86,MATCH(AQ$17,データ!$R$2:$R$86,0)+AP26,AQ$37-1)</f>
        <v>#N/A</v>
      </c>
      <c r="AR26" s="382" t="e">
        <f>INDEX(データ!$R$2:$T$86,MATCH(AQ$17,データ!$R$2:$R$86,0)+AP26,AR$37-1)</f>
        <v>#N/A</v>
      </c>
      <c r="AS26" s="382" t="e">
        <f>INDEX(データ!$R$2:$T$86,MATCH(AQ$17,データ!$R$2:$R$86,0)+AP26,AS$37-1)</f>
        <v>#N/A</v>
      </c>
      <c r="AT26" s="352">
        <v>8</v>
      </c>
      <c r="AU26" s="382" t="e">
        <f>INDEX(データ!$R$2:$T$86,MATCH(AU$17,データ!$R$2:$R$86,0)+AT26,AU$37-1)</f>
        <v>#N/A</v>
      </c>
      <c r="AV26" s="382" t="e">
        <f>INDEX(データ!$R$2:$T$86,MATCH(AU$17,データ!$R$2:$R$86,0)+AT26,AV$37-1)</f>
        <v>#N/A</v>
      </c>
      <c r="AW26" s="382" t="e">
        <f>INDEX(データ!$R$2:$T$86,MATCH(AU$17,データ!$R$2:$R$86,0)+AT26,AW$37-1)</f>
        <v>#N/A</v>
      </c>
      <c r="BH26" s="353"/>
      <c r="BI26" s="353"/>
      <c r="BJ26" s="353"/>
      <c r="BK26" s="353"/>
      <c r="BL26" s="360">
        <v>21</v>
      </c>
      <c r="BM26" s="353"/>
      <c r="BN26" s="353"/>
    </row>
    <row r="27" spans="1:66" ht="12.75" customHeight="1" x14ac:dyDescent="0.2">
      <c r="A27" s="390"/>
      <c r="B27" s="391"/>
      <c r="C27" s="392"/>
      <c r="D27" s="393"/>
      <c r="E27" s="394"/>
      <c r="F27" s="391"/>
      <c r="G27" s="392"/>
      <c r="H27" s="395" t="str">
        <f t="shared" si="0"/>
        <v/>
      </c>
      <c r="I27" s="390" t="str">
        <f t="shared" si="1"/>
        <v/>
      </c>
      <c r="J27" s="1251" t="str">
        <f t="shared" si="7"/>
        <v/>
      </c>
      <c r="K27" s="1203"/>
      <c r="L27" s="1203"/>
      <c r="M27" s="1203"/>
      <c r="N27" s="1203"/>
      <c r="O27" s="1203"/>
      <c r="P27" s="1252"/>
      <c r="Q27" s="390"/>
      <c r="R27" s="390" t="str">
        <f t="shared" si="2"/>
        <v/>
      </c>
      <c r="S27" s="396" t="str">
        <f t="shared" si="3"/>
        <v/>
      </c>
      <c r="T27" s="390"/>
      <c r="U27" s="1251" t="str">
        <f t="shared" si="4"/>
        <v/>
      </c>
      <c r="V27" s="1203"/>
      <c r="W27" s="1203"/>
      <c r="X27" s="1203"/>
      <c r="Y27" s="1252"/>
      <c r="Z27" s="395" t="str">
        <f t="shared" si="5"/>
        <v/>
      </c>
      <c r="AA27" s="390" t="str">
        <f t="shared" si="6"/>
        <v/>
      </c>
      <c r="AB27" s="390"/>
      <c r="AC27" s="392"/>
      <c r="AD27" s="391"/>
      <c r="AE27" s="395"/>
      <c r="AF27" s="390"/>
      <c r="AG27" s="392"/>
      <c r="AH27" s="395"/>
      <c r="AP27" s="352">
        <v>9</v>
      </c>
      <c r="AQ27" s="382" t="e">
        <f>INDEX(データ!$R$2:$T$86,MATCH(AQ$17,データ!$R$2:$R$86,0)+AP27,AQ$37-1)</f>
        <v>#N/A</v>
      </c>
      <c r="AR27" s="382" t="e">
        <f>INDEX(データ!$R$2:$T$86,MATCH(AQ$17,データ!$R$2:$R$86,0)+AP27,AR$37-1)</f>
        <v>#N/A</v>
      </c>
      <c r="AS27" s="382" t="e">
        <f>INDEX(データ!$R$2:$T$86,MATCH(AQ$17,データ!$R$2:$R$86,0)+AP27,AS$37-1)</f>
        <v>#N/A</v>
      </c>
      <c r="AT27" s="352">
        <v>9</v>
      </c>
      <c r="AU27" s="382" t="e">
        <f>INDEX(データ!$R$2:$T$86,MATCH(AU$17,データ!$R$2:$R$86,0)+AT27,AU$37-1)</f>
        <v>#N/A</v>
      </c>
      <c r="AV27" s="382" t="e">
        <f>INDEX(データ!$R$2:$T$86,MATCH(AU$17,データ!$R$2:$R$86,0)+AT27,AV$37-1)</f>
        <v>#N/A</v>
      </c>
      <c r="AW27" s="382" t="e">
        <f>INDEX(データ!$R$2:$T$86,MATCH(AU$17,データ!$R$2:$R$86,0)+AT27,AW$37-1)</f>
        <v>#N/A</v>
      </c>
      <c r="BH27" s="353"/>
      <c r="BI27" s="353"/>
      <c r="BJ27" s="353"/>
      <c r="BK27" s="353"/>
      <c r="BL27" s="360">
        <v>20</v>
      </c>
      <c r="BM27" s="353"/>
      <c r="BN27" s="353"/>
    </row>
    <row r="28" spans="1:66" ht="12.75" customHeight="1" x14ac:dyDescent="0.2">
      <c r="A28" s="390"/>
      <c r="B28" s="391"/>
      <c r="C28" s="392"/>
      <c r="D28" s="393"/>
      <c r="E28" s="394"/>
      <c r="F28" s="391"/>
      <c r="G28" s="392"/>
      <c r="H28" s="395" t="str">
        <f t="shared" si="0"/>
        <v/>
      </c>
      <c r="I28" s="390" t="str">
        <f t="shared" si="1"/>
        <v/>
      </c>
      <c r="J28" s="1251" t="str">
        <f t="shared" si="7"/>
        <v/>
      </c>
      <c r="K28" s="1203"/>
      <c r="L28" s="1203"/>
      <c r="M28" s="1203"/>
      <c r="N28" s="1203"/>
      <c r="O28" s="1203"/>
      <c r="P28" s="1252"/>
      <c r="Q28" s="390"/>
      <c r="R28" s="390" t="str">
        <f t="shared" si="2"/>
        <v/>
      </c>
      <c r="S28" s="396" t="str">
        <f t="shared" si="3"/>
        <v/>
      </c>
      <c r="T28" s="390"/>
      <c r="U28" s="1251" t="str">
        <f t="shared" si="4"/>
        <v/>
      </c>
      <c r="V28" s="1203"/>
      <c r="W28" s="1203"/>
      <c r="X28" s="1203"/>
      <c r="Y28" s="1252"/>
      <c r="Z28" s="395" t="str">
        <f t="shared" si="5"/>
        <v/>
      </c>
      <c r="AA28" s="390" t="str">
        <f t="shared" si="6"/>
        <v/>
      </c>
      <c r="AB28" s="390"/>
      <c r="AC28" s="392"/>
      <c r="AD28" s="391"/>
      <c r="AE28" s="395"/>
      <c r="AF28" s="390"/>
      <c r="AG28" s="392"/>
      <c r="AH28" s="395"/>
      <c r="AP28" s="352">
        <v>10</v>
      </c>
      <c r="AQ28" s="382" t="e">
        <f>INDEX(データ!$R$2:$T$86,MATCH(AQ$17,データ!$R$2:$R$86,0)+AP28,AQ$37-1)</f>
        <v>#N/A</v>
      </c>
      <c r="AR28" s="382" t="e">
        <f>INDEX(データ!$R$2:$T$86,MATCH(AQ$17,データ!$R$2:$R$86,0)+AP28,AR$37-1)</f>
        <v>#N/A</v>
      </c>
      <c r="AS28" s="382" t="e">
        <f>INDEX(データ!$R$2:$T$86,MATCH(AQ$17,データ!$R$2:$R$86,0)+AP28,AS$37-1)</f>
        <v>#N/A</v>
      </c>
      <c r="AT28" s="352">
        <v>10</v>
      </c>
      <c r="AU28" s="382" t="e">
        <f>INDEX(データ!$R$2:$T$86,MATCH(AU$17,データ!$R$2:$R$86,0)+AT28,AU$37-1)</f>
        <v>#N/A</v>
      </c>
      <c r="AV28" s="382" t="e">
        <f>INDEX(データ!$R$2:$T$86,MATCH(AU$17,データ!$R$2:$R$86,0)+AT28,AV$37-1)</f>
        <v>#N/A</v>
      </c>
      <c r="AW28" s="382" t="e">
        <f>INDEX(データ!$R$2:$T$86,MATCH(AU$17,データ!$R$2:$R$86,0)+AT28,AW$37-1)</f>
        <v>#N/A</v>
      </c>
      <c r="BH28" s="353"/>
      <c r="BI28" s="353"/>
      <c r="BJ28" s="353"/>
      <c r="BK28" s="353"/>
      <c r="BL28" s="360">
        <v>19</v>
      </c>
      <c r="BM28" s="353"/>
      <c r="BN28" s="353"/>
    </row>
    <row r="29" spans="1:66" ht="12.75" customHeight="1" x14ac:dyDescent="0.2">
      <c r="A29" s="400"/>
      <c r="B29" s="401"/>
      <c r="C29" s="402"/>
      <c r="D29" s="403"/>
      <c r="E29" s="404"/>
      <c r="F29" s="401"/>
      <c r="G29" s="402"/>
      <c r="H29" s="405" t="str">
        <f t="shared" si="0"/>
        <v/>
      </c>
      <c r="I29" s="380" t="str">
        <f t="shared" si="1"/>
        <v/>
      </c>
      <c r="J29" s="1261" t="str">
        <f t="shared" si="7"/>
        <v/>
      </c>
      <c r="K29" s="1262"/>
      <c r="L29" s="1262"/>
      <c r="M29" s="1262"/>
      <c r="N29" s="1262"/>
      <c r="O29" s="1262"/>
      <c r="P29" s="1263"/>
      <c r="Q29" s="380"/>
      <c r="R29" s="380" t="str">
        <f t="shared" si="2"/>
        <v/>
      </c>
      <c r="S29" s="406" t="str">
        <f t="shared" si="3"/>
        <v/>
      </c>
      <c r="T29" s="380"/>
      <c r="U29" s="1261" t="str">
        <f t="shared" si="4"/>
        <v/>
      </c>
      <c r="V29" s="1262"/>
      <c r="W29" s="1262"/>
      <c r="X29" s="1262"/>
      <c r="Y29" s="1263"/>
      <c r="Z29" s="379" t="str">
        <f t="shared" si="5"/>
        <v/>
      </c>
      <c r="AA29" s="400" t="str">
        <f t="shared" si="6"/>
        <v/>
      </c>
      <c r="AB29" s="400"/>
      <c r="AC29" s="402"/>
      <c r="AD29" s="401"/>
      <c r="AE29" s="405"/>
      <c r="AF29" s="400"/>
      <c r="AG29" s="402"/>
      <c r="AH29" s="405"/>
      <c r="AP29" s="352">
        <v>11</v>
      </c>
      <c r="AQ29" s="382" t="e">
        <f>INDEX(データ!$R$2:$T$86,MATCH(AQ$17,データ!$R$2:$R$86,0)+AP29,AQ$37-1)</f>
        <v>#N/A</v>
      </c>
      <c r="AR29" s="382" t="e">
        <f>INDEX(データ!$R$2:$T$86,MATCH(AQ$17,データ!$R$2:$R$86,0)+AP29,AR$37-1)</f>
        <v>#N/A</v>
      </c>
      <c r="AS29" s="382" t="e">
        <f>INDEX(データ!$R$2:$T$86,MATCH(AQ$17,データ!$R$2:$R$86,0)+AP29,AS$37-1)</f>
        <v>#N/A</v>
      </c>
      <c r="AT29" s="352">
        <v>11</v>
      </c>
      <c r="AU29" s="382" t="e">
        <f>INDEX(データ!$R$2:$T$86,MATCH(AU$17,データ!$R$2:$R$86,0)+AT29,AU$37-1)</f>
        <v>#N/A</v>
      </c>
      <c r="AV29" s="382" t="e">
        <f>INDEX(データ!$R$2:$T$86,MATCH(AU$17,データ!$R$2:$R$86,0)+AT29,AV$37-1)</f>
        <v>#N/A</v>
      </c>
      <c r="AW29" s="382" t="e">
        <f>INDEX(データ!$R$2:$T$86,MATCH(AU$17,データ!$R$2:$R$86,0)+AT29,AW$37-1)</f>
        <v>#N/A</v>
      </c>
      <c r="BH29" s="353"/>
      <c r="BI29" s="353"/>
      <c r="BJ29" s="353"/>
      <c r="BK29" s="353"/>
      <c r="BL29" s="360">
        <v>18</v>
      </c>
      <c r="BM29" s="353"/>
      <c r="BN29" s="353"/>
    </row>
    <row r="30" spans="1:66" ht="12.75" customHeight="1" x14ac:dyDescent="0.2">
      <c r="A30" s="383"/>
      <c r="B30" s="384"/>
      <c r="C30" s="385"/>
      <c r="D30" s="386"/>
      <c r="E30" s="387"/>
      <c r="F30" s="384"/>
      <c r="G30" s="385"/>
      <c r="H30" s="388" t="str">
        <f t="shared" si="0"/>
        <v/>
      </c>
      <c r="I30" s="383" t="str">
        <f t="shared" si="1"/>
        <v/>
      </c>
      <c r="J30" s="1255" t="str">
        <f t="shared" si="7"/>
        <v/>
      </c>
      <c r="K30" s="1256"/>
      <c r="L30" s="1256"/>
      <c r="M30" s="1256"/>
      <c r="N30" s="1256"/>
      <c r="O30" s="1256"/>
      <c r="P30" s="1257"/>
      <c r="Q30" s="388"/>
      <c r="R30" s="383" t="str">
        <f t="shared" si="2"/>
        <v/>
      </c>
      <c r="S30" s="389" t="str">
        <f t="shared" si="3"/>
        <v/>
      </c>
      <c r="T30" s="388"/>
      <c r="U30" s="1255" t="str">
        <f t="shared" si="4"/>
        <v/>
      </c>
      <c r="V30" s="1256"/>
      <c r="W30" s="1256"/>
      <c r="X30" s="1256"/>
      <c r="Y30" s="1257"/>
      <c r="Z30" s="388" t="str">
        <f t="shared" si="5"/>
        <v/>
      </c>
      <c r="AA30" s="383" t="str">
        <f t="shared" si="6"/>
        <v/>
      </c>
      <c r="AB30" s="383"/>
      <c r="AC30" s="385"/>
      <c r="AD30" s="384"/>
      <c r="AE30" s="388"/>
      <c r="AF30" s="383"/>
      <c r="AG30" s="385"/>
      <c r="AH30" s="388"/>
      <c r="AP30" s="352">
        <v>12</v>
      </c>
      <c r="AQ30" s="382" t="e">
        <f>INDEX(データ!$R$2:$T$86,MATCH(AQ$17,データ!$R$2:$R$86,0)+AP30,AQ$37-1)</f>
        <v>#N/A</v>
      </c>
      <c r="AR30" s="382" t="e">
        <f>INDEX(データ!$R$2:$T$86,MATCH(AQ$17,データ!$R$2:$R$86,0)+AP30,AR$37-1)</f>
        <v>#N/A</v>
      </c>
      <c r="AS30" s="382" t="e">
        <f>INDEX(データ!$R$2:$T$86,MATCH(AQ$17,データ!$R$2:$R$86,0)+AP30,AS$37-1)</f>
        <v>#N/A</v>
      </c>
      <c r="AT30" s="352">
        <v>12</v>
      </c>
      <c r="AU30" s="382" t="e">
        <f>INDEX(データ!$R$2:$T$86,MATCH(AU$17,データ!$R$2:$R$86,0)+AT30,AU$37-1)</f>
        <v>#N/A</v>
      </c>
      <c r="AV30" s="382" t="e">
        <f>INDEX(データ!$R$2:$T$86,MATCH(AU$17,データ!$R$2:$R$86,0)+AT30,AV$37-1)</f>
        <v>#N/A</v>
      </c>
      <c r="AW30" s="382" t="e">
        <f>INDEX(データ!$R$2:$T$86,MATCH(AU$17,データ!$R$2:$R$86,0)+AT30,AW$37-1)</f>
        <v>#N/A</v>
      </c>
      <c r="BH30" s="353"/>
      <c r="BI30" s="353"/>
      <c r="BJ30" s="353"/>
      <c r="BK30" s="353"/>
      <c r="BL30" s="360">
        <v>17</v>
      </c>
      <c r="BM30" s="353"/>
      <c r="BN30" s="353"/>
    </row>
    <row r="31" spans="1:66" ht="12.75" customHeight="1" x14ac:dyDescent="0.2">
      <c r="A31" s="390"/>
      <c r="B31" s="391"/>
      <c r="C31" s="392"/>
      <c r="D31" s="393"/>
      <c r="E31" s="394"/>
      <c r="F31" s="391"/>
      <c r="G31" s="392"/>
      <c r="H31" s="395" t="str">
        <f t="shared" si="0"/>
        <v/>
      </c>
      <c r="I31" s="390" t="str">
        <f t="shared" si="1"/>
        <v/>
      </c>
      <c r="J31" s="1251" t="str">
        <f t="shared" si="7"/>
        <v/>
      </c>
      <c r="K31" s="1203"/>
      <c r="L31" s="1203"/>
      <c r="M31" s="1203"/>
      <c r="N31" s="1203"/>
      <c r="O31" s="1203"/>
      <c r="P31" s="1252"/>
      <c r="Q31" s="395"/>
      <c r="R31" s="390" t="str">
        <f t="shared" si="2"/>
        <v/>
      </c>
      <c r="S31" s="396" t="str">
        <f t="shared" si="3"/>
        <v/>
      </c>
      <c r="T31" s="395"/>
      <c r="U31" s="1251" t="str">
        <f t="shared" si="4"/>
        <v/>
      </c>
      <c r="V31" s="1203"/>
      <c r="W31" s="1203"/>
      <c r="X31" s="1203"/>
      <c r="Y31" s="1252"/>
      <c r="Z31" s="395" t="str">
        <f t="shared" si="5"/>
        <v/>
      </c>
      <c r="AA31" s="390" t="str">
        <f t="shared" si="6"/>
        <v/>
      </c>
      <c r="AB31" s="390"/>
      <c r="AC31" s="392"/>
      <c r="AD31" s="391"/>
      <c r="AE31" s="395"/>
      <c r="AF31" s="390"/>
      <c r="AG31" s="392"/>
      <c r="AH31" s="395"/>
      <c r="AP31" s="352">
        <v>13</v>
      </c>
      <c r="AQ31" s="382" t="e">
        <f>INDEX(データ!$R$2:$T$86,MATCH(AQ$17,データ!$R$2:$R$86,0)+AP31,AQ$37-1)</f>
        <v>#N/A</v>
      </c>
      <c r="AR31" s="382" t="e">
        <f>INDEX(データ!$R$2:$T$86,MATCH(AQ$17,データ!$R$2:$R$86,0)+AP31,AR$37-1)</f>
        <v>#N/A</v>
      </c>
      <c r="AS31" s="382" t="e">
        <f>INDEX(データ!$R$2:$T$86,MATCH(AQ$17,データ!$R$2:$R$86,0)+AP31,AS$37-1)</f>
        <v>#N/A</v>
      </c>
      <c r="AT31" s="352">
        <v>13</v>
      </c>
      <c r="AU31" s="382" t="e">
        <f>INDEX(データ!$R$2:$T$86,MATCH(AU$17,データ!$R$2:$R$86,0)+AT31,AU$37-1)</f>
        <v>#N/A</v>
      </c>
      <c r="AV31" s="382" t="e">
        <f>INDEX(データ!$R$2:$T$86,MATCH(AU$17,データ!$R$2:$R$86,0)+AT31,AV$37-1)</f>
        <v>#N/A</v>
      </c>
      <c r="AW31" s="382" t="e">
        <f>INDEX(データ!$R$2:$T$86,MATCH(AU$17,データ!$R$2:$R$86,0)+AT31,AW$37-1)</f>
        <v>#N/A</v>
      </c>
      <c r="BH31" s="353"/>
      <c r="BI31" s="353"/>
      <c r="BJ31" s="353"/>
      <c r="BK31" s="353"/>
      <c r="BL31" s="360">
        <v>16</v>
      </c>
      <c r="BM31" s="353"/>
      <c r="BN31" s="353"/>
    </row>
    <row r="32" spans="1:66" ht="12.75" customHeight="1" x14ac:dyDescent="0.2">
      <c r="A32" s="390"/>
      <c r="B32" s="391"/>
      <c r="C32" s="392"/>
      <c r="D32" s="393"/>
      <c r="E32" s="394"/>
      <c r="F32" s="391"/>
      <c r="G32" s="392"/>
      <c r="H32" s="395" t="str">
        <f t="shared" si="0"/>
        <v/>
      </c>
      <c r="I32" s="390" t="str">
        <f t="shared" si="1"/>
        <v/>
      </c>
      <c r="J32" s="1251" t="str">
        <f t="shared" si="7"/>
        <v/>
      </c>
      <c r="K32" s="1203"/>
      <c r="L32" s="1203"/>
      <c r="M32" s="1203"/>
      <c r="N32" s="1203"/>
      <c r="O32" s="1203"/>
      <c r="P32" s="1252"/>
      <c r="Q32" s="395"/>
      <c r="R32" s="390" t="str">
        <f t="shared" si="2"/>
        <v/>
      </c>
      <c r="S32" s="396" t="str">
        <f t="shared" si="3"/>
        <v/>
      </c>
      <c r="T32" s="395"/>
      <c r="U32" s="1251" t="str">
        <f t="shared" si="4"/>
        <v/>
      </c>
      <c r="V32" s="1203"/>
      <c r="W32" s="1203"/>
      <c r="X32" s="1203"/>
      <c r="Y32" s="1252"/>
      <c r="Z32" s="395" t="str">
        <f t="shared" si="5"/>
        <v/>
      </c>
      <c r="AA32" s="390" t="str">
        <f t="shared" si="6"/>
        <v/>
      </c>
      <c r="AB32" s="390"/>
      <c r="AC32" s="392"/>
      <c r="AD32" s="391"/>
      <c r="AE32" s="395"/>
      <c r="AF32" s="390"/>
      <c r="AG32" s="392"/>
      <c r="AH32" s="395"/>
      <c r="AP32" s="352">
        <v>14</v>
      </c>
      <c r="AQ32" s="382" t="e">
        <f>INDEX(データ!$R$2:$T$86,MATCH(AQ$17,データ!$R$2:$R$86,0)+AP32,AQ$37-1)</f>
        <v>#N/A</v>
      </c>
      <c r="AR32" s="382" t="e">
        <f>INDEX(データ!$R$2:$T$86,MATCH(AQ$17,データ!$R$2:$R$86,0)+AP32,AR$37-1)</f>
        <v>#N/A</v>
      </c>
      <c r="AS32" s="382" t="e">
        <f>INDEX(データ!$R$2:$T$86,MATCH(AQ$17,データ!$R$2:$R$86,0)+AP32,AS$37-1)</f>
        <v>#N/A</v>
      </c>
      <c r="AT32" s="352">
        <v>14</v>
      </c>
      <c r="AU32" s="382" t="e">
        <f>INDEX(データ!$R$2:$T$86,MATCH(AU$17,データ!$R$2:$R$86,0)+AT32,AU$37-1)</f>
        <v>#N/A</v>
      </c>
      <c r="AV32" s="382" t="e">
        <f>INDEX(データ!$R$2:$T$86,MATCH(AU$17,データ!$R$2:$R$86,0)+AT32,AV$37-1)</f>
        <v>#N/A</v>
      </c>
      <c r="AW32" s="382" t="e">
        <f>INDEX(データ!$R$2:$T$86,MATCH(AU$17,データ!$R$2:$R$86,0)+AT32,AW$37-1)</f>
        <v>#N/A</v>
      </c>
      <c r="BH32" s="353"/>
      <c r="BI32" s="353"/>
      <c r="BJ32" s="353"/>
      <c r="BK32" s="353"/>
      <c r="BL32" s="360">
        <v>15</v>
      </c>
      <c r="BM32" s="353"/>
      <c r="BN32" s="353"/>
    </row>
    <row r="33" spans="1:66" ht="12.75" customHeight="1" x14ac:dyDescent="0.2">
      <c r="A33" s="390"/>
      <c r="B33" s="391"/>
      <c r="C33" s="392"/>
      <c r="D33" s="393"/>
      <c r="E33" s="394"/>
      <c r="F33" s="391"/>
      <c r="G33" s="392"/>
      <c r="H33" s="395" t="str">
        <f t="shared" si="0"/>
        <v/>
      </c>
      <c r="I33" s="390" t="str">
        <f t="shared" si="1"/>
        <v/>
      </c>
      <c r="J33" s="1251" t="str">
        <f t="shared" si="7"/>
        <v/>
      </c>
      <c r="K33" s="1203"/>
      <c r="L33" s="1203"/>
      <c r="M33" s="1203"/>
      <c r="N33" s="1203"/>
      <c r="O33" s="1203"/>
      <c r="P33" s="1252"/>
      <c r="Q33" s="407"/>
      <c r="R33" s="390" t="str">
        <f t="shared" si="2"/>
        <v/>
      </c>
      <c r="S33" s="396" t="str">
        <f t="shared" si="3"/>
        <v/>
      </c>
      <c r="T33" s="407"/>
      <c r="U33" s="1251" t="str">
        <f t="shared" si="4"/>
        <v/>
      </c>
      <c r="V33" s="1203"/>
      <c r="W33" s="1203"/>
      <c r="X33" s="1203"/>
      <c r="Y33" s="1252"/>
      <c r="Z33" s="395" t="str">
        <f t="shared" si="5"/>
        <v/>
      </c>
      <c r="AA33" s="390" t="str">
        <f t="shared" si="6"/>
        <v/>
      </c>
      <c r="AB33" s="390"/>
      <c r="AC33" s="392"/>
      <c r="AD33" s="391"/>
      <c r="AE33" s="395"/>
      <c r="AF33" s="390"/>
      <c r="AG33" s="392"/>
      <c r="AH33" s="395"/>
      <c r="AP33" s="352">
        <v>15</v>
      </c>
      <c r="AQ33" s="382" t="e">
        <f>INDEX(データ!$R$2:$T$86,MATCH(AQ$17,データ!$R$2:$R$86,0)+AP33,AQ$37-1)</f>
        <v>#N/A</v>
      </c>
      <c r="AR33" s="382" t="e">
        <f>INDEX(データ!$R$2:$T$86,MATCH(AQ$17,データ!$R$2:$R$86,0)+AP33,AR$37-1)</f>
        <v>#N/A</v>
      </c>
      <c r="AS33" s="382" t="e">
        <f>INDEX(データ!$R$2:$T$86,MATCH(AQ$17,データ!$R$2:$R$86,0)+AP33,AS$37-1)</f>
        <v>#N/A</v>
      </c>
      <c r="AT33" s="352">
        <v>15</v>
      </c>
      <c r="AU33" s="382" t="e">
        <f>INDEX(データ!$R$2:$T$86,MATCH(AU$17,データ!$R$2:$R$86,0)+AT33,AU$37-1)</f>
        <v>#N/A</v>
      </c>
      <c r="AV33" s="382" t="e">
        <f>INDEX(データ!$R$2:$T$86,MATCH(AU$17,データ!$R$2:$R$86,0)+AT33,AV$37-1)</f>
        <v>#N/A</v>
      </c>
      <c r="AW33" s="382" t="e">
        <f>INDEX(データ!$R$2:$T$86,MATCH(AU$17,データ!$R$2:$R$86,0)+AT33,AW$37-1)</f>
        <v>#N/A</v>
      </c>
      <c r="BH33" s="353"/>
      <c r="BI33" s="353"/>
      <c r="BJ33" s="353"/>
      <c r="BK33" s="353"/>
      <c r="BL33" s="360">
        <v>14</v>
      </c>
      <c r="BM33" s="353"/>
      <c r="BN33" s="353"/>
    </row>
    <row r="34" spans="1:66" ht="12.75" customHeight="1" x14ac:dyDescent="0.2">
      <c r="A34" s="390"/>
      <c r="B34" s="391"/>
      <c r="C34" s="392"/>
      <c r="D34" s="393"/>
      <c r="E34" s="394"/>
      <c r="F34" s="391"/>
      <c r="G34" s="392"/>
      <c r="H34" s="395"/>
      <c r="I34" s="390" t="str">
        <f t="shared" si="1"/>
        <v/>
      </c>
      <c r="J34" s="1251" t="str">
        <f t="shared" si="7"/>
        <v/>
      </c>
      <c r="K34" s="1203"/>
      <c r="L34" s="1203"/>
      <c r="M34" s="1203"/>
      <c r="N34" s="1203"/>
      <c r="O34" s="1203"/>
      <c r="P34" s="1252"/>
      <c r="Q34" s="396"/>
      <c r="R34" s="390" t="str">
        <f t="shared" si="2"/>
        <v/>
      </c>
      <c r="S34" s="396" t="str">
        <f t="shared" si="3"/>
        <v/>
      </c>
      <c r="T34" s="396"/>
      <c r="U34" s="1251" t="str">
        <f t="shared" si="4"/>
        <v/>
      </c>
      <c r="V34" s="1203"/>
      <c r="W34" s="1203"/>
      <c r="X34" s="1203"/>
      <c r="Y34" s="1252"/>
      <c r="Z34" s="395" t="str">
        <f t="shared" si="5"/>
        <v/>
      </c>
      <c r="AA34" s="390" t="str">
        <f t="shared" si="6"/>
        <v/>
      </c>
      <c r="AB34" s="390"/>
      <c r="AC34" s="392"/>
      <c r="AD34" s="391"/>
      <c r="AE34" s="395"/>
      <c r="AF34" s="390"/>
      <c r="AG34" s="392"/>
      <c r="AH34" s="395"/>
      <c r="AP34" s="352">
        <v>16</v>
      </c>
      <c r="AQ34" s="382" t="e">
        <f>INDEX(データ!$R$2:$T$86,MATCH(AQ$17,データ!$R$2:$R$86,0)+AP34,AQ$37-1)</f>
        <v>#N/A</v>
      </c>
      <c r="AR34" s="382" t="e">
        <f>INDEX(データ!$R$2:$T$86,MATCH(AQ$17,データ!$R$2:$R$86,0)+AP34,AR$37-1)</f>
        <v>#N/A</v>
      </c>
      <c r="AS34" s="382" t="e">
        <f>INDEX(データ!$R$2:$T$86,MATCH(AQ$17,データ!$R$2:$R$86,0)+AP34,AS$37-1)</f>
        <v>#N/A</v>
      </c>
      <c r="AT34" s="352">
        <v>16</v>
      </c>
      <c r="AU34" s="382" t="e">
        <f>INDEX(データ!$R$2:$T$86,MATCH(AU$17,データ!$R$2:$R$86,0)+AT34,AU$37-1)</f>
        <v>#N/A</v>
      </c>
      <c r="AV34" s="382" t="e">
        <f>INDEX(データ!$R$2:$T$86,MATCH(AU$17,データ!$R$2:$R$86,0)+AT34,AV$37-1)</f>
        <v>#N/A</v>
      </c>
      <c r="AW34" s="382" t="e">
        <f>INDEX(データ!$R$2:$T$86,MATCH(AU$17,データ!$R$2:$R$86,0)+AT34,AW$37-1)</f>
        <v>#N/A</v>
      </c>
      <c r="BH34" s="353"/>
      <c r="BI34" s="353"/>
      <c r="BJ34" s="353"/>
      <c r="BK34" s="353"/>
      <c r="BL34" s="360">
        <v>13</v>
      </c>
      <c r="BM34" s="353"/>
      <c r="BN34" s="353"/>
    </row>
    <row r="35" spans="1:66" ht="12.75" customHeight="1" x14ac:dyDescent="0.2">
      <c r="A35" s="390"/>
      <c r="B35" s="391"/>
      <c r="C35" s="392"/>
      <c r="D35" s="393"/>
      <c r="E35" s="394"/>
      <c r="F35" s="391"/>
      <c r="G35" s="392"/>
      <c r="H35" s="395" t="str">
        <f>IF(F35+G35=0,"",F35+G35)</f>
        <v/>
      </c>
      <c r="I35" s="390" t="str">
        <f t="shared" si="1"/>
        <v/>
      </c>
      <c r="J35" s="1251" t="str">
        <f t="shared" si="7"/>
        <v/>
      </c>
      <c r="K35" s="1203"/>
      <c r="L35" s="1203"/>
      <c r="M35" s="1203"/>
      <c r="N35" s="1203"/>
      <c r="O35" s="1203"/>
      <c r="P35" s="1252"/>
      <c r="Q35" s="395"/>
      <c r="R35" s="390" t="str">
        <f t="shared" si="2"/>
        <v/>
      </c>
      <c r="S35" s="396" t="str">
        <f t="shared" si="3"/>
        <v/>
      </c>
      <c r="T35" s="395"/>
      <c r="U35" s="1251" t="str">
        <f t="shared" si="4"/>
        <v/>
      </c>
      <c r="V35" s="1203"/>
      <c r="W35" s="1203"/>
      <c r="X35" s="1203"/>
      <c r="Y35" s="1252"/>
      <c r="Z35" s="395" t="str">
        <f t="shared" si="5"/>
        <v/>
      </c>
      <c r="AA35" s="390" t="str">
        <f t="shared" si="6"/>
        <v/>
      </c>
      <c r="AB35" s="390"/>
      <c r="AC35" s="392"/>
      <c r="AD35" s="391"/>
      <c r="AE35" s="395"/>
      <c r="AF35" s="390"/>
      <c r="AG35" s="392"/>
      <c r="AH35" s="395"/>
      <c r="AP35" s="352">
        <v>17</v>
      </c>
      <c r="AQ35" s="382" t="e">
        <f>INDEX(データ!$R$2:$T$86,MATCH(AQ$17,データ!$R$2:$R$86,0)+AP35,AQ$37-1)</f>
        <v>#N/A</v>
      </c>
      <c r="AR35" s="382" t="e">
        <f>INDEX(データ!$R$2:$T$86,MATCH(AQ$17,データ!$R$2:$R$86,0)+AP35,AR$37-1)</f>
        <v>#N/A</v>
      </c>
      <c r="AS35" s="382" t="e">
        <f>INDEX(データ!$R$2:$T$86,MATCH(AQ$17,データ!$R$2:$R$86,0)+AP35,AS$37-1)</f>
        <v>#N/A</v>
      </c>
      <c r="AT35" s="352">
        <v>17</v>
      </c>
      <c r="AU35" s="382" t="e">
        <f>INDEX(データ!$R$2:$T$86,MATCH(AU$17,データ!$R$2:$R$86,0)+AT35,AU$37-1)</f>
        <v>#N/A</v>
      </c>
      <c r="AV35" s="382" t="e">
        <f>INDEX(データ!$R$2:$T$86,MATCH(AU$17,データ!$R$2:$R$86,0)+AT35,AV$37-1)</f>
        <v>#N/A</v>
      </c>
      <c r="AW35" s="382" t="e">
        <f>INDEX(データ!$R$2:$T$86,MATCH(AU$17,データ!$R$2:$R$86,0)+AT35,AW$37-1)</f>
        <v>#N/A</v>
      </c>
      <c r="BH35" s="353"/>
      <c r="BI35" s="353"/>
      <c r="BJ35" s="353"/>
      <c r="BK35" s="353"/>
      <c r="BL35" s="360">
        <v>12</v>
      </c>
      <c r="BM35" s="353"/>
      <c r="BN35" s="353"/>
    </row>
    <row r="36" spans="1:66" ht="12.75" customHeight="1" x14ac:dyDescent="0.2">
      <c r="A36" s="380"/>
      <c r="B36" s="377"/>
      <c r="C36" s="378"/>
      <c r="D36" s="375"/>
      <c r="E36" s="376"/>
      <c r="F36" s="377"/>
      <c r="G36" s="378"/>
      <c r="H36" s="379" t="str">
        <f>IF(F36+G36=0,"",F36+G36)</f>
        <v/>
      </c>
      <c r="I36" s="380" t="str">
        <f t="shared" si="1"/>
        <v/>
      </c>
      <c r="J36" s="1261" t="str">
        <f t="shared" si="7"/>
        <v/>
      </c>
      <c r="K36" s="1262"/>
      <c r="L36" s="1262"/>
      <c r="M36" s="1262"/>
      <c r="N36" s="1262"/>
      <c r="O36" s="1262"/>
      <c r="P36" s="1263"/>
      <c r="Q36" s="408"/>
      <c r="R36" s="380" t="str">
        <f t="shared" si="2"/>
        <v/>
      </c>
      <c r="S36" s="406" t="str">
        <f t="shared" si="3"/>
        <v/>
      </c>
      <c r="T36" s="408"/>
      <c r="U36" s="1261" t="str">
        <f t="shared" si="4"/>
        <v/>
      </c>
      <c r="V36" s="1262"/>
      <c r="W36" s="1262"/>
      <c r="X36" s="1262"/>
      <c r="Y36" s="1263"/>
      <c r="Z36" s="379" t="str">
        <f t="shared" si="5"/>
        <v/>
      </c>
      <c r="AA36" s="380" t="str">
        <f t="shared" si="6"/>
        <v/>
      </c>
      <c r="AB36" s="380"/>
      <c r="AC36" s="378"/>
      <c r="AD36" s="377"/>
      <c r="AE36" s="379"/>
      <c r="AF36" s="380"/>
      <c r="AG36" s="378"/>
      <c r="AH36" s="379"/>
      <c r="AP36" s="352">
        <v>18</v>
      </c>
      <c r="AQ36" s="382" t="e">
        <f>INDEX(データ!$R$2:$T$86,MATCH(AQ$17,データ!$R$2:$R$86,0)+AP36,AQ$37-1)</f>
        <v>#N/A</v>
      </c>
      <c r="AR36" s="382" t="e">
        <f>INDEX(データ!$R$2:$T$86,MATCH(AQ$17,データ!$R$2:$R$86,0)+AP36,AR$37-1)</f>
        <v>#N/A</v>
      </c>
      <c r="AS36" s="382" t="e">
        <f>INDEX(データ!$R$2:$T$86,MATCH(AQ$17,データ!$R$2:$R$86,0)+AP36,AS$37-1)</f>
        <v>#N/A</v>
      </c>
      <c r="AT36" s="352">
        <v>18</v>
      </c>
      <c r="AU36" s="382" t="e">
        <f>INDEX(データ!$R$2:$T$86,MATCH(AU$17,データ!$R$2:$R$86,0)+AT36,AU$37-1)</f>
        <v>#N/A</v>
      </c>
      <c r="AV36" s="382" t="e">
        <f>INDEX(データ!$R$2:$T$86,MATCH(AU$17,データ!$R$2:$R$86,0)+AT36,AV$37-1)</f>
        <v>#N/A</v>
      </c>
      <c r="AW36" s="382" t="e">
        <f>INDEX(データ!$R$2:$T$86,MATCH(AU$17,データ!$R$2:$R$86,0)+AT36,AW$37-1)</f>
        <v>#N/A</v>
      </c>
      <c r="BH36" s="353"/>
      <c r="BI36" s="353"/>
      <c r="BJ36" s="353"/>
      <c r="BK36" s="353"/>
      <c r="BL36" s="360">
        <v>11</v>
      </c>
      <c r="BM36" s="353"/>
      <c r="BN36" s="353"/>
    </row>
    <row r="37" spans="1:66" ht="12.75" customHeight="1" x14ac:dyDescent="0.2">
      <c r="A37" s="1275" t="s">
        <v>355</v>
      </c>
      <c r="B37" s="1276"/>
      <c r="C37" s="1268" t="s">
        <v>356</v>
      </c>
      <c r="D37" s="1269"/>
      <c r="E37" s="1269"/>
      <c r="F37" s="1270"/>
      <c r="G37" s="1233" t="s">
        <v>357</v>
      </c>
      <c r="H37" s="1233"/>
      <c r="I37" s="1277"/>
      <c r="J37" s="1278"/>
      <c r="K37" s="1279" t="s">
        <v>358</v>
      </c>
      <c r="L37" s="1280"/>
      <c r="M37" s="1280"/>
      <c r="N37" s="1280"/>
      <c r="O37" s="1280"/>
      <c r="P37" s="1280"/>
      <c r="Q37" s="1280"/>
      <c r="R37" s="1281"/>
      <c r="S37" s="1279" t="s">
        <v>358</v>
      </c>
      <c r="T37" s="1280"/>
      <c r="U37" s="1280"/>
      <c r="V37" s="1280"/>
      <c r="W37" s="1280"/>
      <c r="X37" s="1281"/>
      <c r="Y37" s="1264" t="s">
        <v>355</v>
      </c>
      <c r="Z37" s="1265"/>
      <c r="AA37" s="1268" t="s">
        <v>356</v>
      </c>
      <c r="AB37" s="1269"/>
      <c r="AC37" s="1269"/>
      <c r="AD37" s="1270"/>
      <c r="AE37" s="1233" t="s">
        <v>357</v>
      </c>
      <c r="AF37" s="1233"/>
      <c r="AG37" s="1233"/>
      <c r="AH37" s="1239"/>
      <c r="AQ37" s="352">
        <v>2</v>
      </c>
      <c r="AR37" s="352">
        <v>3</v>
      </c>
      <c r="AS37" s="352">
        <v>4</v>
      </c>
      <c r="AU37" s="352">
        <v>2</v>
      </c>
      <c r="AV37" s="352">
        <v>3</v>
      </c>
      <c r="AW37" s="352">
        <v>4</v>
      </c>
      <c r="BH37" s="353"/>
      <c r="BI37" s="353"/>
      <c r="BJ37" s="353"/>
      <c r="BK37" s="353"/>
      <c r="BL37" s="360">
        <v>10</v>
      </c>
      <c r="BM37" s="353"/>
      <c r="BN37" s="353"/>
    </row>
    <row r="38" spans="1:66" ht="12.75" customHeight="1" x14ac:dyDescent="0.2">
      <c r="A38" s="1284"/>
      <c r="B38" s="1274"/>
      <c r="C38" s="409"/>
      <c r="D38" s="1195" t="str">
        <f t="shared" ref="D38:D47" si="8">IF(C38="","",INDEX($J$19:$P$36,MATCH(C38,$Q$19:$Q$36,0),1))</f>
        <v/>
      </c>
      <c r="E38" s="1195"/>
      <c r="F38" s="1200"/>
      <c r="G38" s="410"/>
      <c r="H38" s="1266" t="str">
        <f t="shared" ref="H38:H47" si="9">IF(G38="","",INDEX($J$19:$P$36,MATCH(G38,$Q$19:$Q$36,0),1))</f>
        <v/>
      </c>
      <c r="I38" s="1266"/>
      <c r="J38" s="1285"/>
      <c r="K38" s="1244" t="e">
        <f>AS18</f>
        <v>#N/A</v>
      </c>
      <c r="L38" s="1286"/>
      <c r="M38" s="1286"/>
      <c r="N38" s="1271"/>
      <c r="O38" s="1271"/>
      <c r="P38" s="1271"/>
      <c r="Q38" s="1271"/>
      <c r="R38" s="1272"/>
      <c r="S38" s="1244" t="e">
        <f>AW18</f>
        <v>#N/A</v>
      </c>
      <c r="T38" s="1271"/>
      <c r="U38" s="1271"/>
      <c r="V38" s="1271"/>
      <c r="W38" s="1271"/>
      <c r="X38" s="1272"/>
      <c r="Y38" s="1273"/>
      <c r="Z38" s="1274"/>
      <c r="AA38" s="409"/>
      <c r="AB38" s="1266" t="str">
        <f t="shared" ref="AB38:AB47" si="10">IF(AA38="","",INDEX($U$19:$Y$36,MATCH(AA38,$T$19:$T$36,0),1))</f>
        <v/>
      </c>
      <c r="AC38" s="1266"/>
      <c r="AD38" s="1267"/>
      <c r="AE38" s="410"/>
      <c r="AF38" s="1266" t="str">
        <f t="shared" ref="AF38:AF47" si="11">IF(AE38="","",INDEX($U$19:$Y$36,MATCH(AE38,$T$19:$T$36,0),1))</f>
        <v/>
      </c>
      <c r="AG38" s="1266"/>
      <c r="AH38" s="1267"/>
      <c r="AQ38" s="352" t="s">
        <v>346</v>
      </c>
      <c r="AR38" s="352" t="s">
        <v>347</v>
      </c>
      <c r="AS38" s="352" t="s">
        <v>359</v>
      </c>
      <c r="AU38" s="352" t="s">
        <v>346</v>
      </c>
      <c r="AV38" s="352" t="s">
        <v>347</v>
      </c>
      <c r="AW38" s="352" t="s">
        <v>359</v>
      </c>
      <c r="BH38" s="353"/>
      <c r="BI38" s="353"/>
      <c r="BJ38" s="353"/>
      <c r="BK38" s="353"/>
      <c r="BL38" s="360">
        <v>9</v>
      </c>
      <c r="BM38" s="353"/>
      <c r="BN38" s="353"/>
    </row>
    <row r="39" spans="1:66" ht="12.75" customHeight="1" x14ac:dyDescent="0.2">
      <c r="A39" s="1287"/>
      <c r="B39" s="1288"/>
      <c r="C39" s="391"/>
      <c r="D39" s="1266" t="str">
        <f t="shared" si="8"/>
        <v/>
      </c>
      <c r="E39" s="1266"/>
      <c r="F39" s="1267"/>
      <c r="G39" s="393"/>
      <c r="H39" s="1266" t="str">
        <f t="shared" si="9"/>
        <v/>
      </c>
      <c r="I39" s="1266"/>
      <c r="J39" s="1285"/>
      <c r="K39" s="1292"/>
      <c r="L39" s="1293"/>
      <c r="M39" s="1296"/>
      <c r="N39" s="1297"/>
      <c r="O39" s="1282" t="s">
        <v>244</v>
      </c>
      <c r="P39" s="1290" t="s">
        <v>243</v>
      </c>
      <c r="Q39" s="1242" t="s">
        <v>360</v>
      </c>
      <c r="R39" s="1246"/>
      <c r="S39" s="1246"/>
      <c r="T39" s="1243"/>
      <c r="U39" s="1282" t="s">
        <v>243</v>
      </c>
      <c r="V39" s="1290" t="s">
        <v>244</v>
      </c>
      <c r="W39" s="1301"/>
      <c r="X39" s="1303"/>
      <c r="Y39" s="1289"/>
      <c r="Z39" s="1288"/>
      <c r="AA39" s="391"/>
      <c r="AB39" s="1206" t="str">
        <f t="shared" si="10"/>
        <v/>
      </c>
      <c r="AC39" s="1206"/>
      <c r="AD39" s="1207"/>
      <c r="AE39" s="393"/>
      <c r="AF39" s="1206" t="str">
        <f t="shared" si="11"/>
        <v/>
      </c>
      <c r="AG39" s="1206"/>
      <c r="AH39" s="1207"/>
      <c r="BH39" s="353"/>
      <c r="BI39" s="353"/>
      <c r="BJ39" s="353"/>
      <c r="BK39" s="353"/>
      <c r="BL39" s="360">
        <v>8</v>
      </c>
      <c r="BM39" s="353"/>
      <c r="BN39" s="353"/>
    </row>
    <row r="40" spans="1:66" ht="12.75" customHeight="1" x14ac:dyDescent="0.2">
      <c r="A40" s="1287"/>
      <c r="B40" s="1288"/>
      <c r="C40" s="391"/>
      <c r="D40" s="1266" t="str">
        <f t="shared" si="8"/>
        <v/>
      </c>
      <c r="E40" s="1266"/>
      <c r="F40" s="1267"/>
      <c r="G40" s="393"/>
      <c r="H40" s="1266" t="str">
        <f t="shared" si="9"/>
        <v/>
      </c>
      <c r="I40" s="1266"/>
      <c r="J40" s="1285"/>
      <c r="K40" s="1294"/>
      <c r="L40" s="1295"/>
      <c r="M40" s="1298"/>
      <c r="N40" s="1299"/>
      <c r="O40" s="1283"/>
      <c r="P40" s="1291"/>
      <c r="Q40" s="1244"/>
      <c r="R40" s="1300"/>
      <c r="S40" s="1300"/>
      <c r="T40" s="1245"/>
      <c r="U40" s="1283"/>
      <c r="V40" s="1291"/>
      <c r="W40" s="1302"/>
      <c r="X40" s="1304"/>
      <c r="Y40" s="1289"/>
      <c r="Z40" s="1288"/>
      <c r="AA40" s="391"/>
      <c r="AB40" s="1206" t="str">
        <f t="shared" si="10"/>
        <v/>
      </c>
      <c r="AC40" s="1206"/>
      <c r="AD40" s="1207"/>
      <c r="AE40" s="393"/>
      <c r="AF40" s="1206" t="str">
        <f t="shared" si="11"/>
        <v/>
      </c>
      <c r="AG40" s="1206"/>
      <c r="AH40" s="1207"/>
      <c r="BH40" s="353"/>
      <c r="BI40" s="353"/>
      <c r="BJ40" s="353"/>
      <c r="BK40" s="353"/>
      <c r="BL40" s="360">
        <v>7</v>
      </c>
      <c r="BM40" s="353"/>
      <c r="BN40" s="353"/>
    </row>
    <row r="41" spans="1:66" ht="12.75" customHeight="1" x14ac:dyDescent="0.2">
      <c r="A41" s="1287"/>
      <c r="B41" s="1288"/>
      <c r="C41" s="391"/>
      <c r="D41" s="1266" t="str">
        <f t="shared" si="8"/>
        <v/>
      </c>
      <c r="E41" s="1266"/>
      <c r="F41" s="1267"/>
      <c r="G41" s="393"/>
      <c r="H41" s="1266" t="str">
        <f t="shared" si="9"/>
        <v/>
      </c>
      <c r="I41" s="1266"/>
      <c r="J41" s="1285"/>
      <c r="K41" s="1240" t="str">
        <f>IF(SUM(D19:D36)=0,"",SUM(D19:D36))</f>
        <v/>
      </c>
      <c r="L41" s="1219"/>
      <c r="M41" s="1217" t="str">
        <f>IF(SUM(E19:E36)=0,"",SUM(E19:E36))</f>
        <v/>
      </c>
      <c r="N41" s="1309"/>
      <c r="O41" s="410"/>
      <c r="P41" s="411"/>
      <c r="Q41" s="412" t="str">
        <f>IF(SUM(K41:P41)=0,"",SUM(K41:P41))</f>
        <v/>
      </c>
      <c r="R41" s="1310" t="s">
        <v>343</v>
      </c>
      <c r="S41" s="1310"/>
      <c r="T41" s="413" t="str">
        <f>IF(SUM(U41:X41)=0,"",SUM(U41:X41))</f>
        <v/>
      </c>
      <c r="U41" s="410"/>
      <c r="V41" s="411"/>
      <c r="W41" s="384" t="str">
        <f>IF(SUM(AD19:AD36)=0,"",SUM(AD19:AD36))</f>
        <v/>
      </c>
      <c r="X41" s="385" t="str">
        <f>IF(SUM(AE19:AE36)=0,"",SUM(AE19:AE36))</f>
        <v/>
      </c>
      <c r="Y41" s="1289"/>
      <c r="Z41" s="1288"/>
      <c r="AA41" s="391"/>
      <c r="AB41" s="1206" t="str">
        <f t="shared" si="10"/>
        <v/>
      </c>
      <c r="AC41" s="1206"/>
      <c r="AD41" s="1207"/>
      <c r="AE41" s="393"/>
      <c r="AF41" s="1206" t="str">
        <f t="shared" si="11"/>
        <v/>
      </c>
      <c r="AG41" s="1206"/>
      <c r="AH41" s="1207"/>
      <c r="BH41" s="353"/>
      <c r="BI41" s="353"/>
      <c r="BJ41" s="353"/>
      <c r="BK41" s="353"/>
      <c r="BL41" s="360">
        <v>6</v>
      </c>
      <c r="BM41" s="353"/>
      <c r="BN41" s="353"/>
    </row>
    <row r="42" spans="1:66" ht="12.75" customHeight="1" x14ac:dyDescent="0.2">
      <c r="A42" s="1287"/>
      <c r="B42" s="1288"/>
      <c r="C42" s="391"/>
      <c r="D42" s="1266" t="str">
        <f t="shared" si="8"/>
        <v/>
      </c>
      <c r="E42" s="1266"/>
      <c r="F42" s="1267"/>
      <c r="G42" s="393"/>
      <c r="H42" s="1266" t="str">
        <f t="shared" si="9"/>
        <v/>
      </c>
      <c r="I42" s="1266"/>
      <c r="J42" s="1285"/>
      <c r="K42" s="1305"/>
      <c r="L42" s="1306"/>
      <c r="M42" s="1288"/>
      <c r="N42" s="1307"/>
      <c r="O42" s="393"/>
      <c r="P42" s="394"/>
      <c r="Q42" s="414" t="str">
        <f t="shared" ref="Q42:Q47" si="12">IF(O42+P42=0,"",O42+P42)</f>
        <v/>
      </c>
      <c r="R42" s="1308" t="s">
        <v>361</v>
      </c>
      <c r="S42" s="1308"/>
      <c r="T42" s="415" t="str">
        <f t="shared" ref="T42:T47" si="13">IF(U42+V42=0,"",U42+V42)</f>
        <v/>
      </c>
      <c r="U42" s="393"/>
      <c r="V42" s="394"/>
      <c r="W42" s="391"/>
      <c r="X42" s="392"/>
      <c r="Y42" s="1289"/>
      <c r="Z42" s="1288"/>
      <c r="AA42" s="391"/>
      <c r="AB42" s="1206" t="str">
        <f t="shared" si="10"/>
        <v/>
      </c>
      <c r="AC42" s="1206"/>
      <c r="AD42" s="1207"/>
      <c r="AE42" s="393"/>
      <c r="AF42" s="1206" t="str">
        <f t="shared" si="11"/>
        <v/>
      </c>
      <c r="AG42" s="1206"/>
      <c r="AH42" s="1207"/>
      <c r="BH42" s="353"/>
      <c r="BI42" s="353"/>
      <c r="BJ42" s="353"/>
      <c r="BK42" s="353"/>
      <c r="BL42" s="360">
        <v>5</v>
      </c>
      <c r="BM42" s="353"/>
      <c r="BN42" s="353"/>
    </row>
    <row r="43" spans="1:66" ht="12.75" customHeight="1" x14ac:dyDescent="0.2">
      <c r="A43" s="1287" t="s">
        <v>294</v>
      </c>
      <c r="B43" s="1288"/>
      <c r="C43" s="391"/>
      <c r="D43" s="1266" t="str">
        <f t="shared" si="8"/>
        <v/>
      </c>
      <c r="E43" s="1266"/>
      <c r="F43" s="1267"/>
      <c r="G43" s="393"/>
      <c r="H43" s="1266" t="str">
        <f t="shared" si="9"/>
        <v/>
      </c>
      <c r="I43" s="1266"/>
      <c r="J43" s="1285"/>
      <c r="K43" s="1305"/>
      <c r="L43" s="1306"/>
      <c r="M43" s="1288"/>
      <c r="N43" s="1307"/>
      <c r="O43" s="393"/>
      <c r="P43" s="394"/>
      <c r="Q43" s="414" t="str">
        <f t="shared" si="12"/>
        <v/>
      </c>
      <c r="R43" s="1308" t="s">
        <v>362</v>
      </c>
      <c r="S43" s="1308"/>
      <c r="T43" s="415" t="str">
        <f t="shared" si="13"/>
        <v/>
      </c>
      <c r="U43" s="393"/>
      <c r="V43" s="394"/>
      <c r="W43" s="391"/>
      <c r="X43" s="392"/>
      <c r="Y43" s="1289"/>
      <c r="Z43" s="1288"/>
      <c r="AA43" s="391"/>
      <c r="AB43" s="1206" t="str">
        <f t="shared" si="10"/>
        <v/>
      </c>
      <c r="AC43" s="1206"/>
      <c r="AD43" s="1207"/>
      <c r="AE43" s="393"/>
      <c r="AF43" s="1206" t="str">
        <f t="shared" si="11"/>
        <v/>
      </c>
      <c r="AG43" s="1206"/>
      <c r="AH43" s="1207"/>
      <c r="BH43" s="353"/>
      <c r="BI43" s="353"/>
      <c r="BJ43" s="353"/>
      <c r="BK43" s="353"/>
      <c r="BL43" s="360">
        <v>4</v>
      </c>
      <c r="BM43" s="353"/>
      <c r="BN43" s="353"/>
    </row>
    <row r="44" spans="1:66" ht="12.75" customHeight="1" x14ac:dyDescent="0.2">
      <c r="A44" s="1287" t="s">
        <v>294</v>
      </c>
      <c r="B44" s="1288"/>
      <c r="C44" s="391"/>
      <c r="D44" s="1266" t="str">
        <f t="shared" si="8"/>
        <v/>
      </c>
      <c r="E44" s="1266"/>
      <c r="F44" s="1267"/>
      <c r="G44" s="393"/>
      <c r="H44" s="1266" t="str">
        <f t="shared" si="9"/>
        <v/>
      </c>
      <c r="I44" s="1266"/>
      <c r="J44" s="1285"/>
      <c r="K44" s="1305"/>
      <c r="L44" s="1306"/>
      <c r="M44" s="1288"/>
      <c r="N44" s="1307"/>
      <c r="O44" s="393"/>
      <c r="P44" s="394"/>
      <c r="Q44" s="414" t="str">
        <f t="shared" si="12"/>
        <v/>
      </c>
      <c r="R44" s="1308" t="s">
        <v>363</v>
      </c>
      <c r="S44" s="1308"/>
      <c r="T44" s="415" t="str">
        <f t="shared" si="13"/>
        <v/>
      </c>
      <c r="U44" s="393"/>
      <c r="V44" s="394"/>
      <c r="W44" s="391"/>
      <c r="X44" s="392"/>
      <c r="Y44" s="1289"/>
      <c r="Z44" s="1288"/>
      <c r="AA44" s="391"/>
      <c r="AB44" s="1206" t="str">
        <f t="shared" si="10"/>
        <v/>
      </c>
      <c r="AC44" s="1206"/>
      <c r="AD44" s="1207"/>
      <c r="AE44" s="393"/>
      <c r="AF44" s="1206" t="str">
        <f t="shared" si="11"/>
        <v/>
      </c>
      <c r="AG44" s="1206"/>
      <c r="AH44" s="1207"/>
      <c r="BH44" s="353"/>
      <c r="BI44" s="353"/>
      <c r="BJ44" s="353"/>
      <c r="BK44" s="353"/>
      <c r="BL44" s="360">
        <v>3</v>
      </c>
      <c r="BM44" s="353"/>
      <c r="BN44" s="353"/>
    </row>
    <row r="45" spans="1:66" ht="12.75" customHeight="1" x14ac:dyDescent="0.2">
      <c r="A45" s="1287" t="s">
        <v>294</v>
      </c>
      <c r="B45" s="1288"/>
      <c r="C45" s="391"/>
      <c r="D45" s="1266" t="str">
        <f t="shared" si="8"/>
        <v/>
      </c>
      <c r="E45" s="1266"/>
      <c r="F45" s="1267"/>
      <c r="G45" s="393"/>
      <c r="H45" s="1266" t="str">
        <f t="shared" si="9"/>
        <v/>
      </c>
      <c r="I45" s="1266"/>
      <c r="J45" s="1285"/>
      <c r="K45" s="1305"/>
      <c r="L45" s="1306"/>
      <c r="M45" s="1288"/>
      <c r="N45" s="1307"/>
      <c r="O45" s="393"/>
      <c r="P45" s="394"/>
      <c r="Q45" s="414" t="str">
        <f t="shared" si="12"/>
        <v/>
      </c>
      <c r="R45" s="1308" t="s">
        <v>364</v>
      </c>
      <c r="S45" s="1308"/>
      <c r="T45" s="415" t="str">
        <f t="shared" si="13"/>
        <v/>
      </c>
      <c r="U45" s="393"/>
      <c r="V45" s="394"/>
      <c r="W45" s="391"/>
      <c r="X45" s="392"/>
      <c r="Y45" s="1289"/>
      <c r="Z45" s="1288"/>
      <c r="AA45" s="391"/>
      <c r="AB45" s="1206" t="str">
        <f t="shared" si="10"/>
        <v/>
      </c>
      <c r="AC45" s="1206"/>
      <c r="AD45" s="1207"/>
      <c r="AE45" s="393"/>
      <c r="AF45" s="1206" t="str">
        <f t="shared" si="11"/>
        <v/>
      </c>
      <c r="AG45" s="1206"/>
      <c r="AH45" s="1207"/>
      <c r="BH45" s="353"/>
      <c r="BI45" s="353"/>
      <c r="BJ45" s="353"/>
      <c r="BK45" s="353"/>
      <c r="BL45" s="360">
        <v>2</v>
      </c>
      <c r="BM45" s="353"/>
      <c r="BN45" s="353"/>
    </row>
    <row r="46" spans="1:66" ht="12.75" customHeight="1" x14ac:dyDescent="0.2">
      <c r="A46" s="1287" t="s">
        <v>294</v>
      </c>
      <c r="B46" s="1288"/>
      <c r="C46" s="391"/>
      <c r="D46" s="1266" t="str">
        <f t="shared" si="8"/>
        <v/>
      </c>
      <c r="E46" s="1266"/>
      <c r="F46" s="1267"/>
      <c r="G46" s="393"/>
      <c r="H46" s="1266" t="str">
        <f t="shared" si="9"/>
        <v/>
      </c>
      <c r="I46" s="1266"/>
      <c r="J46" s="1285"/>
      <c r="K46" s="1305"/>
      <c r="L46" s="1306"/>
      <c r="M46" s="1288"/>
      <c r="N46" s="1307"/>
      <c r="O46" s="393"/>
      <c r="P46" s="394"/>
      <c r="Q46" s="414" t="str">
        <f t="shared" si="12"/>
        <v/>
      </c>
      <c r="R46" s="1308" t="s">
        <v>365</v>
      </c>
      <c r="S46" s="1308"/>
      <c r="T46" s="415" t="str">
        <f t="shared" si="13"/>
        <v/>
      </c>
      <c r="U46" s="393"/>
      <c r="V46" s="394"/>
      <c r="W46" s="391"/>
      <c r="X46" s="392"/>
      <c r="Y46" s="1289"/>
      <c r="Z46" s="1288"/>
      <c r="AA46" s="391"/>
      <c r="AB46" s="1206" t="str">
        <f t="shared" si="10"/>
        <v/>
      </c>
      <c r="AC46" s="1206"/>
      <c r="AD46" s="1207"/>
      <c r="AE46" s="393"/>
      <c r="AF46" s="1206" t="str">
        <f t="shared" si="11"/>
        <v/>
      </c>
      <c r="AG46" s="1206"/>
      <c r="AH46" s="1207"/>
      <c r="BH46" s="353"/>
      <c r="BI46" s="353"/>
      <c r="BJ46" s="353"/>
      <c r="BK46" s="353"/>
      <c r="BL46" s="360">
        <v>1</v>
      </c>
      <c r="BM46" s="353"/>
      <c r="BN46" s="353"/>
    </row>
    <row r="47" spans="1:66" ht="12.75" customHeight="1" x14ac:dyDescent="0.2">
      <c r="A47" s="1244"/>
      <c r="B47" s="1311"/>
      <c r="C47" s="377"/>
      <c r="D47" s="1312" t="str">
        <f t="shared" si="8"/>
        <v/>
      </c>
      <c r="E47" s="1312"/>
      <c r="F47" s="1313"/>
      <c r="G47" s="375"/>
      <c r="H47" s="1266" t="str">
        <f t="shared" si="9"/>
        <v/>
      </c>
      <c r="I47" s="1266"/>
      <c r="J47" s="1285"/>
      <c r="K47" s="1241"/>
      <c r="L47" s="1314"/>
      <c r="M47" s="1311"/>
      <c r="N47" s="1315"/>
      <c r="O47" s="375"/>
      <c r="P47" s="376"/>
      <c r="Q47" s="416" t="str">
        <f t="shared" si="12"/>
        <v/>
      </c>
      <c r="R47" s="1300" t="s">
        <v>366</v>
      </c>
      <c r="S47" s="1300"/>
      <c r="T47" s="417" t="str">
        <f t="shared" si="13"/>
        <v/>
      </c>
      <c r="U47" s="375"/>
      <c r="V47" s="376"/>
      <c r="W47" s="377"/>
      <c r="X47" s="378"/>
      <c r="Y47" s="1286"/>
      <c r="Z47" s="1311"/>
      <c r="AA47" s="377"/>
      <c r="AB47" s="1224" t="str">
        <f t="shared" si="10"/>
        <v/>
      </c>
      <c r="AC47" s="1224"/>
      <c r="AD47" s="1316"/>
      <c r="AE47" s="375"/>
      <c r="AF47" s="1224" t="str">
        <f t="shared" si="11"/>
        <v/>
      </c>
      <c r="AG47" s="1224"/>
      <c r="AH47" s="1316"/>
      <c r="BH47" s="353"/>
      <c r="BI47" s="353"/>
      <c r="BJ47" s="353"/>
      <c r="BK47" s="353"/>
      <c r="BL47" s="360">
        <v>0</v>
      </c>
      <c r="BM47" s="353"/>
      <c r="BN47" s="353"/>
    </row>
    <row r="48" spans="1:66" ht="12.75" customHeight="1" x14ac:dyDescent="0.2">
      <c r="A48" s="1320" t="s">
        <v>367</v>
      </c>
      <c r="B48" s="1321"/>
      <c r="C48" s="1322" t="s">
        <v>368</v>
      </c>
      <c r="D48" s="1323"/>
      <c r="E48" s="1324"/>
      <c r="F48" s="418" t="s">
        <v>369</v>
      </c>
      <c r="G48" s="1325" t="s">
        <v>370</v>
      </c>
      <c r="H48" s="1323"/>
      <c r="I48" s="1323"/>
      <c r="J48" s="1324"/>
      <c r="K48" s="1322" t="s">
        <v>371</v>
      </c>
      <c r="L48" s="1323"/>
      <c r="M48" s="1323"/>
      <c r="N48" s="1324"/>
      <c r="O48" s="1322" t="s">
        <v>372</v>
      </c>
      <c r="P48" s="1323"/>
      <c r="Q48" s="1323"/>
      <c r="R48" s="1323"/>
      <c r="S48" s="1323"/>
      <c r="T48" s="1323"/>
      <c r="U48" s="1323"/>
      <c r="V48" s="1323"/>
      <c r="W48" s="1323"/>
      <c r="X48" s="1323"/>
      <c r="Y48" s="1323"/>
      <c r="Z48" s="1323"/>
      <c r="AA48" s="1323"/>
      <c r="AB48" s="1323"/>
      <c r="AC48" s="1323"/>
      <c r="AD48" s="1323"/>
      <c r="AE48" s="1323"/>
      <c r="AF48" s="1323"/>
      <c r="AG48" s="1323"/>
      <c r="AH48" s="1324"/>
      <c r="BH48" s="353"/>
      <c r="BI48" s="353"/>
      <c r="BJ48" s="353"/>
      <c r="BK48" s="353"/>
      <c r="BL48" s="360">
        <v>-1</v>
      </c>
      <c r="BM48" s="353"/>
      <c r="BN48" s="353"/>
    </row>
    <row r="49" spans="1:66" ht="12.75" customHeight="1" x14ac:dyDescent="0.2">
      <c r="A49" s="1305"/>
      <c r="B49" s="1319"/>
      <c r="C49" s="1255"/>
      <c r="D49" s="1256"/>
      <c r="E49" s="1257"/>
      <c r="F49" s="383"/>
      <c r="G49" s="1317" t="str">
        <f>IF(C49="","",IF(F49="","オウンゴール",IF(C49=$A$10,INDEX($J$19:$P$36,MATCH(F49,$Q$19:$Q$36,0),1),INDEX($U$19:$Y$36,MATCH(F49,$T$19:$T$36,0),1))))</f>
        <v/>
      </c>
      <c r="H49" s="1256"/>
      <c r="I49" s="1256"/>
      <c r="J49" s="1257"/>
      <c r="K49" s="419" t="str">
        <f>IF(C49="","",IF(C49=$A$10,1,0))</f>
        <v/>
      </c>
      <c r="L49" s="1318" t="str">
        <f t="shared" ref="L49:L59" si="14">IF(C49="","","-")</f>
        <v/>
      </c>
      <c r="M49" s="1318"/>
      <c r="N49" s="420" t="str">
        <f>IF(C49="","",IF(C49=$Z$10,1,0))</f>
        <v/>
      </c>
      <c r="O49" s="1242"/>
      <c r="P49" s="1246"/>
      <c r="Q49" s="1246"/>
      <c r="R49" s="1246"/>
      <c r="S49" s="1246"/>
      <c r="T49" s="1246"/>
      <c r="U49" s="1246"/>
      <c r="V49" s="1246"/>
      <c r="W49" s="1246"/>
      <c r="X49" s="1246"/>
      <c r="Y49" s="1246"/>
      <c r="Z49" s="1246"/>
      <c r="AA49" s="1246"/>
      <c r="AB49" s="1246"/>
      <c r="AC49" s="1246"/>
      <c r="AD49" s="1246"/>
      <c r="AE49" s="1246"/>
      <c r="AF49" s="1246"/>
      <c r="AG49" s="1246"/>
      <c r="AH49" s="1243"/>
      <c r="AI49" s="352" t="str">
        <f t="shared" ref="AI49:AI59" si="15">IF(C49="","",C49&amp;F49&amp;G49)</f>
        <v/>
      </c>
      <c r="BH49" s="353"/>
      <c r="BI49" s="353"/>
      <c r="BJ49" s="353"/>
      <c r="BK49" s="353"/>
      <c r="BL49" s="360">
        <v>-2</v>
      </c>
      <c r="BM49" s="353"/>
      <c r="BN49" s="353"/>
    </row>
    <row r="50" spans="1:66" ht="12.75" customHeight="1" x14ac:dyDescent="0.2">
      <c r="A50" s="1305"/>
      <c r="B50" s="1319"/>
      <c r="C50" s="1251"/>
      <c r="D50" s="1203"/>
      <c r="E50" s="1252"/>
      <c r="F50" s="390"/>
      <c r="G50" s="1202" t="str">
        <f t="shared" ref="G50:G59" si="16">IF(AND(C50="",F50="")=TRUE,"",IF(F50="","オウンゴール",IF(C50=$A$10,INDEX($J$19:$P$36,MATCH(F50,$Q$19:$Q$36,0),1),INDEX($U$19:$Y$36,MATCH(F50,$T$19:$T$36,0),1))))</f>
        <v/>
      </c>
      <c r="H50" s="1203"/>
      <c r="I50" s="1203"/>
      <c r="J50" s="1252"/>
      <c r="K50" s="421" t="str">
        <f t="shared" ref="K50:K59" si="17">IF(C50="","",IF(C50=$A$10,K49+1,K49))</f>
        <v/>
      </c>
      <c r="L50" s="1327" t="str">
        <f t="shared" si="14"/>
        <v/>
      </c>
      <c r="M50" s="1327"/>
      <c r="N50" s="422" t="str">
        <f t="shared" ref="N50:N59" si="18">IF(C50="","",IF(C50=$Z$10,N49+1,N49))</f>
        <v/>
      </c>
      <c r="O50" s="1287"/>
      <c r="P50" s="1308"/>
      <c r="Q50" s="1308"/>
      <c r="R50" s="1308"/>
      <c r="S50" s="1308"/>
      <c r="T50" s="1308"/>
      <c r="U50" s="1308"/>
      <c r="V50" s="1308"/>
      <c r="W50" s="1308"/>
      <c r="X50" s="1308"/>
      <c r="Y50" s="1308"/>
      <c r="Z50" s="1308"/>
      <c r="AA50" s="1308"/>
      <c r="AB50" s="1308"/>
      <c r="AC50" s="1308"/>
      <c r="AD50" s="1308"/>
      <c r="AE50" s="1308"/>
      <c r="AF50" s="1308"/>
      <c r="AG50" s="1308"/>
      <c r="AH50" s="1326"/>
      <c r="AI50" s="352" t="str">
        <f t="shared" si="15"/>
        <v/>
      </c>
      <c r="BH50" s="353"/>
      <c r="BI50" s="353"/>
      <c r="BJ50" s="353"/>
      <c r="BK50" s="353"/>
      <c r="BL50" s="360">
        <v>-3</v>
      </c>
      <c r="BM50" s="353"/>
      <c r="BN50" s="353"/>
    </row>
    <row r="51" spans="1:66" ht="12.75" customHeight="1" x14ac:dyDescent="0.2">
      <c r="A51" s="1305"/>
      <c r="B51" s="1319"/>
      <c r="C51" s="1251"/>
      <c r="D51" s="1203"/>
      <c r="E51" s="1252"/>
      <c r="F51" s="390"/>
      <c r="G51" s="1202" t="str">
        <f t="shared" si="16"/>
        <v/>
      </c>
      <c r="H51" s="1203"/>
      <c r="I51" s="1203"/>
      <c r="J51" s="1252"/>
      <c r="K51" s="421" t="str">
        <f t="shared" si="17"/>
        <v/>
      </c>
      <c r="L51" s="1327" t="str">
        <f t="shared" si="14"/>
        <v/>
      </c>
      <c r="M51" s="1327"/>
      <c r="N51" s="422" t="str">
        <f t="shared" si="18"/>
        <v/>
      </c>
      <c r="O51" s="1287"/>
      <c r="P51" s="1308"/>
      <c r="Q51" s="1308"/>
      <c r="R51" s="1308"/>
      <c r="S51" s="1308"/>
      <c r="T51" s="1308"/>
      <c r="U51" s="1308"/>
      <c r="V51" s="1308"/>
      <c r="W51" s="1308"/>
      <c r="X51" s="1308"/>
      <c r="Y51" s="1308"/>
      <c r="Z51" s="1308"/>
      <c r="AA51" s="1308"/>
      <c r="AB51" s="1308"/>
      <c r="AC51" s="1308"/>
      <c r="AD51" s="1308"/>
      <c r="AE51" s="1308"/>
      <c r="AF51" s="1308"/>
      <c r="AG51" s="1308"/>
      <c r="AH51" s="1326"/>
      <c r="AI51" s="352" t="str">
        <f t="shared" si="15"/>
        <v/>
      </c>
      <c r="BH51" s="353"/>
      <c r="BI51" s="353"/>
      <c r="BJ51" s="353"/>
      <c r="BK51" s="353"/>
      <c r="BL51" s="360">
        <v>-4</v>
      </c>
      <c r="BM51" s="353"/>
      <c r="BN51" s="353"/>
    </row>
    <row r="52" spans="1:66" ht="12.75" customHeight="1" x14ac:dyDescent="0.2">
      <c r="A52" s="1305"/>
      <c r="B52" s="1319"/>
      <c r="C52" s="1251"/>
      <c r="D52" s="1203"/>
      <c r="E52" s="1252"/>
      <c r="F52" s="390"/>
      <c r="G52" s="1202" t="str">
        <f t="shared" si="16"/>
        <v/>
      </c>
      <c r="H52" s="1203"/>
      <c r="I52" s="1203"/>
      <c r="J52" s="1252"/>
      <c r="K52" s="421" t="str">
        <f t="shared" si="17"/>
        <v/>
      </c>
      <c r="L52" s="1327" t="str">
        <f t="shared" si="14"/>
        <v/>
      </c>
      <c r="M52" s="1327"/>
      <c r="N52" s="422" t="str">
        <f t="shared" si="18"/>
        <v/>
      </c>
      <c r="O52" s="1287"/>
      <c r="P52" s="1308"/>
      <c r="Q52" s="1308"/>
      <c r="R52" s="1308"/>
      <c r="S52" s="1308"/>
      <c r="T52" s="1308"/>
      <c r="U52" s="1308"/>
      <c r="V52" s="1308"/>
      <c r="W52" s="1308"/>
      <c r="X52" s="1308"/>
      <c r="Y52" s="1308"/>
      <c r="Z52" s="1308"/>
      <c r="AA52" s="1308"/>
      <c r="AB52" s="1308"/>
      <c r="AC52" s="1308"/>
      <c r="AD52" s="1308"/>
      <c r="AE52" s="1308"/>
      <c r="AF52" s="1308"/>
      <c r="AG52" s="1308"/>
      <c r="AH52" s="1326"/>
      <c r="AI52" s="352" t="str">
        <f t="shared" si="15"/>
        <v/>
      </c>
      <c r="BH52" s="353"/>
      <c r="BI52" s="353"/>
      <c r="BJ52" s="353"/>
      <c r="BK52" s="353"/>
      <c r="BL52" s="360">
        <v>-5</v>
      </c>
      <c r="BM52" s="353"/>
      <c r="BN52" s="353"/>
    </row>
    <row r="53" spans="1:66" ht="12.75" customHeight="1" x14ac:dyDescent="0.2">
      <c r="A53" s="1305"/>
      <c r="B53" s="1319"/>
      <c r="C53" s="1251"/>
      <c r="D53" s="1203"/>
      <c r="E53" s="1252"/>
      <c r="F53" s="390"/>
      <c r="G53" s="1202" t="str">
        <f t="shared" si="16"/>
        <v/>
      </c>
      <c r="H53" s="1203"/>
      <c r="I53" s="1203"/>
      <c r="J53" s="1252"/>
      <c r="K53" s="421" t="str">
        <f t="shared" si="17"/>
        <v/>
      </c>
      <c r="L53" s="1327" t="str">
        <f t="shared" si="14"/>
        <v/>
      </c>
      <c r="M53" s="1327"/>
      <c r="N53" s="422" t="str">
        <f t="shared" si="18"/>
        <v/>
      </c>
      <c r="O53" s="1287"/>
      <c r="P53" s="1308"/>
      <c r="Q53" s="1308"/>
      <c r="R53" s="1308"/>
      <c r="S53" s="1308"/>
      <c r="T53" s="1308"/>
      <c r="U53" s="1308"/>
      <c r="V53" s="1308"/>
      <c r="W53" s="1308"/>
      <c r="X53" s="1308"/>
      <c r="Y53" s="1308"/>
      <c r="Z53" s="1308"/>
      <c r="AA53" s="1308"/>
      <c r="AB53" s="1308"/>
      <c r="AC53" s="1308"/>
      <c r="AD53" s="1308"/>
      <c r="AE53" s="1308"/>
      <c r="AF53" s="1308"/>
      <c r="AG53" s="1308"/>
      <c r="AH53" s="1326"/>
      <c r="AI53" s="352" t="str">
        <f t="shared" si="15"/>
        <v/>
      </c>
      <c r="BH53" s="353"/>
      <c r="BI53" s="353"/>
      <c r="BJ53" s="353"/>
      <c r="BK53" s="353"/>
      <c r="BL53" s="360">
        <v>-6</v>
      </c>
      <c r="BM53" s="353"/>
      <c r="BN53" s="353"/>
    </row>
    <row r="54" spans="1:66" ht="12.75" customHeight="1" x14ac:dyDescent="0.2">
      <c r="A54" s="1305"/>
      <c r="B54" s="1319"/>
      <c r="C54" s="1251"/>
      <c r="D54" s="1203"/>
      <c r="E54" s="1252"/>
      <c r="F54" s="390"/>
      <c r="G54" s="1202" t="str">
        <f t="shared" si="16"/>
        <v/>
      </c>
      <c r="H54" s="1203"/>
      <c r="I54" s="1203"/>
      <c r="J54" s="1252"/>
      <c r="K54" s="421" t="str">
        <f t="shared" si="17"/>
        <v/>
      </c>
      <c r="L54" s="1327" t="str">
        <f t="shared" si="14"/>
        <v/>
      </c>
      <c r="M54" s="1327"/>
      <c r="N54" s="422" t="str">
        <f t="shared" si="18"/>
        <v/>
      </c>
      <c r="O54" s="1287"/>
      <c r="P54" s="1308"/>
      <c r="Q54" s="1308"/>
      <c r="R54" s="1308"/>
      <c r="S54" s="1308"/>
      <c r="T54" s="1308"/>
      <c r="U54" s="1308"/>
      <c r="V54" s="1308"/>
      <c r="W54" s="1308"/>
      <c r="X54" s="1308"/>
      <c r="Y54" s="1308"/>
      <c r="Z54" s="1308"/>
      <c r="AA54" s="1308"/>
      <c r="AB54" s="1308"/>
      <c r="AC54" s="1308"/>
      <c r="AD54" s="1308"/>
      <c r="AE54" s="1308"/>
      <c r="AF54" s="1308"/>
      <c r="AG54" s="1308"/>
      <c r="AH54" s="1326"/>
      <c r="AI54" s="352" t="str">
        <f t="shared" si="15"/>
        <v/>
      </c>
      <c r="BH54" s="353"/>
      <c r="BI54" s="353"/>
      <c r="BJ54" s="353"/>
      <c r="BK54" s="353"/>
      <c r="BL54" s="360">
        <v>-7</v>
      </c>
      <c r="BM54" s="353"/>
      <c r="BN54" s="353"/>
    </row>
    <row r="55" spans="1:66" ht="12.75" customHeight="1" x14ac:dyDescent="0.2">
      <c r="A55" s="1305"/>
      <c r="B55" s="1319"/>
      <c r="C55" s="1251"/>
      <c r="D55" s="1203"/>
      <c r="E55" s="1252"/>
      <c r="F55" s="390"/>
      <c r="G55" s="1202" t="str">
        <f t="shared" si="16"/>
        <v/>
      </c>
      <c r="H55" s="1203"/>
      <c r="I55" s="1203"/>
      <c r="J55" s="1252"/>
      <c r="K55" s="421" t="str">
        <f t="shared" si="17"/>
        <v/>
      </c>
      <c r="L55" s="1327" t="str">
        <f t="shared" si="14"/>
        <v/>
      </c>
      <c r="M55" s="1327"/>
      <c r="N55" s="422" t="str">
        <f t="shared" si="18"/>
        <v/>
      </c>
      <c r="O55" s="1287"/>
      <c r="P55" s="1308"/>
      <c r="Q55" s="1308"/>
      <c r="R55" s="1308"/>
      <c r="S55" s="1308"/>
      <c r="T55" s="1308"/>
      <c r="U55" s="1308"/>
      <c r="V55" s="1308"/>
      <c r="W55" s="1308"/>
      <c r="X55" s="1308"/>
      <c r="Y55" s="1308"/>
      <c r="Z55" s="1308"/>
      <c r="AA55" s="1308"/>
      <c r="AB55" s="1308"/>
      <c r="AC55" s="1308"/>
      <c r="AD55" s="1308"/>
      <c r="AE55" s="1308"/>
      <c r="AF55" s="1308"/>
      <c r="AG55" s="1308"/>
      <c r="AH55" s="1326"/>
      <c r="AI55" s="352" t="str">
        <f t="shared" si="15"/>
        <v/>
      </c>
      <c r="BH55" s="353"/>
      <c r="BI55" s="353"/>
      <c r="BJ55" s="353"/>
      <c r="BK55" s="353"/>
      <c r="BL55" s="360">
        <v>-8</v>
      </c>
      <c r="BM55" s="353"/>
      <c r="BN55" s="353"/>
    </row>
    <row r="56" spans="1:66" ht="12.75" customHeight="1" x14ac:dyDescent="0.2">
      <c r="A56" s="1305"/>
      <c r="B56" s="1319"/>
      <c r="C56" s="1251"/>
      <c r="D56" s="1203"/>
      <c r="E56" s="1252"/>
      <c r="F56" s="390"/>
      <c r="G56" s="1202" t="str">
        <f t="shared" si="16"/>
        <v/>
      </c>
      <c r="H56" s="1203"/>
      <c r="I56" s="1203"/>
      <c r="J56" s="1252"/>
      <c r="K56" s="421" t="str">
        <f t="shared" si="17"/>
        <v/>
      </c>
      <c r="L56" s="1327" t="str">
        <f t="shared" si="14"/>
        <v/>
      </c>
      <c r="M56" s="1327"/>
      <c r="N56" s="422" t="str">
        <f t="shared" si="18"/>
        <v/>
      </c>
      <c r="O56" s="1287"/>
      <c r="P56" s="1308"/>
      <c r="Q56" s="1308"/>
      <c r="R56" s="1308"/>
      <c r="S56" s="1308"/>
      <c r="T56" s="1308"/>
      <c r="U56" s="1308"/>
      <c r="V56" s="1308"/>
      <c r="W56" s="1308"/>
      <c r="X56" s="1308"/>
      <c r="Y56" s="1308"/>
      <c r="Z56" s="1308"/>
      <c r="AA56" s="1308"/>
      <c r="AB56" s="1308"/>
      <c r="AC56" s="1308"/>
      <c r="AD56" s="1308"/>
      <c r="AE56" s="1308"/>
      <c r="AF56" s="1308"/>
      <c r="AG56" s="1308"/>
      <c r="AH56" s="1326"/>
      <c r="AI56" s="352" t="str">
        <f t="shared" si="15"/>
        <v/>
      </c>
      <c r="BH56" s="353"/>
      <c r="BI56" s="353"/>
      <c r="BJ56" s="353"/>
      <c r="BK56" s="353"/>
      <c r="BL56" s="360">
        <v>-9</v>
      </c>
      <c r="BM56" s="353"/>
      <c r="BN56" s="353"/>
    </row>
    <row r="57" spans="1:66" ht="12.75" customHeight="1" x14ac:dyDescent="0.2">
      <c r="A57" s="1305"/>
      <c r="B57" s="1319"/>
      <c r="C57" s="1251"/>
      <c r="D57" s="1203"/>
      <c r="E57" s="1252"/>
      <c r="F57" s="390"/>
      <c r="G57" s="1202" t="str">
        <f t="shared" si="16"/>
        <v/>
      </c>
      <c r="H57" s="1203"/>
      <c r="I57" s="1203"/>
      <c r="J57" s="1252"/>
      <c r="K57" s="421" t="str">
        <f t="shared" si="17"/>
        <v/>
      </c>
      <c r="L57" s="1327" t="str">
        <f t="shared" si="14"/>
        <v/>
      </c>
      <c r="M57" s="1327"/>
      <c r="N57" s="422" t="str">
        <f t="shared" si="18"/>
        <v/>
      </c>
      <c r="O57" s="1287"/>
      <c r="P57" s="1308"/>
      <c r="Q57" s="1308"/>
      <c r="R57" s="1308"/>
      <c r="S57" s="1308"/>
      <c r="T57" s="1308"/>
      <c r="U57" s="1308"/>
      <c r="V57" s="1308"/>
      <c r="W57" s="1308"/>
      <c r="X57" s="1308"/>
      <c r="Y57" s="1308"/>
      <c r="Z57" s="1308"/>
      <c r="AA57" s="1308"/>
      <c r="AB57" s="1308"/>
      <c r="AC57" s="1308"/>
      <c r="AD57" s="1308"/>
      <c r="AE57" s="1308"/>
      <c r="AF57" s="1308"/>
      <c r="AG57" s="1308"/>
      <c r="AH57" s="1326"/>
      <c r="AI57" s="352" t="str">
        <f t="shared" si="15"/>
        <v/>
      </c>
      <c r="BH57" s="353"/>
      <c r="BI57" s="353"/>
      <c r="BJ57" s="353"/>
      <c r="BK57" s="353"/>
      <c r="BL57" s="360">
        <v>-10</v>
      </c>
      <c r="BM57" s="353"/>
      <c r="BN57" s="353"/>
    </row>
    <row r="58" spans="1:66" ht="12.75" customHeight="1" x14ac:dyDescent="0.2">
      <c r="A58" s="1305"/>
      <c r="B58" s="1319"/>
      <c r="C58" s="1251"/>
      <c r="D58" s="1203"/>
      <c r="E58" s="1252"/>
      <c r="F58" s="390"/>
      <c r="G58" s="1202" t="str">
        <f t="shared" si="16"/>
        <v/>
      </c>
      <c r="H58" s="1203"/>
      <c r="I58" s="1203"/>
      <c r="J58" s="1252"/>
      <c r="K58" s="421" t="str">
        <f t="shared" si="17"/>
        <v/>
      </c>
      <c r="L58" s="1327" t="str">
        <f t="shared" si="14"/>
        <v/>
      </c>
      <c r="M58" s="1327"/>
      <c r="N58" s="422" t="str">
        <f t="shared" si="18"/>
        <v/>
      </c>
      <c r="O58" s="1287"/>
      <c r="P58" s="1308"/>
      <c r="Q58" s="1308"/>
      <c r="R58" s="1308"/>
      <c r="S58" s="1308"/>
      <c r="T58" s="1308"/>
      <c r="U58" s="1308"/>
      <c r="V58" s="1308"/>
      <c r="W58" s="1308"/>
      <c r="X58" s="1308"/>
      <c r="Y58" s="1308"/>
      <c r="Z58" s="1308"/>
      <c r="AA58" s="1308"/>
      <c r="AB58" s="1308"/>
      <c r="AC58" s="1308"/>
      <c r="AD58" s="1308"/>
      <c r="AE58" s="1308"/>
      <c r="AF58" s="1308"/>
      <c r="AG58" s="1308"/>
      <c r="AH58" s="1326"/>
      <c r="AI58" s="352" t="str">
        <f t="shared" si="15"/>
        <v/>
      </c>
      <c r="BH58" s="353"/>
      <c r="BI58" s="353"/>
      <c r="BJ58" s="353"/>
      <c r="BK58" s="353"/>
      <c r="BL58" s="360">
        <v>-11</v>
      </c>
      <c r="BM58" s="353"/>
      <c r="BN58" s="353"/>
    </row>
    <row r="59" spans="1:66" ht="12.75" customHeight="1" x14ac:dyDescent="0.2">
      <c r="A59" s="1241"/>
      <c r="B59" s="1254"/>
      <c r="C59" s="1261"/>
      <c r="D59" s="1262"/>
      <c r="E59" s="1263"/>
      <c r="F59" s="380"/>
      <c r="G59" s="1328" t="str">
        <f t="shared" si="16"/>
        <v/>
      </c>
      <c r="H59" s="1262"/>
      <c r="I59" s="1262"/>
      <c r="J59" s="1263"/>
      <c r="K59" s="423" t="str">
        <f t="shared" si="17"/>
        <v/>
      </c>
      <c r="L59" s="1329" t="str">
        <f t="shared" si="14"/>
        <v/>
      </c>
      <c r="M59" s="1329"/>
      <c r="N59" s="424" t="str">
        <f t="shared" si="18"/>
        <v/>
      </c>
      <c r="O59" s="1244"/>
      <c r="P59" s="1300"/>
      <c r="Q59" s="1300"/>
      <c r="R59" s="1300"/>
      <c r="S59" s="1300"/>
      <c r="T59" s="1300"/>
      <c r="U59" s="1300"/>
      <c r="V59" s="1300"/>
      <c r="W59" s="1300"/>
      <c r="X59" s="1300"/>
      <c r="Y59" s="1300"/>
      <c r="Z59" s="1300"/>
      <c r="AA59" s="1300"/>
      <c r="AB59" s="1300"/>
      <c r="AC59" s="1300"/>
      <c r="AD59" s="1300"/>
      <c r="AE59" s="1300"/>
      <c r="AF59" s="1300"/>
      <c r="AG59" s="1300"/>
      <c r="AH59" s="1245"/>
      <c r="AI59" s="352" t="str">
        <f t="shared" si="15"/>
        <v/>
      </c>
      <c r="BH59" s="353"/>
      <c r="BI59" s="353"/>
      <c r="BJ59" s="353"/>
      <c r="BK59" s="353"/>
      <c r="BL59" s="360">
        <v>-12</v>
      </c>
      <c r="BM59" s="353"/>
      <c r="BN59" s="353"/>
    </row>
    <row r="60" spans="1:66" ht="12.75" customHeight="1" x14ac:dyDescent="0.2">
      <c r="A60" s="1322" t="s">
        <v>373</v>
      </c>
      <c r="B60" s="1323"/>
      <c r="C60" s="1323"/>
      <c r="D60" s="1324"/>
      <c r="E60" s="1322">
        <v>1</v>
      </c>
      <c r="F60" s="1324"/>
      <c r="G60" s="1322">
        <v>2</v>
      </c>
      <c r="H60" s="1324"/>
      <c r="I60" s="1322">
        <v>3</v>
      </c>
      <c r="J60" s="1324"/>
      <c r="K60" s="1322">
        <v>4</v>
      </c>
      <c r="L60" s="1323"/>
      <c r="M60" s="1323"/>
      <c r="N60" s="1324"/>
      <c r="O60" s="1322">
        <v>5</v>
      </c>
      <c r="P60" s="1324"/>
      <c r="Q60" s="1322">
        <v>6</v>
      </c>
      <c r="R60" s="1324"/>
      <c r="S60" s="1322">
        <v>7</v>
      </c>
      <c r="T60" s="1324"/>
      <c r="U60" s="1322">
        <v>8</v>
      </c>
      <c r="V60" s="1324"/>
      <c r="W60" s="1322">
        <v>9</v>
      </c>
      <c r="X60" s="1324"/>
      <c r="Y60" s="1322">
        <v>10</v>
      </c>
      <c r="Z60" s="1324"/>
      <c r="AA60" s="1322">
        <v>11</v>
      </c>
      <c r="AB60" s="1324"/>
      <c r="AC60" s="1322">
        <v>12</v>
      </c>
      <c r="AD60" s="1324"/>
      <c r="AE60" s="1322">
        <v>13</v>
      </c>
      <c r="AF60" s="1324"/>
      <c r="AG60" s="1322">
        <v>14</v>
      </c>
      <c r="AH60" s="1324"/>
      <c r="BH60" s="353"/>
      <c r="BI60" s="353"/>
      <c r="BJ60" s="353"/>
      <c r="BK60" s="353"/>
      <c r="BL60" s="360">
        <v>-13</v>
      </c>
      <c r="BM60" s="353"/>
      <c r="BN60" s="353"/>
    </row>
    <row r="61" spans="1:66" ht="12.75" customHeight="1" x14ac:dyDescent="0.2">
      <c r="A61" s="1342"/>
      <c r="B61" s="1343"/>
      <c r="C61" s="1344"/>
      <c r="D61" s="425"/>
      <c r="E61" s="426"/>
      <c r="F61" s="427"/>
      <c r="G61" s="426"/>
      <c r="H61" s="427"/>
      <c r="I61" s="426"/>
      <c r="J61" s="427"/>
      <c r="K61" s="1345"/>
      <c r="L61" s="1346"/>
      <c r="M61" s="1347"/>
      <c r="N61" s="1348"/>
      <c r="O61" s="426"/>
      <c r="P61" s="427"/>
      <c r="Q61" s="426"/>
      <c r="R61" s="427"/>
      <c r="S61" s="426"/>
      <c r="T61" s="427"/>
      <c r="U61" s="426"/>
      <c r="V61" s="427"/>
      <c r="W61" s="426"/>
      <c r="X61" s="427"/>
      <c r="Y61" s="426"/>
      <c r="Z61" s="427"/>
      <c r="AA61" s="426"/>
      <c r="AB61" s="427"/>
      <c r="AC61" s="428"/>
      <c r="AD61" s="428"/>
      <c r="AE61" s="426"/>
      <c r="AF61" s="427"/>
      <c r="AG61" s="426"/>
      <c r="AH61" s="427"/>
      <c r="BH61" s="353"/>
      <c r="BI61" s="353"/>
      <c r="BJ61" s="353"/>
      <c r="BK61" s="353"/>
      <c r="BL61" s="360">
        <v>-14</v>
      </c>
      <c r="BM61" s="353"/>
      <c r="BN61" s="353"/>
    </row>
    <row r="62" spans="1:66" ht="12.75" customHeight="1" x14ac:dyDescent="0.2">
      <c r="A62" s="1349" t="str">
        <f>IF(A61="","",IF(A61=A10,Z10,A10))</f>
        <v/>
      </c>
      <c r="B62" s="1350"/>
      <c r="C62" s="1351"/>
      <c r="D62" s="429"/>
      <c r="E62" s="430"/>
      <c r="F62" s="431"/>
      <c r="G62" s="430"/>
      <c r="H62" s="431"/>
      <c r="I62" s="430"/>
      <c r="J62" s="431"/>
      <c r="K62" s="1352"/>
      <c r="L62" s="1353"/>
      <c r="M62" s="1356"/>
      <c r="N62" s="1357"/>
      <c r="O62" s="430"/>
      <c r="P62" s="431"/>
      <c r="Q62" s="430"/>
      <c r="R62" s="431"/>
      <c r="S62" s="430"/>
      <c r="T62" s="431"/>
      <c r="U62" s="430"/>
      <c r="V62" s="431"/>
      <c r="W62" s="430"/>
      <c r="X62" s="431"/>
      <c r="Y62" s="430"/>
      <c r="Z62" s="431"/>
      <c r="AA62" s="430"/>
      <c r="AB62" s="431"/>
      <c r="AC62" s="432"/>
      <c r="AD62" s="432"/>
      <c r="AE62" s="430"/>
      <c r="AF62" s="431"/>
      <c r="AG62" s="430"/>
      <c r="AH62" s="431"/>
      <c r="BH62" s="353"/>
      <c r="BI62" s="353"/>
      <c r="BJ62" s="353"/>
      <c r="BK62" s="353"/>
      <c r="BL62" s="360">
        <v>-15</v>
      </c>
      <c r="BM62" s="353"/>
      <c r="BN62" s="353"/>
    </row>
    <row r="63" spans="1:66" ht="12.75" customHeight="1" x14ac:dyDescent="0.2">
      <c r="A63" s="1341" t="s">
        <v>374</v>
      </c>
      <c r="B63" s="1341"/>
      <c r="C63" s="1341"/>
      <c r="D63" s="433"/>
      <c r="E63" s="1341"/>
      <c r="F63" s="1354"/>
      <c r="G63" s="1354"/>
      <c r="H63" s="1354"/>
      <c r="I63" s="1354"/>
      <c r="J63" s="1354"/>
      <c r="K63" s="1354"/>
      <c r="L63" s="1354"/>
      <c r="M63" s="1354"/>
      <c r="N63" s="1354"/>
      <c r="O63" s="1354"/>
      <c r="P63" s="1354"/>
      <c r="Q63" s="1354"/>
      <c r="R63" s="1354"/>
      <c r="S63" s="1354"/>
      <c r="T63" s="1354"/>
      <c r="U63" s="1354"/>
      <c r="V63" s="1354"/>
      <c r="W63" s="1354"/>
      <c r="X63" s="1354"/>
      <c r="Y63" s="1354"/>
      <c r="Z63" s="1354"/>
      <c r="AA63" s="1354"/>
      <c r="AB63" s="1354"/>
      <c r="AC63" s="1354"/>
      <c r="AD63" s="1354"/>
      <c r="AE63" s="1354"/>
      <c r="AF63" s="1354"/>
      <c r="AG63" s="1354"/>
      <c r="AH63" s="1354"/>
      <c r="BH63" s="353"/>
      <c r="BI63" s="353"/>
      <c r="BJ63" s="353"/>
      <c r="BK63" s="353"/>
      <c r="BL63" s="360">
        <v>-16</v>
      </c>
      <c r="BM63" s="353"/>
      <c r="BN63" s="353"/>
    </row>
    <row r="64" spans="1:66" ht="12.75" customHeight="1" x14ac:dyDescent="0.2">
      <c r="A64" s="1340" t="s">
        <v>375</v>
      </c>
      <c r="B64" s="1340"/>
      <c r="C64" s="351"/>
      <c r="D64" s="351"/>
      <c r="E64" s="1189"/>
      <c r="F64" s="1189"/>
      <c r="G64" s="1189"/>
      <c r="H64" s="1189"/>
      <c r="I64" s="1189"/>
      <c r="J64" s="1189"/>
      <c r="K64" s="1189"/>
      <c r="L64" s="1189"/>
      <c r="M64" s="1189"/>
      <c r="N64" s="1189"/>
      <c r="O64" s="1189"/>
      <c r="P64" s="1189"/>
      <c r="Q64" s="1189"/>
      <c r="R64" s="1189"/>
      <c r="S64" s="1189"/>
      <c r="T64" s="1189"/>
      <c r="U64" s="1189"/>
      <c r="V64" s="1189"/>
      <c r="W64" s="1189"/>
      <c r="X64" s="1189"/>
      <c r="Y64" s="1189"/>
      <c r="Z64" s="1189"/>
      <c r="AA64" s="1189"/>
      <c r="AB64" s="1189"/>
      <c r="AC64" s="1189"/>
      <c r="AD64" s="1189"/>
      <c r="AE64" s="1189"/>
      <c r="AF64" s="1189"/>
      <c r="AG64" s="1189"/>
      <c r="AH64" s="1189"/>
      <c r="BH64" s="353"/>
      <c r="BI64" s="353"/>
      <c r="BJ64" s="353"/>
      <c r="BK64" s="353"/>
      <c r="BL64" s="360">
        <v>-17</v>
      </c>
      <c r="BM64" s="353"/>
      <c r="BN64" s="353"/>
    </row>
    <row r="65" spans="1:66" ht="12.75" customHeight="1" x14ac:dyDescent="0.2">
      <c r="A65" s="351"/>
      <c r="B65" s="351"/>
      <c r="C65" s="351"/>
      <c r="D65" s="351"/>
      <c r="E65" s="351"/>
      <c r="F65" s="351"/>
      <c r="G65" s="351"/>
      <c r="H65" s="351"/>
      <c r="I65" s="351"/>
      <c r="J65" s="351"/>
      <c r="K65" s="351"/>
      <c r="L65" s="351"/>
      <c r="M65" s="351"/>
      <c r="N65" s="351"/>
      <c r="O65" s="351"/>
      <c r="P65" s="351"/>
      <c r="Q65" s="351"/>
      <c r="R65" s="351"/>
      <c r="S65" s="351"/>
      <c r="T65" s="351"/>
      <c r="U65" s="351"/>
      <c r="V65" s="351"/>
      <c r="W65" s="351"/>
      <c r="X65" s="351"/>
      <c r="Y65" s="351"/>
      <c r="Z65" s="351"/>
      <c r="AA65" s="351"/>
      <c r="AB65" s="351"/>
      <c r="AC65" s="351"/>
      <c r="AD65" s="351"/>
      <c r="AE65" s="351"/>
      <c r="AF65" s="351"/>
      <c r="AG65" s="351"/>
      <c r="AH65" s="351"/>
      <c r="BH65" s="353"/>
      <c r="BI65" s="353"/>
      <c r="BJ65" s="353"/>
      <c r="BK65" s="353"/>
      <c r="BL65" s="360">
        <v>-18</v>
      </c>
      <c r="BM65" s="353"/>
      <c r="BN65" s="353"/>
    </row>
    <row r="66" spans="1:66" ht="12.75" customHeight="1" x14ac:dyDescent="0.2">
      <c r="A66" s="1355" t="s">
        <v>376</v>
      </c>
      <c r="B66" s="1355"/>
      <c r="C66" s="1355"/>
      <c r="D66" s="1355"/>
      <c r="E66" s="1355"/>
      <c r="F66" s="1355"/>
      <c r="G66" s="1355"/>
      <c r="H66" s="1355"/>
      <c r="I66" s="1355"/>
      <c r="J66" s="1355"/>
      <c r="K66" s="1355"/>
      <c r="L66" s="1355"/>
      <c r="M66" s="1355"/>
      <c r="N66" s="1355"/>
      <c r="O66" s="1355"/>
      <c r="P66" s="1355"/>
      <c r="Q66" s="1355"/>
      <c r="R66" s="1355"/>
      <c r="S66" s="1355"/>
      <c r="T66" s="1355"/>
      <c r="U66" s="1355"/>
      <c r="V66" s="1355"/>
      <c r="W66" s="1355"/>
      <c r="X66" s="1355"/>
      <c r="Y66" s="1355"/>
      <c r="Z66" s="1355"/>
      <c r="AA66" s="1355"/>
      <c r="AB66" s="1355"/>
      <c r="AC66" s="1355"/>
      <c r="AD66" s="1355"/>
      <c r="AE66" s="1355"/>
      <c r="AF66" s="1355"/>
      <c r="AG66" s="1355"/>
      <c r="AH66" s="1355"/>
      <c r="BH66" s="353"/>
      <c r="BI66" s="353"/>
      <c r="BJ66" s="353"/>
      <c r="BK66" s="353"/>
      <c r="BL66" s="360">
        <v>-19</v>
      </c>
      <c r="BM66" s="353"/>
      <c r="BN66" s="353"/>
    </row>
    <row r="67" spans="1:66" ht="12.75" customHeight="1" thickBot="1" x14ac:dyDescent="0.25">
      <c r="A67" s="1355" t="s">
        <v>377</v>
      </c>
      <c r="B67" s="1355"/>
      <c r="C67" s="1355"/>
      <c r="D67" s="1355"/>
      <c r="E67" s="1355"/>
      <c r="F67" s="1355"/>
      <c r="G67" s="1355"/>
      <c r="H67" s="1355"/>
      <c r="I67" s="1355"/>
      <c r="J67" s="1355"/>
      <c r="K67" s="1355"/>
      <c r="L67" s="1355"/>
      <c r="M67" s="1355"/>
      <c r="N67" s="1355"/>
      <c r="O67" s="1355"/>
      <c r="P67" s="1355"/>
      <c r="Q67" s="1355"/>
      <c r="R67" s="1355"/>
      <c r="S67" s="1355"/>
      <c r="T67" s="1355"/>
      <c r="U67" s="1355"/>
      <c r="V67" s="1355"/>
      <c r="W67" s="1355"/>
      <c r="X67" s="1355"/>
      <c r="Y67" s="1355"/>
      <c r="Z67" s="1355"/>
      <c r="AA67" s="1355"/>
      <c r="AB67" s="1355"/>
      <c r="AC67" s="1355"/>
      <c r="AD67" s="1355"/>
      <c r="AE67" s="1355"/>
      <c r="AF67" s="1355"/>
      <c r="AG67" s="1355"/>
      <c r="AH67" s="1355"/>
      <c r="BH67" s="353"/>
      <c r="BI67" s="353"/>
      <c r="BJ67" s="353"/>
      <c r="BK67" s="353"/>
      <c r="BL67" s="399">
        <v>-20</v>
      </c>
      <c r="BM67" s="353"/>
      <c r="BN67" s="353"/>
    </row>
    <row r="68" spans="1:66" ht="11.25" customHeight="1" thickTop="1" x14ac:dyDescent="0.2">
      <c r="A68" s="351"/>
      <c r="B68" s="351"/>
      <c r="C68" s="351"/>
      <c r="D68" s="351"/>
      <c r="E68" s="351"/>
      <c r="F68" s="351"/>
      <c r="G68" s="351"/>
      <c r="H68" s="351"/>
      <c r="I68" s="351"/>
      <c r="J68" s="351"/>
      <c r="K68" s="351"/>
      <c r="L68" s="351"/>
      <c r="M68" s="351"/>
      <c r="N68" s="351"/>
      <c r="O68" s="351"/>
      <c r="P68" s="351"/>
      <c r="Q68" s="351"/>
      <c r="R68" s="351"/>
      <c r="S68" s="351"/>
      <c r="T68" s="351"/>
      <c r="U68" s="434"/>
      <c r="V68" s="434"/>
      <c r="W68" s="434"/>
      <c r="X68" s="434"/>
      <c r="Y68" s="434"/>
      <c r="Z68" s="434"/>
      <c r="AA68" s="434"/>
      <c r="AB68" s="434"/>
      <c r="AC68" s="351"/>
      <c r="AD68" s="351"/>
      <c r="AE68" s="351"/>
      <c r="AF68" s="351"/>
      <c r="AG68" s="351"/>
      <c r="AH68" s="351"/>
    </row>
    <row r="69" spans="1:66" ht="11.25" hidden="1" customHeight="1" x14ac:dyDescent="0.2">
      <c r="A69" s="1330" t="s">
        <v>378</v>
      </c>
      <c r="B69" s="1330"/>
      <c r="C69" s="1330"/>
      <c r="D69" s="351"/>
      <c r="E69" s="351"/>
      <c r="F69" s="351"/>
      <c r="G69" s="351"/>
      <c r="H69" s="351"/>
      <c r="I69" s="351"/>
      <c r="J69" s="351"/>
      <c r="K69" s="351"/>
      <c r="L69" s="351"/>
      <c r="M69" s="351"/>
      <c r="N69" s="351"/>
      <c r="O69" s="351"/>
      <c r="P69" s="351"/>
      <c r="Q69" s="351"/>
      <c r="R69" s="351"/>
      <c r="S69" s="351"/>
      <c r="T69" s="351"/>
      <c r="U69" s="351"/>
      <c r="V69" s="351"/>
      <c r="W69" s="351"/>
      <c r="X69" s="351"/>
      <c r="Y69" s="351"/>
      <c r="Z69" s="351"/>
      <c r="AA69" s="351"/>
      <c r="AB69" s="351"/>
      <c r="AC69" s="351"/>
      <c r="AD69" s="351"/>
      <c r="AE69" s="351"/>
      <c r="AF69" s="351"/>
      <c r="AG69" s="351"/>
      <c r="AH69" s="351"/>
    </row>
    <row r="70" spans="1:66" ht="11.25" hidden="1" customHeight="1" x14ac:dyDescent="0.2">
      <c r="A70" s="1331"/>
      <c r="B70" s="1332"/>
      <c r="C70" s="1332"/>
      <c r="D70" s="1332"/>
      <c r="E70" s="1332"/>
      <c r="F70" s="1332"/>
      <c r="G70" s="1332"/>
      <c r="H70" s="1332"/>
      <c r="I70" s="1332"/>
      <c r="J70" s="1332"/>
      <c r="K70" s="1332"/>
      <c r="L70" s="1332"/>
      <c r="M70" s="1332"/>
      <c r="N70" s="1332"/>
      <c r="O70" s="1332"/>
      <c r="P70" s="1332"/>
      <c r="Q70" s="1332"/>
      <c r="R70" s="1332"/>
      <c r="S70" s="1332"/>
      <c r="T70" s="1332"/>
      <c r="U70" s="1332"/>
      <c r="V70" s="1332"/>
      <c r="W70" s="1332"/>
      <c r="X70" s="1332"/>
      <c r="Y70" s="1332"/>
      <c r="Z70" s="1332"/>
      <c r="AA70" s="1332"/>
      <c r="AB70" s="1332"/>
      <c r="AC70" s="1332"/>
      <c r="AD70" s="1332"/>
      <c r="AE70" s="1332"/>
      <c r="AF70" s="1332"/>
      <c r="AG70" s="1332"/>
      <c r="AH70" s="1333"/>
    </row>
    <row r="71" spans="1:66" ht="11.25" hidden="1" customHeight="1" x14ac:dyDescent="0.2">
      <c r="A71" s="1334"/>
      <c r="B71" s="1335"/>
      <c r="C71" s="1335"/>
      <c r="D71" s="1335"/>
      <c r="E71" s="1335"/>
      <c r="F71" s="1335"/>
      <c r="G71" s="1335"/>
      <c r="H71" s="1335"/>
      <c r="I71" s="1335"/>
      <c r="J71" s="1335"/>
      <c r="K71" s="1335"/>
      <c r="L71" s="1335"/>
      <c r="M71" s="1335"/>
      <c r="N71" s="1335"/>
      <c r="O71" s="1335"/>
      <c r="P71" s="1335"/>
      <c r="Q71" s="1335"/>
      <c r="R71" s="1335"/>
      <c r="S71" s="1335"/>
      <c r="T71" s="1335"/>
      <c r="U71" s="1335"/>
      <c r="V71" s="1335"/>
      <c r="W71" s="1335"/>
      <c r="X71" s="1335"/>
      <c r="Y71" s="1335"/>
      <c r="Z71" s="1335"/>
      <c r="AA71" s="1335"/>
      <c r="AB71" s="1335"/>
      <c r="AC71" s="1335"/>
      <c r="AD71" s="1335"/>
      <c r="AE71" s="1335"/>
      <c r="AF71" s="1335"/>
      <c r="AG71" s="1335"/>
      <c r="AH71" s="1336"/>
    </row>
    <row r="72" spans="1:66" ht="11.25" hidden="1" customHeight="1" x14ac:dyDescent="0.2">
      <c r="A72" s="1334"/>
      <c r="B72" s="1335"/>
      <c r="C72" s="1335"/>
      <c r="D72" s="1335"/>
      <c r="E72" s="1335"/>
      <c r="F72" s="1335"/>
      <c r="G72" s="1335"/>
      <c r="H72" s="1335"/>
      <c r="I72" s="1335"/>
      <c r="J72" s="1335"/>
      <c r="K72" s="1335"/>
      <c r="L72" s="1335"/>
      <c r="M72" s="1335"/>
      <c r="N72" s="1335"/>
      <c r="O72" s="1335"/>
      <c r="P72" s="1335"/>
      <c r="Q72" s="1335"/>
      <c r="R72" s="1335"/>
      <c r="S72" s="1335"/>
      <c r="T72" s="1335"/>
      <c r="U72" s="1335"/>
      <c r="V72" s="1335"/>
      <c r="W72" s="1335"/>
      <c r="X72" s="1335"/>
      <c r="Y72" s="1335"/>
      <c r="Z72" s="1335"/>
      <c r="AA72" s="1335"/>
      <c r="AB72" s="1335"/>
      <c r="AC72" s="1335"/>
      <c r="AD72" s="1335"/>
      <c r="AE72" s="1335"/>
      <c r="AF72" s="1335"/>
      <c r="AG72" s="1335"/>
      <c r="AH72" s="1336"/>
    </row>
    <row r="73" spans="1:66" ht="11.25" hidden="1" customHeight="1" x14ac:dyDescent="0.2">
      <c r="A73" s="1334"/>
      <c r="B73" s="1335"/>
      <c r="C73" s="1335"/>
      <c r="D73" s="1335"/>
      <c r="E73" s="1335"/>
      <c r="F73" s="1335"/>
      <c r="G73" s="1335"/>
      <c r="H73" s="1335"/>
      <c r="I73" s="1335"/>
      <c r="J73" s="1335"/>
      <c r="K73" s="1335"/>
      <c r="L73" s="1335"/>
      <c r="M73" s="1335"/>
      <c r="N73" s="1335"/>
      <c r="O73" s="1335"/>
      <c r="P73" s="1335"/>
      <c r="Q73" s="1335"/>
      <c r="R73" s="1335"/>
      <c r="S73" s="1335"/>
      <c r="T73" s="1335"/>
      <c r="U73" s="1335"/>
      <c r="V73" s="1335"/>
      <c r="W73" s="1335"/>
      <c r="X73" s="1335"/>
      <c r="Y73" s="1335"/>
      <c r="Z73" s="1335"/>
      <c r="AA73" s="1335"/>
      <c r="AB73" s="1335"/>
      <c r="AC73" s="1335"/>
      <c r="AD73" s="1335"/>
      <c r="AE73" s="1335"/>
      <c r="AF73" s="1335"/>
      <c r="AG73" s="1335"/>
      <c r="AH73" s="1336"/>
    </row>
    <row r="74" spans="1:66" ht="11.25" hidden="1" customHeight="1" x14ac:dyDescent="0.2">
      <c r="A74" s="1334"/>
      <c r="B74" s="1335"/>
      <c r="C74" s="1335"/>
      <c r="D74" s="1335"/>
      <c r="E74" s="1335"/>
      <c r="F74" s="1335"/>
      <c r="G74" s="1335"/>
      <c r="H74" s="1335"/>
      <c r="I74" s="1335"/>
      <c r="J74" s="1335"/>
      <c r="K74" s="1335"/>
      <c r="L74" s="1335"/>
      <c r="M74" s="1335"/>
      <c r="N74" s="1335"/>
      <c r="O74" s="1335"/>
      <c r="P74" s="1335"/>
      <c r="Q74" s="1335"/>
      <c r="R74" s="1335"/>
      <c r="S74" s="1335"/>
      <c r="T74" s="1335"/>
      <c r="U74" s="1335"/>
      <c r="V74" s="1335"/>
      <c r="W74" s="1335"/>
      <c r="X74" s="1335"/>
      <c r="Y74" s="1335"/>
      <c r="Z74" s="1335"/>
      <c r="AA74" s="1335"/>
      <c r="AB74" s="1335"/>
      <c r="AC74" s="1335"/>
      <c r="AD74" s="1335"/>
      <c r="AE74" s="1335"/>
      <c r="AF74" s="1335"/>
      <c r="AG74" s="1335"/>
      <c r="AH74" s="1336"/>
    </row>
    <row r="75" spans="1:66" ht="11.25" hidden="1" customHeight="1" x14ac:dyDescent="0.2">
      <c r="A75" s="1334"/>
      <c r="B75" s="1335"/>
      <c r="C75" s="1335"/>
      <c r="D75" s="1335"/>
      <c r="E75" s="1335"/>
      <c r="F75" s="1335"/>
      <c r="G75" s="1335"/>
      <c r="H75" s="1335"/>
      <c r="I75" s="1335"/>
      <c r="J75" s="1335"/>
      <c r="K75" s="1335"/>
      <c r="L75" s="1335"/>
      <c r="M75" s="1335"/>
      <c r="N75" s="1335"/>
      <c r="O75" s="1335"/>
      <c r="P75" s="1335"/>
      <c r="Q75" s="1335"/>
      <c r="R75" s="1335"/>
      <c r="S75" s="1335"/>
      <c r="T75" s="1335"/>
      <c r="U75" s="1335"/>
      <c r="V75" s="1335"/>
      <c r="W75" s="1335"/>
      <c r="X75" s="1335"/>
      <c r="Y75" s="1335"/>
      <c r="Z75" s="1335"/>
      <c r="AA75" s="1335"/>
      <c r="AB75" s="1335"/>
      <c r="AC75" s="1335"/>
      <c r="AD75" s="1335"/>
      <c r="AE75" s="1335"/>
      <c r="AF75" s="1335"/>
      <c r="AG75" s="1335"/>
      <c r="AH75" s="1336"/>
    </row>
    <row r="76" spans="1:66" ht="11.25" hidden="1" customHeight="1" x14ac:dyDescent="0.2">
      <c r="A76" s="1334"/>
      <c r="B76" s="1335"/>
      <c r="C76" s="1335"/>
      <c r="D76" s="1335"/>
      <c r="E76" s="1335"/>
      <c r="F76" s="1335"/>
      <c r="G76" s="1335"/>
      <c r="H76" s="1335"/>
      <c r="I76" s="1335"/>
      <c r="J76" s="1335"/>
      <c r="K76" s="1335"/>
      <c r="L76" s="1335"/>
      <c r="M76" s="1335"/>
      <c r="N76" s="1335"/>
      <c r="O76" s="1335"/>
      <c r="P76" s="1335"/>
      <c r="Q76" s="1335"/>
      <c r="R76" s="1335"/>
      <c r="S76" s="1335"/>
      <c r="T76" s="1335"/>
      <c r="U76" s="1335"/>
      <c r="V76" s="1335"/>
      <c r="W76" s="1335"/>
      <c r="X76" s="1335"/>
      <c r="Y76" s="1335"/>
      <c r="Z76" s="1335"/>
      <c r="AA76" s="1335"/>
      <c r="AB76" s="1335"/>
      <c r="AC76" s="1335"/>
      <c r="AD76" s="1335"/>
      <c r="AE76" s="1335"/>
      <c r="AF76" s="1335"/>
      <c r="AG76" s="1335"/>
      <c r="AH76" s="1336"/>
    </row>
    <row r="77" spans="1:66" ht="11.25" hidden="1" customHeight="1" x14ac:dyDescent="0.2">
      <c r="A77" s="1334"/>
      <c r="B77" s="1335"/>
      <c r="C77" s="1335"/>
      <c r="D77" s="1335"/>
      <c r="E77" s="1335"/>
      <c r="F77" s="1335"/>
      <c r="G77" s="1335"/>
      <c r="H77" s="1335"/>
      <c r="I77" s="1335"/>
      <c r="J77" s="1335"/>
      <c r="K77" s="1335"/>
      <c r="L77" s="1335"/>
      <c r="M77" s="1335"/>
      <c r="N77" s="1335"/>
      <c r="O77" s="1335"/>
      <c r="P77" s="1335"/>
      <c r="Q77" s="1335"/>
      <c r="R77" s="1335"/>
      <c r="S77" s="1335"/>
      <c r="T77" s="1335"/>
      <c r="U77" s="1335"/>
      <c r="V77" s="1335"/>
      <c r="W77" s="1335"/>
      <c r="X77" s="1335"/>
      <c r="Y77" s="1335"/>
      <c r="Z77" s="1335"/>
      <c r="AA77" s="1335"/>
      <c r="AB77" s="1335"/>
      <c r="AC77" s="1335"/>
      <c r="AD77" s="1335"/>
      <c r="AE77" s="1335"/>
      <c r="AF77" s="1335"/>
      <c r="AG77" s="1335"/>
      <c r="AH77" s="1336"/>
    </row>
    <row r="78" spans="1:66" ht="11.25" hidden="1" customHeight="1" x14ac:dyDescent="0.2">
      <c r="A78" s="1334"/>
      <c r="B78" s="1335"/>
      <c r="C78" s="1335"/>
      <c r="D78" s="1335"/>
      <c r="E78" s="1335"/>
      <c r="F78" s="1335"/>
      <c r="G78" s="1335"/>
      <c r="H78" s="1335"/>
      <c r="I78" s="1335"/>
      <c r="J78" s="1335"/>
      <c r="K78" s="1335"/>
      <c r="L78" s="1335"/>
      <c r="M78" s="1335"/>
      <c r="N78" s="1335"/>
      <c r="O78" s="1335"/>
      <c r="P78" s="1335"/>
      <c r="Q78" s="1335"/>
      <c r="R78" s="1335"/>
      <c r="S78" s="1335"/>
      <c r="T78" s="1335"/>
      <c r="U78" s="1335"/>
      <c r="V78" s="1335"/>
      <c r="W78" s="1335"/>
      <c r="X78" s="1335"/>
      <c r="Y78" s="1335"/>
      <c r="Z78" s="1335"/>
      <c r="AA78" s="1335"/>
      <c r="AB78" s="1335"/>
      <c r="AC78" s="1335"/>
      <c r="AD78" s="1335"/>
      <c r="AE78" s="1335"/>
      <c r="AF78" s="1335"/>
      <c r="AG78" s="1335"/>
      <c r="AH78" s="1336"/>
    </row>
    <row r="79" spans="1:66" ht="11.25" hidden="1" customHeight="1" x14ac:dyDescent="0.2">
      <c r="A79" s="1334"/>
      <c r="B79" s="1335"/>
      <c r="C79" s="1335"/>
      <c r="D79" s="1335"/>
      <c r="E79" s="1335"/>
      <c r="F79" s="1335"/>
      <c r="G79" s="1335"/>
      <c r="H79" s="1335"/>
      <c r="I79" s="1335"/>
      <c r="J79" s="1335"/>
      <c r="K79" s="1335"/>
      <c r="L79" s="1335"/>
      <c r="M79" s="1335"/>
      <c r="N79" s="1335"/>
      <c r="O79" s="1335"/>
      <c r="P79" s="1335"/>
      <c r="Q79" s="1335"/>
      <c r="R79" s="1335"/>
      <c r="S79" s="1335"/>
      <c r="T79" s="1335"/>
      <c r="U79" s="1335"/>
      <c r="V79" s="1335"/>
      <c r="W79" s="1335"/>
      <c r="X79" s="1335"/>
      <c r="Y79" s="1335"/>
      <c r="Z79" s="1335"/>
      <c r="AA79" s="1335"/>
      <c r="AB79" s="1335"/>
      <c r="AC79" s="1335"/>
      <c r="AD79" s="1335"/>
      <c r="AE79" s="1335"/>
      <c r="AF79" s="1335"/>
      <c r="AG79" s="1335"/>
      <c r="AH79" s="1336"/>
    </row>
    <row r="80" spans="1:66" ht="11.25" hidden="1" customHeight="1" x14ac:dyDescent="0.2">
      <c r="A80" s="1334"/>
      <c r="B80" s="1335"/>
      <c r="C80" s="1335"/>
      <c r="D80" s="1335"/>
      <c r="E80" s="1335"/>
      <c r="F80" s="1335"/>
      <c r="G80" s="1335"/>
      <c r="H80" s="1335"/>
      <c r="I80" s="1335"/>
      <c r="J80" s="1335"/>
      <c r="K80" s="1335"/>
      <c r="L80" s="1335"/>
      <c r="M80" s="1335"/>
      <c r="N80" s="1335"/>
      <c r="O80" s="1335"/>
      <c r="P80" s="1335"/>
      <c r="Q80" s="1335"/>
      <c r="R80" s="1335"/>
      <c r="S80" s="1335"/>
      <c r="T80" s="1335"/>
      <c r="U80" s="1335"/>
      <c r="V80" s="1335"/>
      <c r="W80" s="1335"/>
      <c r="X80" s="1335"/>
      <c r="Y80" s="1335"/>
      <c r="Z80" s="1335"/>
      <c r="AA80" s="1335"/>
      <c r="AB80" s="1335"/>
      <c r="AC80" s="1335"/>
      <c r="AD80" s="1335"/>
      <c r="AE80" s="1335"/>
      <c r="AF80" s="1335"/>
      <c r="AG80" s="1335"/>
      <c r="AH80" s="1336"/>
    </row>
    <row r="81" spans="1:34" ht="11.25" hidden="1" customHeight="1" x14ac:dyDescent="0.2">
      <c r="A81" s="1337"/>
      <c r="B81" s="1338"/>
      <c r="C81" s="1338"/>
      <c r="D81" s="1338"/>
      <c r="E81" s="1338"/>
      <c r="F81" s="1338"/>
      <c r="G81" s="1338"/>
      <c r="H81" s="1338"/>
      <c r="I81" s="1338"/>
      <c r="J81" s="1338"/>
      <c r="K81" s="1338"/>
      <c r="L81" s="1338"/>
      <c r="M81" s="1338"/>
      <c r="N81" s="1338"/>
      <c r="O81" s="1338"/>
      <c r="P81" s="1338"/>
      <c r="Q81" s="1338"/>
      <c r="R81" s="1338"/>
      <c r="S81" s="1338"/>
      <c r="T81" s="1338"/>
      <c r="U81" s="1338"/>
      <c r="V81" s="1338"/>
      <c r="W81" s="1338"/>
      <c r="X81" s="1338"/>
      <c r="Y81" s="1338"/>
      <c r="Z81" s="1338"/>
      <c r="AA81" s="1338"/>
      <c r="AB81" s="1338"/>
      <c r="AC81" s="1338"/>
      <c r="AD81" s="1338"/>
      <c r="AE81" s="1338"/>
      <c r="AF81" s="1338"/>
      <c r="AG81" s="1338"/>
      <c r="AH81" s="1339"/>
    </row>
    <row r="82" spans="1:34" hidden="1" x14ac:dyDescent="0.2"/>
  </sheetData>
  <mergeCells count="413">
    <mergeCell ref="A4:AH4"/>
    <mergeCell ref="A5:D5"/>
    <mergeCell ref="E5:H5"/>
    <mergeCell ref="I5:J5"/>
    <mergeCell ref="K5:N5"/>
    <mergeCell ref="O5:T5"/>
    <mergeCell ref="U5:V5"/>
    <mergeCell ref="W5:AH5"/>
    <mergeCell ref="A1:P1"/>
    <mergeCell ref="W1:AB1"/>
    <mergeCell ref="AC1:AH1"/>
    <mergeCell ref="W2:AB3"/>
    <mergeCell ref="AC2:AH3"/>
    <mergeCell ref="A2:U3"/>
    <mergeCell ref="V6:W6"/>
    <mergeCell ref="X6:Z6"/>
    <mergeCell ref="AA6:AE6"/>
    <mergeCell ref="AF6:AH6"/>
    <mergeCell ref="A7:E7"/>
    <mergeCell ref="F7:J7"/>
    <mergeCell ref="K7:N7"/>
    <mergeCell ref="O7:S7"/>
    <mergeCell ref="T7:U7"/>
    <mergeCell ref="V7:Z7"/>
    <mergeCell ref="A6:B6"/>
    <mergeCell ref="C6:M6"/>
    <mergeCell ref="N6:O6"/>
    <mergeCell ref="P6:Q6"/>
    <mergeCell ref="R6:S6"/>
    <mergeCell ref="T6:U6"/>
    <mergeCell ref="AB7:AE7"/>
    <mergeCell ref="AF7:AH8"/>
    <mergeCell ref="A8:E8"/>
    <mergeCell ref="F8:J8"/>
    <mergeCell ref="K8:N8"/>
    <mergeCell ref="O8:S8"/>
    <mergeCell ref="T8:U8"/>
    <mergeCell ref="V8:Z8"/>
    <mergeCell ref="A11:I12"/>
    <mergeCell ref="O11:P11"/>
    <mergeCell ref="Q11:T11"/>
    <mergeCell ref="U11:V11"/>
    <mergeCell ref="Z11:AH12"/>
    <mergeCell ref="O12:P12"/>
    <mergeCell ref="Q12:T12"/>
    <mergeCell ref="A9:E9"/>
    <mergeCell ref="J9:N15"/>
    <mergeCell ref="O9:P9"/>
    <mergeCell ref="Q9:T9"/>
    <mergeCell ref="U9:V9"/>
    <mergeCell ref="W9:Y15"/>
    <mergeCell ref="U12:V12"/>
    <mergeCell ref="A13:I13"/>
    <mergeCell ref="O13:P13"/>
    <mergeCell ref="Q13:T13"/>
    <mergeCell ref="U15:V15"/>
    <mergeCell ref="AA15:AB15"/>
    <mergeCell ref="U16:V16"/>
    <mergeCell ref="W16:Y16"/>
    <mergeCell ref="U13:V13"/>
    <mergeCell ref="Z13:AH13"/>
    <mergeCell ref="O14:P14"/>
    <mergeCell ref="Q14:T14"/>
    <mergeCell ref="U14:V14"/>
    <mergeCell ref="AA14:AB14"/>
    <mergeCell ref="AB8:AE8"/>
    <mergeCell ref="Z9:AD9"/>
    <mergeCell ref="O10:P10"/>
    <mergeCell ref="U10:V10"/>
    <mergeCell ref="A17:A18"/>
    <mergeCell ref="B17:C18"/>
    <mergeCell ref="D17:H17"/>
    <mergeCell ref="I17:I18"/>
    <mergeCell ref="J17:P18"/>
    <mergeCell ref="Q17:Q18"/>
    <mergeCell ref="G15:H15"/>
    <mergeCell ref="O15:P15"/>
    <mergeCell ref="Q15:T15"/>
    <mergeCell ref="J16:N16"/>
    <mergeCell ref="O16:P16"/>
    <mergeCell ref="Q16:T16"/>
    <mergeCell ref="AF17:AG18"/>
    <mergeCell ref="AH17:AH18"/>
    <mergeCell ref="J19:P19"/>
    <mergeCell ref="U19:Y19"/>
    <mergeCell ref="J20:P20"/>
    <mergeCell ref="U20:Y20"/>
    <mergeCell ref="R17:R18"/>
    <mergeCell ref="S17:S18"/>
    <mergeCell ref="T17:T18"/>
    <mergeCell ref="U17:Y18"/>
    <mergeCell ref="Z17:Z18"/>
    <mergeCell ref="AA17:AE17"/>
    <mergeCell ref="J24:P24"/>
    <mergeCell ref="U24:Y24"/>
    <mergeCell ref="J25:P25"/>
    <mergeCell ref="U25:Y25"/>
    <mergeCell ref="J26:P26"/>
    <mergeCell ref="U26:Y26"/>
    <mergeCell ref="J21:P21"/>
    <mergeCell ref="U21:Y21"/>
    <mergeCell ref="J22:P22"/>
    <mergeCell ref="U22:Y22"/>
    <mergeCell ref="J23:P23"/>
    <mergeCell ref="U23:Y23"/>
    <mergeCell ref="J30:P30"/>
    <mergeCell ref="U30:Y30"/>
    <mergeCell ref="J31:P31"/>
    <mergeCell ref="U31:Y31"/>
    <mergeCell ref="J32:P32"/>
    <mergeCell ref="U32:Y32"/>
    <mergeCell ref="J27:P27"/>
    <mergeCell ref="U27:Y27"/>
    <mergeCell ref="J28:P28"/>
    <mergeCell ref="U28:Y28"/>
    <mergeCell ref="J29:P29"/>
    <mergeCell ref="U29:Y29"/>
    <mergeCell ref="J36:P36"/>
    <mergeCell ref="U36:Y36"/>
    <mergeCell ref="A37:B37"/>
    <mergeCell ref="C37:F37"/>
    <mergeCell ref="G37:J37"/>
    <mergeCell ref="K37:R37"/>
    <mergeCell ref="S37:X37"/>
    <mergeCell ref="Y37:Z37"/>
    <mergeCell ref="J33:P33"/>
    <mergeCell ref="U33:Y33"/>
    <mergeCell ref="J34:P34"/>
    <mergeCell ref="U34:Y34"/>
    <mergeCell ref="J35:P35"/>
    <mergeCell ref="U35:Y35"/>
    <mergeCell ref="AA37:AD37"/>
    <mergeCell ref="AE37:AH37"/>
    <mergeCell ref="A38:B38"/>
    <mergeCell ref="D38:F38"/>
    <mergeCell ref="H38:J38"/>
    <mergeCell ref="K38:R38"/>
    <mergeCell ref="S38:X38"/>
    <mergeCell ref="Y38:Z38"/>
    <mergeCell ref="AB38:AD38"/>
    <mergeCell ref="AF38:AH38"/>
    <mergeCell ref="Y39:Z39"/>
    <mergeCell ref="AB39:AD39"/>
    <mergeCell ref="AF39:AH39"/>
    <mergeCell ref="A40:B40"/>
    <mergeCell ref="D40:F40"/>
    <mergeCell ref="H40:J40"/>
    <mergeCell ref="Y40:Z40"/>
    <mergeCell ref="AB40:AD40"/>
    <mergeCell ref="AF40:AH40"/>
    <mergeCell ref="P39:P40"/>
    <mergeCell ref="Q39:T40"/>
    <mergeCell ref="U39:U40"/>
    <mergeCell ref="V39:V40"/>
    <mergeCell ref="W39:W40"/>
    <mergeCell ref="X39:X40"/>
    <mergeCell ref="A39:B39"/>
    <mergeCell ref="D39:F39"/>
    <mergeCell ref="H39:J39"/>
    <mergeCell ref="K39:L40"/>
    <mergeCell ref="M39:N40"/>
    <mergeCell ref="O39:O40"/>
    <mergeCell ref="Y41:Z41"/>
    <mergeCell ref="AB41:AD41"/>
    <mergeCell ref="AF41:AH41"/>
    <mergeCell ref="A42:B42"/>
    <mergeCell ref="D42:F42"/>
    <mergeCell ref="H42:J42"/>
    <mergeCell ref="K42:L42"/>
    <mergeCell ref="M42:N42"/>
    <mergeCell ref="R42:S42"/>
    <mergeCell ref="Y42:Z42"/>
    <mergeCell ref="A41:B41"/>
    <mergeCell ref="D41:F41"/>
    <mergeCell ref="H41:J41"/>
    <mergeCell ref="K41:L41"/>
    <mergeCell ref="M41:N41"/>
    <mergeCell ref="R41:S41"/>
    <mergeCell ref="AB42:AD42"/>
    <mergeCell ref="AF42:AH42"/>
    <mergeCell ref="A43:B43"/>
    <mergeCell ref="D43:F43"/>
    <mergeCell ref="H43:J43"/>
    <mergeCell ref="K43:L43"/>
    <mergeCell ref="M43:N43"/>
    <mergeCell ref="R43:S43"/>
    <mergeCell ref="Y43:Z43"/>
    <mergeCell ref="AB43:AD43"/>
    <mergeCell ref="AF43:AH43"/>
    <mergeCell ref="A44:B44"/>
    <mergeCell ref="D44:F44"/>
    <mergeCell ref="H44:J44"/>
    <mergeCell ref="K44:L44"/>
    <mergeCell ref="M44:N44"/>
    <mergeCell ref="R44:S44"/>
    <mergeCell ref="Y44:Z44"/>
    <mergeCell ref="AB44:AD44"/>
    <mergeCell ref="AF44:AH44"/>
    <mergeCell ref="Y45:Z45"/>
    <mergeCell ref="AB45:AD45"/>
    <mergeCell ref="AF45:AH45"/>
    <mergeCell ref="A46:B46"/>
    <mergeCell ref="D46:F46"/>
    <mergeCell ref="H46:J46"/>
    <mergeCell ref="K46:L46"/>
    <mergeCell ref="M46:N46"/>
    <mergeCell ref="R46:S46"/>
    <mergeCell ref="Y46:Z46"/>
    <mergeCell ref="A45:B45"/>
    <mergeCell ref="D45:F45"/>
    <mergeCell ref="H45:J45"/>
    <mergeCell ref="K45:L45"/>
    <mergeCell ref="M45:N45"/>
    <mergeCell ref="R45:S45"/>
    <mergeCell ref="AB46:AD46"/>
    <mergeCell ref="AF46:AH46"/>
    <mergeCell ref="A47:B47"/>
    <mergeCell ref="D47:F47"/>
    <mergeCell ref="H47:J47"/>
    <mergeCell ref="K47:L47"/>
    <mergeCell ref="M47:N47"/>
    <mergeCell ref="R47:S47"/>
    <mergeCell ref="Y47:Z47"/>
    <mergeCell ref="AB47:AD47"/>
    <mergeCell ref="G49:J49"/>
    <mergeCell ref="L49:M49"/>
    <mergeCell ref="O49:P49"/>
    <mergeCell ref="Q49:R49"/>
    <mergeCell ref="W49:X49"/>
    <mergeCell ref="Y49:Z49"/>
    <mergeCell ref="AA49:AB49"/>
    <mergeCell ref="AC49:AD49"/>
    <mergeCell ref="A49:B49"/>
    <mergeCell ref="C49:E49"/>
    <mergeCell ref="AF47:AH47"/>
    <mergeCell ref="A48:B48"/>
    <mergeCell ref="C48:E48"/>
    <mergeCell ref="G48:J48"/>
    <mergeCell ref="K48:N48"/>
    <mergeCell ref="O48:AH48"/>
    <mergeCell ref="W50:X50"/>
    <mergeCell ref="Y50:Z50"/>
    <mergeCell ref="AA50:AB50"/>
    <mergeCell ref="AC50:AD50"/>
    <mergeCell ref="AE50:AF50"/>
    <mergeCell ref="AG50:AH50"/>
    <mergeCell ref="AE49:AF49"/>
    <mergeCell ref="AG49:AH49"/>
    <mergeCell ref="A50:B50"/>
    <mergeCell ref="C50:E50"/>
    <mergeCell ref="G50:J50"/>
    <mergeCell ref="L50:M50"/>
    <mergeCell ref="O50:P50"/>
    <mergeCell ref="Q50:R50"/>
    <mergeCell ref="S50:T50"/>
    <mergeCell ref="U50:V50"/>
    <mergeCell ref="S49:T49"/>
    <mergeCell ref="U49:V49"/>
    <mergeCell ref="AG52:AH52"/>
    <mergeCell ref="AE51:AF51"/>
    <mergeCell ref="AG51:AH51"/>
    <mergeCell ref="A52:B52"/>
    <mergeCell ref="C52:E52"/>
    <mergeCell ref="G52:J52"/>
    <mergeCell ref="L52:M52"/>
    <mergeCell ref="O52:P52"/>
    <mergeCell ref="Q52:R52"/>
    <mergeCell ref="S52:T52"/>
    <mergeCell ref="U52:V52"/>
    <mergeCell ref="S51:T51"/>
    <mergeCell ref="U51:V51"/>
    <mergeCell ref="W51:X51"/>
    <mergeCell ref="Y51:Z51"/>
    <mergeCell ref="AA51:AB51"/>
    <mergeCell ref="AC51:AD51"/>
    <mergeCell ref="A51:B51"/>
    <mergeCell ref="C51:E51"/>
    <mergeCell ref="G51:J51"/>
    <mergeCell ref="L51:M51"/>
    <mergeCell ref="O51:P51"/>
    <mergeCell ref="Q51:R51"/>
    <mergeCell ref="G53:J53"/>
    <mergeCell ref="L53:M53"/>
    <mergeCell ref="O53:P53"/>
    <mergeCell ref="Q53:R53"/>
    <mergeCell ref="W52:X52"/>
    <mergeCell ref="Y52:Z52"/>
    <mergeCell ref="AA52:AB52"/>
    <mergeCell ref="AC52:AD52"/>
    <mergeCell ref="AE52:AF52"/>
    <mergeCell ref="W54:X54"/>
    <mergeCell ref="Y54:Z54"/>
    <mergeCell ref="AA54:AB54"/>
    <mergeCell ref="AC54:AD54"/>
    <mergeCell ref="AE54:AF54"/>
    <mergeCell ref="AG54:AH54"/>
    <mergeCell ref="AE53:AF53"/>
    <mergeCell ref="AG53:AH53"/>
    <mergeCell ref="A54:B54"/>
    <mergeCell ref="C54:E54"/>
    <mergeCell ref="G54:J54"/>
    <mergeCell ref="L54:M54"/>
    <mergeCell ref="O54:P54"/>
    <mergeCell ref="Q54:R54"/>
    <mergeCell ref="S54:T54"/>
    <mergeCell ref="U54:V54"/>
    <mergeCell ref="S53:T53"/>
    <mergeCell ref="U53:V53"/>
    <mergeCell ref="W53:X53"/>
    <mergeCell ref="Y53:Z53"/>
    <mergeCell ref="AA53:AB53"/>
    <mergeCell ref="AC53:AD53"/>
    <mergeCell ref="A53:B53"/>
    <mergeCell ref="C53:E53"/>
    <mergeCell ref="AG56:AH56"/>
    <mergeCell ref="AE55:AF55"/>
    <mergeCell ref="AG55:AH55"/>
    <mergeCell ref="A56:B56"/>
    <mergeCell ref="C56:E56"/>
    <mergeCell ref="G56:J56"/>
    <mergeCell ref="L56:M56"/>
    <mergeCell ref="O56:P56"/>
    <mergeCell ref="Q56:R56"/>
    <mergeCell ref="S56:T56"/>
    <mergeCell ref="U56:V56"/>
    <mergeCell ref="S55:T55"/>
    <mergeCell ref="U55:V55"/>
    <mergeCell ref="W55:X55"/>
    <mergeCell ref="Y55:Z55"/>
    <mergeCell ref="AA55:AB55"/>
    <mergeCell ref="AC55:AD55"/>
    <mergeCell ref="A55:B55"/>
    <mergeCell ref="C55:E55"/>
    <mergeCell ref="G55:J55"/>
    <mergeCell ref="L55:M55"/>
    <mergeCell ref="O55:P55"/>
    <mergeCell ref="Q55:R55"/>
    <mergeCell ref="G57:J57"/>
    <mergeCell ref="L57:M57"/>
    <mergeCell ref="O57:P57"/>
    <mergeCell ref="Q57:R57"/>
    <mergeCell ref="W56:X56"/>
    <mergeCell ref="Y56:Z56"/>
    <mergeCell ref="AA56:AB56"/>
    <mergeCell ref="AC56:AD56"/>
    <mergeCell ref="AE56:AF56"/>
    <mergeCell ref="W58:X58"/>
    <mergeCell ref="Y58:Z58"/>
    <mergeCell ref="AA58:AB58"/>
    <mergeCell ref="AC58:AD58"/>
    <mergeCell ref="AE58:AF58"/>
    <mergeCell ref="AG58:AH58"/>
    <mergeCell ref="AE57:AF57"/>
    <mergeCell ref="AG57:AH57"/>
    <mergeCell ref="A58:B58"/>
    <mergeCell ref="C58:E58"/>
    <mergeCell ref="G58:J58"/>
    <mergeCell ref="L58:M58"/>
    <mergeCell ref="O58:P58"/>
    <mergeCell ref="Q58:R58"/>
    <mergeCell ref="S58:T58"/>
    <mergeCell ref="U58:V58"/>
    <mergeCell ref="S57:T57"/>
    <mergeCell ref="U57:V57"/>
    <mergeCell ref="W57:X57"/>
    <mergeCell ref="Y57:Z57"/>
    <mergeCell ref="AA57:AB57"/>
    <mergeCell ref="AC57:AD57"/>
    <mergeCell ref="A57:B57"/>
    <mergeCell ref="C57:E57"/>
    <mergeCell ref="AE59:AF59"/>
    <mergeCell ref="AG59:AH59"/>
    <mergeCell ref="A60:D60"/>
    <mergeCell ref="E60:F60"/>
    <mergeCell ref="G60:H60"/>
    <mergeCell ref="I60:J60"/>
    <mergeCell ref="K60:N60"/>
    <mergeCell ref="O60:P60"/>
    <mergeCell ref="Q60:R60"/>
    <mergeCell ref="S60:T60"/>
    <mergeCell ref="S59:T59"/>
    <mergeCell ref="U59:V59"/>
    <mergeCell ref="W59:X59"/>
    <mergeCell ref="Y59:Z59"/>
    <mergeCell ref="AA59:AB59"/>
    <mergeCell ref="AC59:AD59"/>
    <mergeCell ref="A59:B59"/>
    <mergeCell ref="C59:E59"/>
    <mergeCell ref="G59:J59"/>
    <mergeCell ref="L59:M59"/>
    <mergeCell ref="O59:P59"/>
    <mergeCell ref="Q59:R59"/>
    <mergeCell ref="A69:C69"/>
    <mergeCell ref="A70:AH81"/>
    <mergeCell ref="A63:C63"/>
    <mergeCell ref="E63:AH63"/>
    <mergeCell ref="A64:B64"/>
    <mergeCell ref="E64:AH64"/>
    <mergeCell ref="A66:AH66"/>
    <mergeCell ref="A67:AH67"/>
    <mergeCell ref="AG60:AH60"/>
    <mergeCell ref="A61:C61"/>
    <mergeCell ref="K61:L61"/>
    <mergeCell ref="M61:N61"/>
    <mergeCell ref="A62:C62"/>
    <mergeCell ref="K62:L62"/>
    <mergeCell ref="M62:N62"/>
    <mergeCell ref="U60:V60"/>
    <mergeCell ref="W60:X60"/>
    <mergeCell ref="Y60:Z60"/>
    <mergeCell ref="AA60:AB60"/>
    <mergeCell ref="AC60:AD60"/>
    <mergeCell ref="AE60:AF60"/>
  </mergeCells>
  <phoneticPr fontId="2"/>
  <conditionalFormatting sqref="Q19:Q29 T19:T29">
    <cfRule type="cellIs" dxfId="0" priority="1" operator="equal">
      <formula>0</formula>
    </cfRule>
  </conditionalFormatting>
  <dataValidations count="10">
    <dataValidation type="list" allowBlank="1" showInputMessage="1" showErrorMessage="1" sqref="X6:Z6" xr:uid="{00000000-0002-0000-1300-000000000000}">
      <formula1>$BN$2:$BN$21</formula1>
    </dataValidation>
    <dataValidation type="list" allowBlank="1" showInputMessage="1" showErrorMessage="1" sqref="T6:U6" xr:uid="{00000000-0002-0000-1300-000001000000}">
      <formula1>$BJ$2:$BJ$21</formula1>
    </dataValidation>
    <dataValidation type="list" allowBlank="1" showInputMessage="1" showErrorMessage="1" sqref="P6:Q6" xr:uid="{00000000-0002-0000-1300-000002000000}">
      <formula1>$BL$2:$BL$67</formula1>
    </dataValidation>
    <dataValidation type="list" allowBlank="1" showInputMessage="1" showErrorMessage="1" sqref="C6:M6" xr:uid="{00000000-0002-0000-1300-000003000000}">
      <formula1>$BH$2:$BH$21</formula1>
    </dataValidation>
    <dataValidation type="list" allowBlank="1" showInputMessage="1" showErrorMessage="1" sqref="AB8:AE8" xr:uid="{00000000-0002-0000-1300-000004000000}">
      <formula1>$BF$2:$BF$21</formula1>
    </dataValidation>
    <dataValidation type="list" allowBlank="1" showInputMessage="1" showErrorMessage="1" sqref="AB7:AE7" xr:uid="{00000000-0002-0000-1300-000005000000}">
      <formula1>$BE$2:$BE$21</formula1>
    </dataValidation>
    <dataValidation type="list" allowBlank="1" showInputMessage="1" showErrorMessage="1" sqref="V8:Z8" xr:uid="{00000000-0002-0000-1300-000006000000}">
      <formula1>$BC$2:$BC$21</formula1>
    </dataValidation>
    <dataValidation type="list" allowBlank="1" showInputMessage="1" showErrorMessage="1" sqref="F7:J7" xr:uid="{00000000-0002-0000-1300-000007000000}">
      <formula1>$BA$2:$BA$21</formula1>
    </dataValidation>
    <dataValidation type="list" allowBlank="1" showInputMessage="1" showErrorMessage="1" sqref="F8:J8 O7:S8 V7:Z7" xr:uid="{00000000-0002-0000-1300-000008000000}">
      <formula1>$AY$2:$AY$21</formula1>
    </dataValidation>
    <dataValidation type="list" allowBlank="1" showInputMessage="1" showErrorMessage="1" sqref="A61:C61 C49:E59" xr:uid="{00000000-0002-0000-1300-000009000000}">
      <formula1>$A$10:$B$10</formula1>
    </dataValidation>
  </dataValidations>
  <printOptions horizontalCentered="1"/>
  <pageMargins left="0.39370078740157483" right="0.39370078740157483" top="0.39370078740157483" bottom="0.39370078740157483" header="0.31496062992125984" footer="0.31496062992125984"/>
  <pageSetup paperSize="9" scale="9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70C0"/>
  </sheetPr>
  <dimension ref="A1:AA76"/>
  <sheetViews>
    <sheetView workbookViewId="0">
      <selection activeCell="D13" sqref="D13:I13"/>
    </sheetView>
  </sheetViews>
  <sheetFormatPr defaultColWidth="12" defaultRowHeight="14.25" x14ac:dyDescent="0.15"/>
  <cols>
    <col min="1" max="1" width="10.875" style="33" customWidth="1"/>
    <col min="2" max="2" width="7.375" style="33" customWidth="1"/>
    <col min="3" max="3" width="1.875" style="33" customWidth="1"/>
    <col min="4" max="4" width="7.375" style="33" customWidth="1"/>
    <col min="5" max="5" width="1.875" style="33" customWidth="1"/>
    <col min="6" max="6" width="7.375" style="33" customWidth="1"/>
    <col min="7" max="7" width="1.875" style="33" customWidth="1"/>
    <col min="8" max="8" width="7.375" style="33" customWidth="1"/>
    <col min="9" max="10" width="2.375" style="33" customWidth="1"/>
    <col min="11" max="12" width="5" style="33" customWidth="1"/>
    <col min="13" max="13" width="11" style="33" customWidth="1"/>
    <col min="14" max="14" width="13.875" style="33" customWidth="1"/>
    <col min="15" max="19" width="5" style="33" customWidth="1"/>
    <col min="20" max="20" width="6.625" style="33" customWidth="1"/>
    <col min="21" max="21" width="10.125" style="33" customWidth="1"/>
    <col min="22" max="16384" width="12" style="33"/>
  </cols>
  <sheetData>
    <row r="1" spans="1:27" ht="36.75" customHeight="1" x14ac:dyDescent="0.2">
      <c r="A1" s="1386" t="s">
        <v>390</v>
      </c>
      <c r="B1" s="1387"/>
      <c r="C1" s="1387"/>
      <c r="D1" s="1387"/>
      <c r="E1" s="1387"/>
      <c r="F1" s="1387"/>
      <c r="G1" s="1387"/>
      <c r="H1" s="1387"/>
      <c r="I1" s="1387"/>
      <c r="J1" s="1387"/>
      <c r="K1" s="1387"/>
      <c r="L1" s="1387"/>
      <c r="M1" s="1387"/>
      <c r="N1" s="1387"/>
      <c r="O1" s="1387"/>
      <c r="P1" s="1387"/>
      <c r="Q1" s="1387"/>
      <c r="R1" s="1387"/>
      <c r="S1" s="1387"/>
      <c r="T1" s="1387"/>
      <c r="U1" s="32"/>
      <c r="V1" s="32"/>
    </row>
    <row r="2" spans="1:27" s="35" customFormat="1" ht="28.5" customHeight="1" thickBot="1" x14ac:dyDescent="0.2">
      <c r="A2" s="34" t="s">
        <v>391</v>
      </c>
      <c r="L2" s="1388" t="str">
        <f>IF(COUNTA($T$4:$T$21)=0,"（注意） キャプテンに「１」を入力してください。","")</f>
        <v/>
      </c>
      <c r="M2" s="1389"/>
      <c r="N2" s="1389"/>
      <c r="O2" s="1389"/>
      <c r="P2" s="1389"/>
      <c r="Q2" s="1389"/>
      <c r="R2" s="1390" t="s">
        <v>392</v>
      </c>
      <c r="S2" s="1391"/>
      <c r="U2" s="55" t="s">
        <v>393</v>
      </c>
    </row>
    <row r="3" spans="1:27" s="35" customFormat="1" ht="36.75" thickBot="1" x14ac:dyDescent="0.2">
      <c r="A3" s="36" t="s">
        <v>394</v>
      </c>
      <c r="B3" s="37" t="s">
        <v>395</v>
      </c>
      <c r="C3" s="38"/>
      <c r="D3" s="39" t="s">
        <v>214</v>
      </c>
      <c r="E3" s="1392" t="s">
        <v>396</v>
      </c>
      <c r="F3" s="1393"/>
      <c r="G3" s="38"/>
      <c r="H3" s="38"/>
      <c r="I3" s="38"/>
      <c r="J3" s="38"/>
      <c r="K3" s="40" t="s">
        <v>346</v>
      </c>
      <c r="L3" s="40" t="s">
        <v>347</v>
      </c>
      <c r="M3" s="40" t="s">
        <v>397</v>
      </c>
      <c r="N3" s="40" t="s">
        <v>398</v>
      </c>
      <c r="O3" s="40" t="s">
        <v>399</v>
      </c>
      <c r="P3" s="40" t="s">
        <v>400</v>
      </c>
      <c r="Q3" s="40" t="s">
        <v>401</v>
      </c>
      <c r="R3" s="40" t="s">
        <v>402</v>
      </c>
      <c r="S3" s="40" t="s">
        <v>84</v>
      </c>
      <c r="T3" s="41" t="s">
        <v>403</v>
      </c>
      <c r="U3" s="41" t="s">
        <v>404</v>
      </c>
    </row>
    <row r="4" spans="1:27" s="35" customFormat="1" ht="15" customHeight="1" thickBot="1" x14ac:dyDescent="0.2">
      <c r="A4" s="36" t="s">
        <v>405</v>
      </c>
      <c r="B4" s="37">
        <v>1</v>
      </c>
      <c r="C4" s="1384" t="s">
        <v>406</v>
      </c>
      <c r="D4" s="1385"/>
      <c r="E4" s="1385"/>
      <c r="F4" s="1385"/>
      <c r="G4" s="1385"/>
      <c r="H4" s="1385"/>
      <c r="I4" s="1385"/>
      <c r="J4" s="42"/>
      <c r="K4" s="43">
        <v>1</v>
      </c>
      <c r="L4" s="37" t="s">
        <v>407</v>
      </c>
      <c r="M4" s="44" t="s">
        <v>408</v>
      </c>
      <c r="N4" s="44" t="s">
        <v>409</v>
      </c>
      <c r="O4" s="37">
        <v>2</v>
      </c>
      <c r="P4" s="37">
        <v>163</v>
      </c>
      <c r="Q4" s="37">
        <v>55</v>
      </c>
      <c r="R4" s="37">
        <v>9</v>
      </c>
      <c r="S4" s="37">
        <v>25</v>
      </c>
      <c r="T4" s="37"/>
      <c r="U4" s="37" t="s">
        <v>410</v>
      </c>
      <c r="V4" s="55"/>
      <c r="W4" s="55"/>
      <c r="X4" s="55"/>
      <c r="Y4" s="55"/>
      <c r="Z4" s="55"/>
      <c r="AA4" s="55"/>
    </row>
    <row r="5" spans="1:27" s="35" customFormat="1" ht="15" thickBot="1" x14ac:dyDescent="0.2">
      <c r="A5" s="36" t="s">
        <v>411</v>
      </c>
      <c r="B5" s="37"/>
      <c r="C5" s="1384" t="s">
        <v>412</v>
      </c>
      <c r="D5" s="1385"/>
      <c r="E5" s="1385"/>
      <c r="F5" s="1385"/>
      <c r="G5" s="1385"/>
      <c r="H5" s="1385"/>
      <c r="I5" s="1385"/>
      <c r="J5" s="42"/>
      <c r="K5" s="43">
        <v>2</v>
      </c>
      <c r="L5" s="37" t="s">
        <v>413</v>
      </c>
      <c r="M5" s="44" t="s">
        <v>414</v>
      </c>
      <c r="N5" s="44" t="s">
        <v>415</v>
      </c>
      <c r="O5" s="37">
        <v>3</v>
      </c>
      <c r="P5" s="37">
        <v>164</v>
      </c>
      <c r="Q5" s="37">
        <v>53</v>
      </c>
      <c r="R5" s="37">
        <v>7</v>
      </c>
      <c r="S5" s="37">
        <v>24</v>
      </c>
      <c r="T5" s="37"/>
      <c r="U5" s="37" t="s">
        <v>416</v>
      </c>
    </row>
    <row r="6" spans="1:27" s="35" customFormat="1" ht="15" thickBot="1" x14ac:dyDescent="0.2">
      <c r="A6" s="36" t="s">
        <v>417</v>
      </c>
      <c r="B6" s="1394" t="s">
        <v>418</v>
      </c>
      <c r="C6" s="1396"/>
      <c r="D6" s="1396"/>
      <c r="E6" s="1395"/>
      <c r="F6" s="1392" t="s">
        <v>419</v>
      </c>
      <c r="G6" s="1393"/>
      <c r="H6" s="1393"/>
      <c r="I6" s="1393"/>
      <c r="J6" s="45"/>
      <c r="K6" s="43">
        <v>3</v>
      </c>
      <c r="L6" s="37" t="s">
        <v>413</v>
      </c>
      <c r="M6" s="44" t="s">
        <v>420</v>
      </c>
      <c r="N6" s="44" t="s">
        <v>421</v>
      </c>
      <c r="O6" s="37">
        <v>3</v>
      </c>
      <c r="P6" s="37">
        <v>174</v>
      </c>
      <c r="Q6" s="37">
        <v>66</v>
      </c>
      <c r="R6" s="37">
        <v>5</v>
      </c>
      <c r="S6" s="37">
        <v>3</v>
      </c>
      <c r="T6" s="37"/>
      <c r="U6" s="37" t="s">
        <v>422</v>
      </c>
    </row>
    <row r="7" spans="1:27" s="35" customFormat="1" ht="15" thickBot="1" x14ac:dyDescent="0.2">
      <c r="A7" s="36" t="s">
        <v>423</v>
      </c>
      <c r="B7" s="1394" t="s">
        <v>215</v>
      </c>
      <c r="C7" s="1396"/>
      <c r="D7" s="1396"/>
      <c r="E7" s="1395"/>
      <c r="F7" s="1392" t="s">
        <v>424</v>
      </c>
      <c r="G7" s="1393"/>
      <c r="H7" s="1393"/>
      <c r="I7" s="1393"/>
      <c r="J7" s="45"/>
      <c r="K7" s="43">
        <v>4</v>
      </c>
      <c r="L7" s="37" t="s">
        <v>413</v>
      </c>
      <c r="M7" s="44" t="s">
        <v>425</v>
      </c>
      <c r="N7" s="44" t="s">
        <v>426</v>
      </c>
      <c r="O7" s="37">
        <v>3</v>
      </c>
      <c r="P7" s="37">
        <v>168</v>
      </c>
      <c r="Q7" s="37">
        <v>51</v>
      </c>
      <c r="R7" s="37">
        <v>7</v>
      </c>
      <c r="S7" s="37">
        <v>20</v>
      </c>
      <c r="T7" s="37"/>
      <c r="U7" s="37" t="s">
        <v>427</v>
      </c>
    </row>
    <row r="8" spans="1:27" s="35" customFormat="1" ht="15" thickBot="1" x14ac:dyDescent="0.2">
      <c r="A8" s="36" t="s">
        <v>428</v>
      </c>
      <c r="B8" s="46" t="s">
        <v>429</v>
      </c>
      <c r="C8" s="47" t="s">
        <v>430</v>
      </c>
      <c r="D8" s="46" t="s">
        <v>431</v>
      </c>
      <c r="E8" s="47" t="s">
        <v>430</v>
      </c>
      <c r="F8" s="46" t="s">
        <v>432</v>
      </c>
      <c r="G8" s="38"/>
      <c r="H8" s="38"/>
      <c r="I8" s="38"/>
      <c r="J8" s="38"/>
      <c r="K8" s="43">
        <v>5</v>
      </c>
      <c r="L8" s="37" t="s">
        <v>413</v>
      </c>
      <c r="M8" s="44" t="s">
        <v>433</v>
      </c>
      <c r="N8" s="44" t="s">
        <v>434</v>
      </c>
      <c r="O8" s="37">
        <v>3</v>
      </c>
      <c r="P8" s="37">
        <v>173</v>
      </c>
      <c r="Q8" s="37">
        <v>65</v>
      </c>
      <c r="R8" s="37">
        <v>9</v>
      </c>
      <c r="S8" s="37">
        <v>8</v>
      </c>
      <c r="T8" s="37"/>
      <c r="U8" s="37" t="s">
        <v>435</v>
      </c>
    </row>
    <row r="9" spans="1:27" s="35" customFormat="1" ht="15" thickBot="1" x14ac:dyDescent="0.2">
      <c r="A9" s="36" t="s">
        <v>436</v>
      </c>
      <c r="B9" s="46" t="s">
        <v>429</v>
      </c>
      <c r="C9" s="47" t="s">
        <v>430</v>
      </c>
      <c r="D9" s="46" t="s">
        <v>431</v>
      </c>
      <c r="E9" s="47" t="s">
        <v>430</v>
      </c>
      <c r="F9" s="46" t="s">
        <v>437</v>
      </c>
      <c r="G9" s="38"/>
      <c r="H9" s="38"/>
      <c r="I9" s="38"/>
      <c r="J9" s="38"/>
      <c r="K9" s="43">
        <v>6</v>
      </c>
      <c r="L9" s="37" t="s">
        <v>413</v>
      </c>
      <c r="M9" s="44" t="s">
        <v>438</v>
      </c>
      <c r="N9" s="44" t="s">
        <v>439</v>
      </c>
      <c r="O9" s="37">
        <v>3</v>
      </c>
      <c r="P9" s="37">
        <v>167</v>
      </c>
      <c r="Q9" s="37">
        <v>49</v>
      </c>
      <c r="R9" s="37">
        <v>5</v>
      </c>
      <c r="S9" s="37">
        <v>29</v>
      </c>
      <c r="T9" s="37"/>
      <c r="U9" s="37" t="s">
        <v>440</v>
      </c>
    </row>
    <row r="10" spans="1:27" s="35" customFormat="1" ht="15" thickBot="1" x14ac:dyDescent="0.2">
      <c r="A10" s="36" t="s">
        <v>441</v>
      </c>
      <c r="B10" s="46" t="s">
        <v>442</v>
      </c>
      <c r="C10" s="47" t="s">
        <v>430</v>
      </c>
      <c r="D10" s="46" t="s">
        <v>443</v>
      </c>
      <c r="E10" s="38"/>
      <c r="F10" s="38"/>
      <c r="G10" s="38"/>
      <c r="H10" s="38"/>
      <c r="I10" s="38"/>
      <c r="J10" s="38"/>
      <c r="K10" s="43">
        <v>7</v>
      </c>
      <c r="L10" s="37" t="s">
        <v>444</v>
      </c>
      <c r="M10" s="44" t="s">
        <v>445</v>
      </c>
      <c r="N10" s="44" t="s">
        <v>446</v>
      </c>
      <c r="O10" s="37">
        <v>2</v>
      </c>
      <c r="P10" s="37">
        <v>162</v>
      </c>
      <c r="Q10" s="37">
        <v>51</v>
      </c>
      <c r="R10" s="37">
        <v>11</v>
      </c>
      <c r="S10" s="37">
        <v>17</v>
      </c>
      <c r="T10" s="37"/>
      <c r="U10" s="37" t="s">
        <v>447</v>
      </c>
    </row>
    <row r="11" spans="1:27" s="35" customFormat="1" ht="15" thickBot="1" x14ac:dyDescent="0.2">
      <c r="A11" s="36" t="s">
        <v>448</v>
      </c>
      <c r="B11" s="1397" t="s">
        <v>449</v>
      </c>
      <c r="C11" s="1396"/>
      <c r="D11" s="1396"/>
      <c r="E11" s="1396"/>
      <c r="F11" s="1396"/>
      <c r="G11" s="1395"/>
      <c r="H11" s="38"/>
      <c r="I11" s="38"/>
      <c r="J11" s="38"/>
      <c r="K11" s="43">
        <v>8</v>
      </c>
      <c r="L11" s="37" t="s">
        <v>444</v>
      </c>
      <c r="M11" s="44" t="s">
        <v>450</v>
      </c>
      <c r="N11" s="44" t="s">
        <v>451</v>
      </c>
      <c r="O11" s="37">
        <v>3</v>
      </c>
      <c r="P11" s="37">
        <v>164</v>
      </c>
      <c r="Q11" s="37">
        <v>51</v>
      </c>
      <c r="R11" s="37">
        <v>10</v>
      </c>
      <c r="S11" s="37">
        <v>25</v>
      </c>
      <c r="T11" s="37"/>
      <c r="U11" s="37" t="s">
        <v>452</v>
      </c>
    </row>
    <row r="12" spans="1:27" s="35" customFormat="1" ht="15" thickBot="1" x14ac:dyDescent="0.2">
      <c r="A12" s="36" t="s">
        <v>453</v>
      </c>
      <c r="B12" s="1394" t="s">
        <v>454</v>
      </c>
      <c r="C12" s="1395"/>
      <c r="D12" s="38"/>
      <c r="E12" s="38"/>
      <c r="F12" s="38"/>
      <c r="G12" s="38"/>
      <c r="H12" s="38"/>
      <c r="I12" s="38"/>
      <c r="J12" s="38"/>
      <c r="K12" s="43">
        <v>9</v>
      </c>
      <c r="L12" s="37" t="s">
        <v>455</v>
      </c>
      <c r="M12" s="44" t="s">
        <v>456</v>
      </c>
      <c r="N12" s="44" t="s">
        <v>457</v>
      </c>
      <c r="O12" s="37">
        <v>3</v>
      </c>
      <c r="P12" s="37">
        <v>169</v>
      </c>
      <c r="Q12" s="37">
        <v>55</v>
      </c>
      <c r="R12" s="37">
        <v>9</v>
      </c>
      <c r="S12" s="37">
        <v>9</v>
      </c>
      <c r="T12" s="37"/>
      <c r="U12" s="37" t="s">
        <v>458</v>
      </c>
    </row>
    <row r="13" spans="1:27" s="35" customFormat="1" ht="15" customHeight="1" thickBot="1" x14ac:dyDescent="0.2">
      <c r="A13" s="36" t="s">
        <v>459</v>
      </c>
      <c r="B13" s="1394" t="s">
        <v>460</v>
      </c>
      <c r="C13" s="1395"/>
      <c r="D13" s="1398" t="str">
        <f>IF(OR(B13=B14,B13=B15,B13=B16),"","（注意）ベンチ入りできません。")</f>
        <v>（注意）ベンチ入りできません。</v>
      </c>
      <c r="E13" s="1399"/>
      <c r="F13" s="1399"/>
      <c r="G13" s="1399"/>
      <c r="H13" s="1399"/>
      <c r="I13" s="1399"/>
      <c r="J13" s="38"/>
      <c r="K13" s="43">
        <v>10</v>
      </c>
      <c r="L13" s="37" t="s">
        <v>444</v>
      </c>
      <c r="M13" s="44" t="s">
        <v>461</v>
      </c>
      <c r="N13" s="44" t="s">
        <v>462</v>
      </c>
      <c r="O13" s="37">
        <v>3</v>
      </c>
      <c r="P13" s="37">
        <v>175</v>
      </c>
      <c r="Q13" s="37">
        <v>55</v>
      </c>
      <c r="R13" s="37">
        <v>10</v>
      </c>
      <c r="S13" s="37">
        <v>19</v>
      </c>
      <c r="T13" s="37">
        <v>1</v>
      </c>
      <c r="U13" s="37" t="s">
        <v>440</v>
      </c>
    </row>
    <row r="14" spans="1:27" s="35" customFormat="1" ht="15" thickBot="1" x14ac:dyDescent="0.2">
      <c r="A14" s="36" t="s">
        <v>463</v>
      </c>
      <c r="B14" s="1394" t="s">
        <v>464</v>
      </c>
      <c r="C14" s="1395"/>
      <c r="D14" s="49"/>
      <c r="E14" s="50"/>
      <c r="F14" s="50"/>
      <c r="G14" s="50"/>
      <c r="H14" s="50"/>
      <c r="I14" s="38"/>
      <c r="J14" s="38"/>
      <c r="K14" s="43">
        <v>11</v>
      </c>
      <c r="L14" s="37" t="s">
        <v>455</v>
      </c>
      <c r="M14" s="44" t="s">
        <v>465</v>
      </c>
      <c r="N14" s="44" t="s">
        <v>466</v>
      </c>
      <c r="O14" s="37">
        <v>3</v>
      </c>
      <c r="P14" s="37">
        <v>158</v>
      </c>
      <c r="Q14" s="37">
        <v>47</v>
      </c>
      <c r="R14" s="37">
        <v>6</v>
      </c>
      <c r="S14" s="37">
        <v>27</v>
      </c>
      <c r="T14" s="37"/>
      <c r="U14" s="37" t="s">
        <v>440</v>
      </c>
    </row>
    <row r="15" spans="1:27" s="35" customFormat="1" ht="15" thickBot="1" x14ac:dyDescent="0.2">
      <c r="A15" s="36" t="s">
        <v>467</v>
      </c>
      <c r="B15" s="1394" t="s">
        <v>468</v>
      </c>
      <c r="C15" s="1395"/>
      <c r="D15" s="37" t="s">
        <v>469</v>
      </c>
      <c r="E15" s="1392" t="s">
        <v>470</v>
      </c>
      <c r="F15" s="1393"/>
      <c r="G15" s="1393"/>
      <c r="H15" s="1393"/>
      <c r="I15" s="1393"/>
      <c r="J15" s="45"/>
      <c r="K15" s="56">
        <v>12</v>
      </c>
      <c r="L15" s="57" t="s">
        <v>444</v>
      </c>
      <c r="M15" s="58" t="s">
        <v>471</v>
      </c>
      <c r="N15" s="58" t="s">
        <v>472</v>
      </c>
      <c r="O15" s="57">
        <v>3</v>
      </c>
      <c r="P15" s="57">
        <v>159</v>
      </c>
      <c r="Q15" s="57">
        <v>45</v>
      </c>
      <c r="R15" s="57">
        <v>6</v>
      </c>
      <c r="S15" s="57">
        <v>12</v>
      </c>
      <c r="T15" s="57"/>
      <c r="U15" s="57" t="s">
        <v>473</v>
      </c>
    </row>
    <row r="16" spans="1:27" s="35" customFormat="1" ht="15" thickBot="1" x14ac:dyDescent="0.2">
      <c r="A16" s="36" t="s">
        <v>474</v>
      </c>
      <c r="B16" s="1394" t="s">
        <v>475</v>
      </c>
      <c r="C16" s="1395"/>
      <c r="D16" s="37" t="s">
        <v>476</v>
      </c>
      <c r="E16" s="1392" t="s">
        <v>477</v>
      </c>
      <c r="F16" s="1393"/>
      <c r="G16" s="1393"/>
      <c r="H16" s="1393"/>
      <c r="I16" s="1393"/>
      <c r="J16" s="45"/>
      <c r="K16" s="43">
        <v>13</v>
      </c>
      <c r="L16" s="37" t="s">
        <v>444</v>
      </c>
      <c r="M16" s="44" t="s">
        <v>478</v>
      </c>
      <c r="N16" s="44" t="s">
        <v>479</v>
      </c>
      <c r="O16" s="37">
        <v>3</v>
      </c>
      <c r="P16" s="37">
        <v>172</v>
      </c>
      <c r="Q16" s="37">
        <v>54</v>
      </c>
      <c r="R16" s="37">
        <v>6</v>
      </c>
      <c r="S16" s="37">
        <v>11</v>
      </c>
      <c r="T16" s="37"/>
      <c r="U16" s="37" t="s">
        <v>422</v>
      </c>
    </row>
    <row r="17" spans="1:21" s="35" customFormat="1" ht="15" thickBot="1" x14ac:dyDescent="0.2">
      <c r="A17" s="38"/>
      <c r="B17" s="1400" t="s">
        <v>480</v>
      </c>
      <c r="C17" s="1396"/>
      <c r="D17" s="1401" t="s">
        <v>481</v>
      </c>
      <c r="E17" s="1402"/>
      <c r="F17" s="1401" t="s">
        <v>482</v>
      </c>
      <c r="G17" s="1402"/>
      <c r="H17" s="1401" t="s">
        <v>483</v>
      </c>
      <c r="I17" s="1402"/>
      <c r="J17" s="45"/>
      <c r="K17" s="43">
        <v>14</v>
      </c>
      <c r="L17" s="37" t="s">
        <v>455</v>
      </c>
      <c r="M17" s="44" t="s">
        <v>484</v>
      </c>
      <c r="N17" s="44" t="s">
        <v>485</v>
      </c>
      <c r="O17" s="37">
        <v>2</v>
      </c>
      <c r="P17" s="37">
        <v>168</v>
      </c>
      <c r="Q17" s="37">
        <v>52</v>
      </c>
      <c r="R17" s="37">
        <v>8</v>
      </c>
      <c r="S17" s="37">
        <v>15</v>
      </c>
      <c r="T17" s="37"/>
      <c r="U17" s="37" t="s">
        <v>486</v>
      </c>
    </row>
    <row r="18" spans="1:21" s="35" customFormat="1" ht="15" thickBot="1" x14ac:dyDescent="0.2">
      <c r="A18" s="36" t="s">
        <v>487</v>
      </c>
      <c r="B18" s="1394" t="s">
        <v>488</v>
      </c>
      <c r="C18" s="1395"/>
      <c r="D18" s="1394" t="s">
        <v>489</v>
      </c>
      <c r="E18" s="1395"/>
      <c r="F18" s="1394" t="s">
        <v>490</v>
      </c>
      <c r="G18" s="1395"/>
      <c r="H18" s="1394" t="s">
        <v>491</v>
      </c>
      <c r="I18" s="1395"/>
      <c r="J18" s="51"/>
      <c r="K18" s="43">
        <v>15</v>
      </c>
      <c r="L18" s="37" t="s">
        <v>455</v>
      </c>
      <c r="M18" s="44" t="s">
        <v>492</v>
      </c>
      <c r="N18" s="44" t="s">
        <v>493</v>
      </c>
      <c r="O18" s="37">
        <v>3</v>
      </c>
      <c r="P18" s="37">
        <v>164</v>
      </c>
      <c r="Q18" s="37">
        <v>54</v>
      </c>
      <c r="R18" s="37">
        <v>9</v>
      </c>
      <c r="S18" s="37">
        <v>21</v>
      </c>
      <c r="T18" s="37"/>
      <c r="U18" s="37" t="s">
        <v>494</v>
      </c>
    </row>
    <row r="19" spans="1:21" s="35" customFormat="1" ht="15" thickBot="1" x14ac:dyDescent="0.2">
      <c r="A19" s="36" t="s">
        <v>495</v>
      </c>
      <c r="B19" s="1394" t="s">
        <v>42</v>
      </c>
      <c r="C19" s="1395"/>
      <c r="D19" s="1394" t="s">
        <v>489</v>
      </c>
      <c r="E19" s="1395"/>
      <c r="F19" s="1394" t="s">
        <v>496</v>
      </c>
      <c r="G19" s="1395"/>
      <c r="H19" s="1394" t="s">
        <v>491</v>
      </c>
      <c r="I19" s="1395"/>
      <c r="J19" s="51"/>
      <c r="K19" s="43">
        <v>16</v>
      </c>
      <c r="L19" s="37" t="s">
        <v>413</v>
      </c>
      <c r="M19" s="44" t="s">
        <v>497</v>
      </c>
      <c r="N19" s="44" t="s">
        <v>498</v>
      </c>
      <c r="O19" s="37">
        <v>2</v>
      </c>
      <c r="P19" s="37">
        <v>171</v>
      </c>
      <c r="Q19" s="37">
        <v>65</v>
      </c>
      <c r="R19" s="37">
        <v>7</v>
      </c>
      <c r="S19" s="37">
        <v>23</v>
      </c>
      <c r="T19" s="37"/>
      <c r="U19" s="37" t="s">
        <v>499</v>
      </c>
    </row>
    <row r="20" spans="1:21" s="35" customFormat="1" ht="15" thickBot="1" x14ac:dyDescent="0.2">
      <c r="A20" s="36" t="s">
        <v>500</v>
      </c>
      <c r="B20" s="1394" t="s">
        <v>488</v>
      </c>
      <c r="C20" s="1395"/>
      <c r="D20" s="1394" t="s">
        <v>489</v>
      </c>
      <c r="E20" s="1395"/>
      <c r="F20" s="1394" t="s">
        <v>490</v>
      </c>
      <c r="G20" s="1395"/>
      <c r="H20" s="1394" t="s">
        <v>491</v>
      </c>
      <c r="I20" s="1395"/>
      <c r="J20" s="51"/>
      <c r="K20" s="43">
        <v>17</v>
      </c>
      <c r="L20" s="37" t="s">
        <v>407</v>
      </c>
      <c r="M20" s="44" t="s">
        <v>501</v>
      </c>
      <c r="N20" s="44" t="s">
        <v>502</v>
      </c>
      <c r="O20" s="37">
        <v>3</v>
      </c>
      <c r="P20" s="37">
        <v>168</v>
      </c>
      <c r="Q20" s="37">
        <v>58</v>
      </c>
      <c r="R20" s="37">
        <v>2</v>
      </c>
      <c r="S20" s="37">
        <v>25</v>
      </c>
      <c r="T20" s="37"/>
      <c r="U20" s="37" t="s">
        <v>458</v>
      </c>
    </row>
    <row r="21" spans="1:21" s="35" customFormat="1" ht="15" thickBot="1" x14ac:dyDescent="0.2">
      <c r="B21" s="52" t="str">
        <f>IF(AND(COUNTIF($B$18:$I$18,"黒")=0,COUNTIF($B$18:$I$18,"黒色")=0,COUNTIF($B$18:$I$18,"紺")=0,COUNTIF($B$18:$I$18,"紺色")=0,COUNTIF($B$18:$I$18,"ネイビー")=0),"","（注意） シャツに黒・紺色は使えません。")</f>
        <v/>
      </c>
      <c r="K21" s="43">
        <v>18</v>
      </c>
      <c r="L21" s="37" t="s">
        <v>444</v>
      </c>
      <c r="M21" s="44" t="s">
        <v>503</v>
      </c>
      <c r="N21" s="44" t="s">
        <v>504</v>
      </c>
      <c r="O21" s="37">
        <v>2</v>
      </c>
      <c r="P21" s="37">
        <v>158</v>
      </c>
      <c r="Q21" s="37">
        <v>45</v>
      </c>
      <c r="R21" s="37">
        <v>4</v>
      </c>
      <c r="S21" s="37">
        <v>2</v>
      </c>
      <c r="T21" s="37"/>
      <c r="U21" s="37" t="s">
        <v>505</v>
      </c>
    </row>
    <row r="22" spans="1:21" s="35" customFormat="1" ht="12" x14ac:dyDescent="0.15">
      <c r="B22" s="1403" t="str">
        <f>IF(AND(B18&lt;&gt;D18,B18&lt;&gt;F18,B18&lt;&gt;H18,D18&lt;&gt;F18,D18&lt;&gt;H18,F18&lt;&gt;H18)=TRUE,"","（注意） "&amp;A18&amp;"が重複しています。")</f>
        <v/>
      </c>
      <c r="C22" s="1404"/>
      <c r="D22" s="1404"/>
      <c r="E22" s="1404"/>
      <c r="F22" s="1404"/>
      <c r="G22" s="1404"/>
      <c r="H22" s="1404"/>
      <c r="I22" s="1404"/>
      <c r="J22" s="54"/>
      <c r="K22" s="1405" t="s">
        <v>506</v>
      </c>
      <c r="L22" s="1406"/>
      <c r="M22" s="1407"/>
      <c r="N22" s="1408" t="s">
        <v>507</v>
      </c>
      <c r="O22" s="1409"/>
      <c r="P22" s="1409"/>
      <c r="Q22" s="1409"/>
      <c r="R22" s="1409"/>
      <c r="S22" s="1409"/>
      <c r="T22" s="1410"/>
    </row>
    <row r="23" spans="1:21" s="35" customFormat="1" ht="12" x14ac:dyDescent="0.15">
      <c r="B23" s="1403" t="str">
        <f>IF(AND(B19&lt;&gt;D19,B19&lt;&gt;F19,B19&lt;&gt;H19,D19&lt;&gt;F19,D19&lt;&gt;H19,F19&lt;&gt;H19)=TRUE,"","（注意） "&amp;A19&amp;"が重複しています。")</f>
        <v/>
      </c>
      <c r="C23" s="1404"/>
      <c r="D23" s="1404"/>
      <c r="E23" s="1404"/>
      <c r="F23" s="1404"/>
      <c r="G23" s="1404"/>
      <c r="H23" s="1404"/>
      <c r="I23" s="1404"/>
      <c r="J23" s="54"/>
      <c r="K23" s="1406"/>
      <c r="L23" s="1406"/>
      <c r="M23" s="1407"/>
      <c r="N23" s="1411"/>
      <c r="O23" s="1412"/>
      <c r="P23" s="1412"/>
      <c r="Q23" s="1412"/>
      <c r="R23" s="1412"/>
      <c r="S23" s="1412"/>
      <c r="T23" s="1413"/>
    </row>
    <row r="24" spans="1:21" s="35" customFormat="1" ht="52.5" customHeight="1" thickBot="1" x14ac:dyDescent="0.2">
      <c r="B24" s="1417" t="str">
        <f>IF(AND(B20&lt;&gt;D20,B20&lt;&gt;F20,B20&lt;&gt;H20,D20&lt;&gt;F20,D20&lt;&gt;H20,F20&lt;&gt;H20)=TRUE,"","（注意） "&amp;A20&amp;"が重複しています。")</f>
        <v/>
      </c>
      <c r="C24" s="1418"/>
      <c r="D24" s="1418"/>
      <c r="E24" s="1418"/>
      <c r="F24" s="1418"/>
      <c r="G24" s="1418"/>
      <c r="H24" s="1418"/>
      <c r="I24" s="1418"/>
      <c r="J24" s="54"/>
      <c r="K24" s="1419" t="str">
        <f>IF(N22="","必ず、記入して下さい。","")</f>
        <v/>
      </c>
      <c r="L24" s="1419"/>
      <c r="M24" s="1420"/>
      <c r="N24" s="1414"/>
      <c r="O24" s="1415"/>
      <c r="P24" s="1415"/>
      <c r="Q24" s="1415"/>
      <c r="R24" s="1415"/>
      <c r="S24" s="1415"/>
      <c r="T24" s="1416"/>
    </row>
    <row r="25" spans="1:21" s="35" customFormat="1" ht="14.25" customHeight="1" x14ac:dyDescent="0.15"/>
    <row r="26" spans="1:21" s="35" customFormat="1" ht="14.25" customHeight="1" x14ac:dyDescent="0.15">
      <c r="K26" s="33"/>
      <c r="L26" s="33"/>
      <c r="M26" s="33"/>
      <c r="N26" s="33"/>
      <c r="O26" s="33"/>
      <c r="P26" s="33"/>
      <c r="Q26" s="33"/>
      <c r="R26" s="33"/>
    </row>
    <row r="27" spans="1:21" s="35" customFormat="1" ht="14.25" customHeight="1" x14ac:dyDescent="0.15">
      <c r="K27" s="33"/>
      <c r="L27" s="33"/>
      <c r="M27" s="33"/>
      <c r="N27" s="33"/>
      <c r="O27" s="33"/>
      <c r="P27" s="33"/>
      <c r="Q27" s="33"/>
      <c r="R27" s="33"/>
    </row>
    <row r="28" spans="1:21" s="35" customFormat="1" ht="14.25" customHeight="1" x14ac:dyDescent="0.15">
      <c r="K28" s="33"/>
      <c r="L28" s="33"/>
      <c r="M28" s="33"/>
      <c r="N28" s="33"/>
      <c r="O28" s="33"/>
      <c r="P28" s="33"/>
      <c r="Q28" s="33"/>
      <c r="R28" s="33"/>
    </row>
    <row r="29" spans="1:21" ht="14.25" customHeight="1" x14ac:dyDescent="0.15"/>
    <row r="30" spans="1:21" x14ac:dyDescent="0.15">
      <c r="B30" s="53"/>
    </row>
    <row r="31" spans="1:21" x14ac:dyDescent="0.15">
      <c r="B31" s="53"/>
    </row>
    <row r="32" spans="1:21" x14ac:dyDescent="0.15">
      <c r="B32" s="53"/>
    </row>
    <row r="33" spans="2:2" x14ac:dyDescent="0.15">
      <c r="B33" s="53"/>
    </row>
    <row r="34" spans="2:2" x14ac:dyDescent="0.15">
      <c r="B34" s="53"/>
    </row>
    <row r="35" spans="2:2" x14ac:dyDescent="0.15">
      <c r="B35" s="53"/>
    </row>
    <row r="36" spans="2:2" x14ac:dyDescent="0.15">
      <c r="B36" s="53"/>
    </row>
    <row r="37" spans="2:2" x14ac:dyDescent="0.15">
      <c r="B37" s="53"/>
    </row>
    <row r="38" spans="2:2" x14ac:dyDescent="0.15">
      <c r="B38" s="53"/>
    </row>
    <row r="39" spans="2:2" x14ac:dyDescent="0.15">
      <c r="B39" s="53"/>
    </row>
    <row r="40" spans="2:2" x14ac:dyDescent="0.15">
      <c r="B40" s="53"/>
    </row>
    <row r="41" spans="2:2" x14ac:dyDescent="0.15">
      <c r="B41" s="53"/>
    </row>
    <row r="42" spans="2:2" x14ac:dyDescent="0.15">
      <c r="B42" s="53"/>
    </row>
    <row r="43" spans="2:2" x14ac:dyDescent="0.15">
      <c r="B43" s="53"/>
    </row>
    <row r="44" spans="2:2" x14ac:dyDescent="0.15">
      <c r="B44" s="53"/>
    </row>
    <row r="45" spans="2:2" x14ac:dyDescent="0.15">
      <c r="B45" s="53"/>
    </row>
    <row r="46" spans="2:2" x14ac:dyDescent="0.15">
      <c r="B46" s="53"/>
    </row>
    <row r="47" spans="2:2" x14ac:dyDescent="0.15">
      <c r="B47" s="53"/>
    </row>
    <row r="48" spans="2:2" x14ac:dyDescent="0.15">
      <c r="B48" s="53"/>
    </row>
    <row r="49" spans="2:2" x14ac:dyDescent="0.15">
      <c r="B49" s="53"/>
    </row>
    <row r="50" spans="2:2" x14ac:dyDescent="0.15">
      <c r="B50" s="53"/>
    </row>
    <row r="51" spans="2:2" x14ac:dyDescent="0.15">
      <c r="B51" s="53"/>
    </row>
    <row r="52" spans="2:2" x14ac:dyDescent="0.15">
      <c r="B52" s="53"/>
    </row>
    <row r="53" spans="2:2" x14ac:dyDescent="0.15">
      <c r="B53" s="53"/>
    </row>
    <row r="54" spans="2:2" x14ac:dyDescent="0.15">
      <c r="B54" s="53"/>
    </row>
    <row r="55" spans="2:2" x14ac:dyDescent="0.15">
      <c r="B55" s="53"/>
    </row>
    <row r="56" spans="2:2" x14ac:dyDescent="0.15">
      <c r="B56" s="53"/>
    </row>
    <row r="57" spans="2:2" x14ac:dyDescent="0.15">
      <c r="B57" s="53"/>
    </row>
    <row r="58" spans="2:2" x14ac:dyDescent="0.15">
      <c r="B58" s="53"/>
    </row>
    <row r="59" spans="2:2" x14ac:dyDescent="0.15">
      <c r="B59" s="53"/>
    </row>
    <row r="60" spans="2:2" x14ac:dyDescent="0.15">
      <c r="B60" s="53"/>
    </row>
    <row r="61" spans="2:2" x14ac:dyDescent="0.15">
      <c r="B61" s="53"/>
    </row>
    <row r="62" spans="2:2" x14ac:dyDescent="0.15">
      <c r="B62" s="53"/>
    </row>
    <row r="63" spans="2:2" x14ac:dyDescent="0.15">
      <c r="B63" s="53"/>
    </row>
    <row r="64" spans="2:2" x14ac:dyDescent="0.15">
      <c r="B64" s="53"/>
    </row>
    <row r="65" spans="2:2" x14ac:dyDescent="0.15">
      <c r="B65" s="53"/>
    </row>
    <row r="66" spans="2:2" x14ac:dyDescent="0.15">
      <c r="B66" s="53"/>
    </row>
    <row r="67" spans="2:2" x14ac:dyDescent="0.15">
      <c r="B67" s="53"/>
    </row>
    <row r="68" spans="2:2" x14ac:dyDescent="0.15">
      <c r="B68" s="53"/>
    </row>
    <row r="69" spans="2:2" x14ac:dyDescent="0.15">
      <c r="B69" s="53"/>
    </row>
    <row r="70" spans="2:2" x14ac:dyDescent="0.15">
      <c r="B70" s="53"/>
    </row>
    <row r="71" spans="2:2" x14ac:dyDescent="0.15">
      <c r="B71" s="53"/>
    </row>
    <row r="72" spans="2:2" x14ac:dyDescent="0.15">
      <c r="B72" s="53"/>
    </row>
    <row r="73" spans="2:2" x14ac:dyDescent="0.15">
      <c r="B73" s="53"/>
    </row>
    <row r="74" spans="2:2" x14ac:dyDescent="0.15">
      <c r="B74" s="53"/>
    </row>
    <row r="75" spans="2:2" x14ac:dyDescent="0.15">
      <c r="B75" s="53"/>
    </row>
    <row r="76" spans="2:2" x14ac:dyDescent="0.15">
      <c r="B76" s="53"/>
    </row>
  </sheetData>
  <mergeCells count="41">
    <mergeCell ref="B22:I22"/>
    <mergeCell ref="K22:M23"/>
    <mergeCell ref="N22:T24"/>
    <mergeCell ref="B23:I23"/>
    <mergeCell ref="B24:I24"/>
    <mergeCell ref="K24:M24"/>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6:C16"/>
    <mergeCell ref="E16:I16"/>
    <mergeCell ref="B6:E6"/>
    <mergeCell ref="F6:I6"/>
    <mergeCell ref="B7:E7"/>
    <mergeCell ref="F7:I7"/>
    <mergeCell ref="B11:G11"/>
    <mergeCell ref="B12:C12"/>
    <mergeCell ref="B13:C13"/>
    <mergeCell ref="D13:I13"/>
    <mergeCell ref="B14:C14"/>
    <mergeCell ref="B15:C15"/>
    <mergeCell ref="E15:I15"/>
    <mergeCell ref="C5:I5"/>
    <mergeCell ref="A1:T1"/>
    <mergeCell ref="L2:Q2"/>
    <mergeCell ref="R2:S2"/>
    <mergeCell ref="E3:F3"/>
    <mergeCell ref="C4:I4"/>
  </mergeCells>
  <phoneticPr fontId="2"/>
  <dataValidations count="29">
    <dataValidation imeMode="hiragana" operator="lessThanOrEqual" allowBlank="1" showInputMessage="1" showErrorMessage="1" promptTitle="出身少年団" prompt="4種の時の出身少年団を入力して下さい。登録なしの場合は空欄でかまいません。全角５文字程度で入力して下さい。" sqref="U4" xr:uid="{00000000-0002-0000-1400-000000000000}"/>
    <dataValidation type="list" imeMode="off" allowBlank="1" showErrorMessage="1" promptTitle="県体順位！" sqref="B5" xr:uid="{00000000-0002-0000-1400-000001000000}">
      <formula1>"1,2,3"</formula1>
    </dataValidation>
    <dataValidation imeMode="hiragana" allowBlank="1" showInputMessage="1" showErrorMessage="1" promptTitle="出身少年団" prompt="4種の時の出身少年団を入力して下さい。登録なしの場合は空欄でかまいません。全角５文字程度で入力して下さい。" sqref="U5:U21" xr:uid="{00000000-0002-0000-1400-000002000000}"/>
    <dataValidation type="whole" imeMode="off" allowBlank="1" showInputMessage="1" showErrorMessage="1" promptTitle="番号の入力！" prompt="番号は1～99の範囲で入力できます。" sqref="K4:K21" xr:uid="{00000000-0002-0000-1400-000003000000}">
      <formula1>1</formula1>
      <formula2>99</formula2>
    </dataValidation>
    <dataValidation type="list" allowBlank="1" showInputMessage="1" showErrorMessage="1" sqref="D3" xr:uid="{00000000-0002-0000-1400-000004000000}">
      <formula1>"新潟,長野,富山,石川,福井"</formula1>
    </dataValidation>
    <dataValidation type="list" imeMode="off" allowBlank="1" showInputMessage="1" showErrorMessage="1" sqref="T4:T21" xr:uid="{00000000-0002-0000-1400-000005000000}">
      <formula1>"1"</formula1>
    </dataValidation>
    <dataValidation type="list" imeMode="on" allowBlank="1" showInputMessage="1" showErrorMessage="1" promptTitle="コーチの種別！" prompt="教員、承認コーチの別を選択し、入力して下さい。" sqref="D15" xr:uid="{00000000-0002-0000-1400-000006000000}">
      <formula1>"教員,承認"</formula1>
    </dataValidation>
    <dataValidation type="textLength" imeMode="off" allowBlank="1" showInputMessage="1" showErrorMessage="1" sqref="F8:F9 D10" xr:uid="{00000000-0002-0000-1400-000007000000}">
      <formula1>4</formula1>
      <formula2>4</formula2>
    </dataValidation>
    <dataValidation type="list" imeMode="off" allowBlank="1" showInputMessage="1" showErrorMessage="1" promptTitle="ポジションの入力！" prompt="ポジションをGK,DF,MF,FWから選択し、半角大文字で入力して下さい。" sqref="L4:L21" xr:uid="{00000000-0002-0000-1400-000008000000}">
      <formula1>"GK,DF,MF,FW"</formula1>
    </dataValidation>
    <dataValidation imeMode="off" allowBlank="1" showInputMessage="1" showErrorMessage="1" sqref="D8:D9 B8:B10 R4:S21" xr:uid="{00000000-0002-0000-1400-000009000000}"/>
    <dataValidation imeMode="on" allowBlank="1" showInputMessage="1" showErrorMessage="1" promptTitle="チーム紹介の入力！" prompt="プログラム作成用に必ず入力して下さい。" sqref="N22:T24" xr:uid="{00000000-0002-0000-1400-00000A000000}"/>
    <dataValidation imeMode="off" allowBlank="1" showInputMessage="1" showErrorMessage="1" promptTitle="身長・体重の入力！" prompt="身長・体重は、半角数字で、「整数」で入力して下さい。" sqref="P4:Q21" xr:uid="{00000000-0002-0000-1400-00000B000000}"/>
    <dataValidation imeMode="on" allowBlank="1" showInputMessage="1" showErrorMessage="1" promptTitle="マネージャー氏名の入力！" prompt="教員・生徒のどちらでも登録できます。_x000a__x000a_姓と名の間には、スペースを必ず「ひとつだけ」入れて下さい。" sqref="B16:C16" xr:uid="{00000000-0002-0000-1400-00000C000000}"/>
    <dataValidation imeMode="on" allowBlank="1" showInputMessage="1" showErrorMessage="1" promptTitle="コーチ氏名の入力！" prompt="学校の教員および、承認されたコーチのみ登録できます。_x000a__x000a_姓と名の間には、スペースを必ず「ひとつだけ」入れて下さい。" sqref="B15:C15" xr:uid="{00000000-0002-0000-1400-00000D000000}"/>
    <dataValidation imeMode="on" allowBlank="1" showInputMessage="1" showErrorMessage="1" promptTitle="引率責任者氏名の入力！" prompt="引率責任者のみで登録された教員は、ベンチ入りできません。ただし、監督・コーチ・マネージャーと兼ねることはできます。_x000a__x000a_姓と名の間には、スペースを必ず「ひとつだけ」入れて下さい。" sqref="B13:C13" xr:uid="{00000000-0002-0000-1400-00000E000000}"/>
    <dataValidation imeMode="on" allowBlank="1" showInputMessage="1" showErrorMessage="1" promptTitle="監督氏名の入力！" prompt="学校の教員および校長のみが監督になれます。_x000a__x000a_姓と名の間には、スペースを必ず「ひとつだけ」入れて下さい。" sqref="B14:C14" xr:uid="{00000000-0002-0000-1400-00000F000000}"/>
    <dataValidation imeMode="on" allowBlank="1" showInputMessage="1" showErrorMessage="1" promptTitle="校長氏名の入力！" prompt="姓と名の間には、スペースを必ず「ひとつだけ」入れて下さい。" sqref="B12:C12" xr:uid="{00000000-0002-0000-1400-000010000000}"/>
    <dataValidation imeMode="on" allowBlank="1" showInputMessage="1" showErrorMessage="1" promptTitle="ソックスの色！" prompt="ソックスの色（ＦＰ正、ＦＰ副、ＧＫ正、ＧＫ副）はすべて違う色でなければなりません。" sqref="B20:I20" xr:uid="{00000000-0002-0000-1400-000011000000}"/>
    <dataValidation imeMode="on" allowBlank="1" showInputMessage="1" showErrorMessage="1" promptTitle="ショーツの色！" prompt="ショーツの色（ＦＰ正、ＦＰ副、ＧＫ正、ＧＫ副）はすべて違う色でなければなりません。" sqref="B19:I19" xr:uid="{00000000-0002-0000-1400-000012000000}"/>
    <dataValidation imeMode="on" allowBlank="1" showInputMessage="1" showErrorMessage="1" promptTitle="シャツの色！" prompt="シャツに黒、紺色は使えません。_x000a__x000a_シャツの色（ＦＰ正、ＦＰ副、ＧＫ正、ＧＫ副）はすべて違う色でなければなりません。" sqref="B18:I18" xr:uid="{00000000-0002-0000-1400-000013000000}"/>
    <dataValidation imeMode="on" allowBlank="1" showInputMessage="1" showErrorMessage="1" promptTitle="学校名（漢字）を入力！" prompt="正式名称（～立から。ただし、私立中学校は「私立」とは入力しない。）を「全角」で入力して下さい。_x000a__x000a_（最後の「中学校」は入力の必要はありません。）" sqref="B7:E7" xr:uid="{00000000-0002-0000-1400-000014000000}"/>
    <dataValidation type="list" imeMode="on" allowBlank="1" showInputMessage="1" showErrorMessage="1" promptTitle="マネージャーの種別！" prompt="教員、生徒の別を選択し、入力して下さい。" sqref="D16" xr:uid="{00000000-0002-0000-1400-000015000000}">
      <formula1>"教員,生徒"</formula1>
    </dataValidation>
    <dataValidation imeMode="on" allowBlank="1" showInputMessage="1" showErrorMessage="1" promptTitle="学校名（ひらがな）を入力！" prompt="正式名称をから「全角ひらがな」で入力して下さい。_x000a__x000a_（最後の「ちゅうがっこう」は入力はしないで下さい。）" sqref="B6:E6" xr:uid="{00000000-0002-0000-1400-000016000000}"/>
    <dataValidation imeMode="on" allowBlank="1" showInputMessage="1" showErrorMessage="1" promptTitle="学校住所！" prompt="「石川県」は入力せず、郡市名から入力して下さい。" sqref="B11:G11" xr:uid="{00000000-0002-0000-1400-000017000000}"/>
    <dataValidation imeMode="on" allowBlank="1" showInputMessage="1" showErrorMessage="1" promptTitle="選手氏名（ふりがな）の入力！" prompt="ふりがなを「全角ひらがな」で入力して下さい。_x000a_姓と名の間には、スペースを必ず「ひとつだけ」入れて下さい。" sqref="N4:N21" xr:uid="{00000000-0002-0000-1400-000018000000}"/>
    <dataValidation type="list" imeMode="on" allowBlank="1" showInputMessage="1" showErrorMessage="1" promptTitle="予選大会！" prompt="予選が行われた地区（南加賀・北加賀・能登）を選択し、入力して下さい。" sqref="B3" xr:uid="{00000000-0002-0000-1400-000019000000}">
      <formula1>"北加賀,南加賀,能登"</formula1>
    </dataValidation>
    <dataValidation imeMode="on" allowBlank="1" showInputMessage="1" showErrorMessage="1" promptTitle="氏名の入力！" prompt="姓と名の間には、スペースを必ず「ひとつだけ」入れて下さい。" sqref="M4:M21" xr:uid="{00000000-0002-0000-1400-00001A000000}"/>
    <dataValidation type="list" imeMode="off" allowBlank="1" showInputMessage="1" showErrorMessage="1" promptTitle="学年の入力！" prompt="学年を半角数字で入力して下さい。" sqref="O4:O21" xr:uid="{00000000-0002-0000-1400-00001B000000}">
      <formula1>"1,2,3"</formula1>
    </dataValidation>
    <dataValidation type="list" imeMode="off" allowBlank="1" showInputMessage="1" showErrorMessage="1" promptTitle="県体予選順位！" prompt="３位決定戦をしていない場合は２チームが「３位」に、５～８位決定戦をしていない場合は４チームが「５位」になります。" sqref="B4" xr:uid="{00000000-0002-0000-1400-00001C000000}">
      <formula1>"1,2,3,4,5,6,7,8"</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70C0"/>
  </sheetPr>
  <dimension ref="A1:AA76"/>
  <sheetViews>
    <sheetView workbookViewId="0">
      <selection activeCell="Y26" sqref="Y26"/>
    </sheetView>
  </sheetViews>
  <sheetFormatPr defaultColWidth="12" defaultRowHeight="14.25" x14ac:dyDescent="0.15"/>
  <cols>
    <col min="1" max="1" width="10.875" style="33" customWidth="1"/>
    <col min="2" max="2" width="7.375" style="33" customWidth="1"/>
    <col min="3" max="3" width="1.875" style="33" customWidth="1"/>
    <col min="4" max="4" width="7.375" style="33" customWidth="1"/>
    <col min="5" max="5" width="1.875" style="33" customWidth="1"/>
    <col min="6" max="6" width="7.375" style="33" customWidth="1"/>
    <col min="7" max="7" width="1.875" style="33" customWidth="1"/>
    <col min="8" max="8" width="7.375" style="33" customWidth="1"/>
    <col min="9" max="10" width="2.375" style="33" customWidth="1"/>
    <col min="11" max="12" width="5" style="33" customWidth="1"/>
    <col min="13" max="13" width="11" style="33" customWidth="1"/>
    <col min="14" max="14" width="13.875" style="33" customWidth="1"/>
    <col min="15" max="19" width="5" style="33" customWidth="1"/>
    <col min="20" max="20" width="6.625" style="33" customWidth="1"/>
    <col min="21" max="21" width="10.125" style="33" customWidth="1"/>
    <col min="22" max="16384" width="12" style="33"/>
  </cols>
  <sheetData>
    <row r="1" spans="1:27" ht="36.75" customHeight="1" x14ac:dyDescent="0.2">
      <c r="A1" s="1386" t="s">
        <v>390</v>
      </c>
      <c r="B1" s="1387"/>
      <c r="C1" s="1387"/>
      <c r="D1" s="1387"/>
      <c r="E1" s="1387"/>
      <c r="F1" s="1387"/>
      <c r="G1" s="1387"/>
      <c r="H1" s="1387"/>
      <c r="I1" s="1387"/>
      <c r="J1" s="1387"/>
      <c r="K1" s="1387"/>
      <c r="L1" s="1387"/>
      <c r="M1" s="1387"/>
      <c r="N1" s="1387"/>
      <c r="O1" s="1387"/>
      <c r="P1" s="1387"/>
      <c r="Q1" s="1387"/>
      <c r="R1" s="1387"/>
      <c r="S1" s="1387"/>
      <c r="T1" s="1387"/>
      <c r="U1" s="32"/>
      <c r="V1" s="32"/>
    </row>
    <row r="2" spans="1:27" s="35" customFormat="1" ht="28.5" customHeight="1" thickBot="1" x14ac:dyDescent="0.2">
      <c r="A2" s="34" t="s">
        <v>391</v>
      </c>
      <c r="L2" s="1388" t="str">
        <f>IF(COUNTA($T$4:$T$21)=0,"（注意） キャプテンに「１」を入力してください。","")</f>
        <v/>
      </c>
      <c r="M2" s="1389"/>
      <c r="N2" s="1389"/>
      <c r="O2" s="1389"/>
      <c r="P2" s="1389"/>
      <c r="Q2" s="1389"/>
      <c r="R2" s="1390" t="s">
        <v>392</v>
      </c>
      <c r="S2" s="1391"/>
      <c r="U2" s="55" t="s">
        <v>393</v>
      </c>
    </row>
    <row r="3" spans="1:27" s="35" customFormat="1" ht="36.75" thickBot="1" x14ac:dyDescent="0.2">
      <c r="A3" s="36" t="s">
        <v>394</v>
      </c>
      <c r="B3" s="37" t="s">
        <v>508</v>
      </c>
      <c r="C3" s="38"/>
      <c r="D3" s="39" t="s">
        <v>509</v>
      </c>
      <c r="E3" s="1392" t="s">
        <v>396</v>
      </c>
      <c r="F3" s="1393"/>
      <c r="G3" s="38"/>
      <c r="H3" s="38"/>
      <c r="I3" s="38"/>
      <c r="J3" s="38"/>
      <c r="K3" s="40" t="s">
        <v>346</v>
      </c>
      <c r="L3" s="40" t="s">
        <v>347</v>
      </c>
      <c r="M3" s="40" t="s">
        <v>397</v>
      </c>
      <c r="N3" s="40" t="s">
        <v>398</v>
      </c>
      <c r="O3" s="40" t="s">
        <v>399</v>
      </c>
      <c r="P3" s="40" t="s">
        <v>400</v>
      </c>
      <c r="Q3" s="40" t="s">
        <v>401</v>
      </c>
      <c r="R3" s="40" t="s">
        <v>402</v>
      </c>
      <c r="S3" s="40" t="s">
        <v>84</v>
      </c>
      <c r="T3" s="41" t="s">
        <v>403</v>
      </c>
      <c r="U3" s="41" t="s">
        <v>404</v>
      </c>
    </row>
    <row r="4" spans="1:27" s="35" customFormat="1" ht="15" customHeight="1" thickBot="1" x14ac:dyDescent="0.2">
      <c r="A4" s="36" t="s">
        <v>405</v>
      </c>
      <c r="B4" s="37">
        <v>3</v>
      </c>
      <c r="C4" s="1384" t="s">
        <v>406</v>
      </c>
      <c r="D4" s="1385"/>
      <c r="E4" s="1385"/>
      <c r="F4" s="1385"/>
      <c r="G4" s="1385"/>
      <c r="H4" s="1385"/>
      <c r="I4" s="1385"/>
      <c r="J4" s="42"/>
      <c r="K4" s="43">
        <v>1</v>
      </c>
      <c r="L4" s="37" t="s">
        <v>407</v>
      </c>
      <c r="M4" s="44" t="s">
        <v>510</v>
      </c>
      <c r="N4" s="44" t="s">
        <v>511</v>
      </c>
      <c r="O4" s="37">
        <v>3</v>
      </c>
      <c r="P4" s="37">
        <v>160</v>
      </c>
      <c r="Q4" s="37">
        <v>55</v>
      </c>
      <c r="R4" s="37">
        <v>9</v>
      </c>
      <c r="S4" s="37">
        <v>26</v>
      </c>
      <c r="T4" s="37"/>
      <c r="U4" s="37" t="s">
        <v>512</v>
      </c>
      <c r="V4" s="55"/>
      <c r="W4" s="55"/>
      <c r="X4" s="55"/>
      <c r="Y4" s="55"/>
      <c r="Z4" s="55"/>
      <c r="AA4" s="55"/>
    </row>
    <row r="5" spans="1:27" s="35" customFormat="1" ht="15" thickBot="1" x14ac:dyDescent="0.2">
      <c r="A5" s="36" t="s">
        <v>411</v>
      </c>
      <c r="B5" s="37"/>
      <c r="C5" s="1384" t="s">
        <v>412</v>
      </c>
      <c r="D5" s="1385"/>
      <c r="E5" s="1385"/>
      <c r="F5" s="1385"/>
      <c r="G5" s="1385"/>
      <c r="H5" s="1385"/>
      <c r="I5" s="1385"/>
      <c r="J5" s="42"/>
      <c r="K5" s="43">
        <v>2</v>
      </c>
      <c r="L5" s="37" t="s">
        <v>413</v>
      </c>
      <c r="M5" s="44" t="s">
        <v>513</v>
      </c>
      <c r="N5" s="44" t="s">
        <v>514</v>
      </c>
      <c r="O5" s="37">
        <v>3</v>
      </c>
      <c r="P5" s="37">
        <v>165</v>
      </c>
      <c r="Q5" s="37">
        <v>60</v>
      </c>
      <c r="R5" s="37">
        <v>4</v>
      </c>
      <c r="S5" s="37">
        <v>18</v>
      </c>
      <c r="T5" s="37"/>
      <c r="U5" s="37" t="s">
        <v>512</v>
      </c>
    </row>
    <row r="6" spans="1:27" s="35" customFormat="1" ht="15" thickBot="1" x14ac:dyDescent="0.2">
      <c r="A6" s="36" t="s">
        <v>417</v>
      </c>
      <c r="B6" s="1394" t="s">
        <v>515</v>
      </c>
      <c r="C6" s="1396"/>
      <c r="D6" s="1396"/>
      <c r="E6" s="1395"/>
      <c r="F6" s="1392" t="s">
        <v>419</v>
      </c>
      <c r="G6" s="1393"/>
      <c r="H6" s="1393"/>
      <c r="I6" s="1393"/>
      <c r="J6" s="45"/>
      <c r="K6" s="43">
        <v>3</v>
      </c>
      <c r="L6" s="37" t="s">
        <v>413</v>
      </c>
      <c r="M6" s="44" t="s">
        <v>516</v>
      </c>
      <c r="N6" s="44" t="s">
        <v>517</v>
      </c>
      <c r="O6" s="37">
        <v>3</v>
      </c>
      <c r="P6" s="37">
        <v>155</v>
      </c>
      <c r="Q6" s="37">
        <v>50</v>
      </c>
      <c r="R6" s="37">
        <v>2</v>
      </c>
      <c r="S6" s="37">
        <v>8</v>
      </c>
      <c r="T6" s="37"/>
      <c r="U6" s="37" t="s">
        <v>512</v>
      </c>
    </row>
    <row r="7" spans="1:27" s="35" customFormat="1" ht="15" thickBot="1" x14ac:dyDescent="0.2">
      <c r="A7" s="36" t="s">
        <v>423</v>
      </c>
      <c r="B7" s="1394" t="s">
        <v>518</v>
      </c>
      <c r="C7" s="1396"/>
      <c r="D7" s="1396"/>
      <c r="E7" s="1395"/>
      <c r="F7" s="1392" t="s">
        <v>424</v>
      </c>
      <c r="G7" s="1393"/>
      <c r="H7" s="1393"/>
      <c r="I7" s="1393"/>
      <c r="J7" s="45"/>
      <c r="K7" s="43">
        <v>4</v>
      </c>
      <c r="L7" s="37" t="s">
        <v>413</v>
      </c>
      <c r="M7" s="44" t="s">
        <v>519</v>
      </c>
      <c r="N7" s="44" t="s">
        <v>520</v>
      </c>
      <c r="O7" s="37">
        <v>3</v>
      </c>
      <c r="P7" s="37">
        <v>164</v>
      </c>
      <c r="Q7" s="37">
        <v>55</v>
      </c>
      <c r="R7" s="37">
        <v>7</v>
      </c>
      <c r="S7" s="37">
        <v>11</v>
      </c>
      <c r="T7" s="37"/>
      <c r="U7" s="37" t="s">
        <v>512</v>
      </c>
    </row>
    <row r="8" spans="1:27" s="35" customFormat="1" ht="15" thickBot="1" x14ac:dyDescent="0.2">
      <c r="A8" s="36" t="s">
        <v>428</v>
      </c>
      <c r="B8" s="46" t="s">
        <v>521</v>
      </c>
      <c r="C8" s="47" t="s">
        <v>430</v>
      </c>
      <c r="D8" s="46" t="s">
        <v>522</v>
      </c>
      <c r="E8" s="47" t="s">
        <v>430</v>
      </c>
      <c r="F8" s="46" t="s">
        <v>523</v>
      </c>
      <c r="G8" s="38"/>
      <c r="H8" s="38"/>
      <c r="I8" s="38"/>
      <c r="J8" s="38"/>
      <c r="K8" s="43">
        <v>5</v>
      </c>
      <c r="L8" s="37" t="s">
        <v>413</v>
      </c>
      <c r="M8" s="44" t="s">
        <v>524</v>
      </c>
      <c r="N8" s="44" t="s">
        <v>525</v>
      </c>
      <c r="O8" s="37">
        <v>3</v>
      </c>
      <c r="P8" s="37">
        <v>160</v>
      </c>
      <c r="Q8" s="37">
        <v>50</v>
      </c>
      <c r="R8" s="37">
        <v>8</v>
      </c>
      <c r="S8" s="37">
        <v>1</v>
      </c>
      <c r="T8" s="37"/>
      <c r="U8" s="37" t="s">
        <v>512</v>
      </c>
    </row>
    <row r="9" spans="1:27" s="35" customFormat="1" ht="15" thickBot="1" x14ac:dyDescent="0.2">
      <c r="A9" s="36" t="s">
        <v>436</v>
      </c>
      <c r="B9" s="48" t="str">
        <f>IF(B8="","",B8)</f>
        <v xml:space="preserve">  076 </v>
      </c>
      <c r="C9" s="47" t="s">
        <v>430</v>
      </c>
      <c r="D9" s="46" t="s">
        <v>522</v>
      </c>
      <c r="E9" s="47" t="s">
        <v>430</v>
      </c>
      <c r="F9" s="46" t="s">
        <v>526</v>
      </c>
      <c r="G9" s="38"/>
      <c r="H9" s="38"/>
      <c r="I9" s="38"/>
      <c r="J9" s="38"/>
      <c r="K9" s="43">
        <v>6</v>
      </c>
      <c r="L9" s="37" t="s">
        <v>444</v>
      </c>
      <c r="M9" s="44" t="s">
        <v>527</v>
      </c>
      <c r="N9" s="44" t="s">
        <v>528</v>
      </c>
      <c r="O9" s="37">
        <v>3</v>
      </c>
      <c r="P9" s="37">
        <v>158</v>
      </c>
      <c r="Q9" s="37">
        <v>50</v>
      </c>
      <c r="R9" s="37">
        <v>12</v>
      </c>
      <c r="S9" s="37">
        <v>23</v>
      </c>
      <c r="T9" s="37"/>
      <c r="U9" s="37" t="s">
        <v>512</v>
      </c>
    </row>
    <row r="10" spans="1:27" s="35" customFormat="1" ht="15" thickBot="1" x14ac:dyDescent="0.2">
      <c r="A10" s="36" t="s">
        <v>441</v>
      </c>
      <c r="B10" s="46" t="s">
        <v>442</v>
      </c>
      <c r="C10" s="47" t="s">
        <v>430</v>
      </c>
      <c r="D10" s="46" t="s">
        <v>529</v>
      </c>
      <c r="E10" s="38"/>
      <c r="F10" s="38"/>
      <c r="G10" s="38"/>
      <c r="H10" s="38"/>
      <c r="I10" s="38"/>
      <c r="J10" s="38"/>
      <c r="K10" s="43">
        <v>7</v>
      </c>
      <c r="L10" s="37" t="s">
        <v>444</v>
      </c>
      <c r="M10" s="44" t="s">
        <v>530</v>
      </c>
      <c r="N10" s="44" t="s">
        <v>531</v>
      </c>
      <c r="O10" s="37">
        <v>3</v>
      </c>
      <c r="P10" s="37">
        <v>171</v>
      </c>
      <c r="Q10" s="37">
        <v>58</v>
      </c>
      <c r="R10" s="37">
        <v>6</v>
      </c>
      <c r="S10" s="37">
        <v>19</v>
      </c>
      <c r="T10" s="37"/>
      <c r="U10" s="37"/>
    </row>
    <row r="11" spans="1:27" s="35" customFormat="1" ht="15" thickBot="1" x14ac:dyDescent="0.2">
      <c r="A11" s="36" t="s">
        <v>448</v>
      </c>
      <c r="B11" s="1421" t="s">
        <v>532</v>
      </c>
      <c r="C11" s="1396"/>
      <c r="D11" s="1396"/>
      <c r="E11" s="1396"/>
      <c r="F11" s="1396"/>
      <c r="G11" s="1395"/>
      <c r="H11" s="38"/>
      <c r="I11" s="38"/>
      <c r="J11" s="38"/>
      <c r="K11" s="43">
        <v>8</v>
      </c>
      <c r="L11" s="37" t="s">
        <v>444</v>
      </c>
      <c r="M11" s="44" t="s">
        <v>533</v>
      </c>
      <c r="N11" s="44" t="s">
        <v>534</v>
      </c>
      <c r="O11" s="37">
        <v>3</v>
      </c>
      <c r="P11" s="37">
        <v>154</v>
      </c>
      <c r="Q11" s="37">
        <v>52</v>
      </c>
      <c r="R11" s="37">
        <v>11</v>
      </c>
      <c r="S11" s="37">
        <v>19</v>
      </c>
      <c r="T11" s="37"/>
      <c r="U11" s="37"/>
    </row>
    <row r="12" spans="1:27" s="35" customFormat="1" ht="15" thickBot="1" x14ac:dyDescent="0.2">
      <c r="A12" s="36" t="s">
        <v>453</v>
      </c>
      <c r="B12" s="1394" t="s">
        <v>535</v>
      </c>
      <c r="C12" s="1395"/>
      <c r="D12" s="38"/>
      <c r="E12" s="38"/>
      <c r="F12" s="38"/>
      <c r="G12" s="38"/>
      <c r="H12" s="38"/>
      <c r="I12" s="38"/>
      <c r="J12" s="38"/>
      <c r="K12" s="43">
        <v>9</v>
      </c>
      <c r="L12" s="37" t="s">
        <v>455</v>
      </c>
      <c r="M12" s="44" t="s">
        <v>536</v>
      </c>
      <c r="N12" s="44" t="s">
        <v>537</v>
      </c>
      <c r="O12" s="37">
        <v>3</v>
      </c>
      <c r="P12" s="37">
        <v>162</v>
      </c>
      <c r="Q12" s="37">
        <v>54</v>
      </c>
      <c r="R12" s="37">
        <v>5</v>
      </c>
      <c r="S12" s="37">
        <v>19</v>
      </c>
      <c r="T12" s="37"/>
      <c r="U12" s="37" t="s">
        <v>512</v>
      </c>
    </row>
    <row r="13" spans="1:27" s="35" customFormat="1" ht="15" customHeight="1" thickBot="1" x14ac:dyDescent="0.2">
      <c r="A13" s="36" t="s">
        <v>459</v>
      </c>
      <c r="B13" s="1394" t="s">
        <v>538</v>
      </c>
      <c r="C13" s="1395"/>
      <c r="D13" s="1398" t="str">
        <f>IF(OR(B13=B14,B13=B15,B13=B16),"","（注意）ベンチ入りできません。")</f>
        <v/>
      </c>
      <c r="E13" s="1399"/>
      <c r="F13" s="1399"/>
      <c r="G13" s="1399"/>
      <c r="H13" s="1399"/>
      <c r="I13" s="1399"/>
      <c r="J13" s="38"/>
      <c r="K13" s="43">
        <v>10</v>
      </c>
      <c r="L13" s="37" t="s">
        <v>455</v>
      </c>
      <c r="M13" s="44" t="s">
        <v>539</v>
      </c>
      <c r="N13" s="44" t="s">
        <v>540</v>
      </c>
      <c r="O13" s="37">
        <v>3</v>
      </c>
      <c r="P13" s="37">
        <v>162</v>
      </c>
      <c r="Q13" s="37">
        <v>55</v>
      </c>
      <c r="R13" s="37">
        <v>7</v>
      </c>
      <c r="S13" s="37">
        <v>13</v>
      </c>
      <c r="T13" s="37">
        <v>1</v>
      </c>
      <c r="U13" s="37"/>
    </row>
    <row r="14" spans="1:27" s="35" customFormat="1" ht="15" thickBot="1" x14ac:dyDescent="0.2">
      <c r="A14" s="36" t="s">
        <v>463</v>
      </c>
      <c r="B14" s="1394" t="s">
        <v>538</v>
      </c>
      <c r="C14" s="1395"/>
      <c r="D14" s="49"/>
      <c r="E14" s="50"/>
      <c r="F14" s="50"/>
      <c r="G14" s="50"/>
      <c r="H14" s="50"/>
      <c r="I14" s="38"/>
      <c r="J14" s="38"/>
      <c r="K14" s="43">
        <v>11</v>
      </c>
      <c r="L14" s="37" t="s">
        <v>444</v>
      </c>
      <c r="M14" s="44" t="s">
        <v>541</v>
      </c>
      <c r="N14" s="44" t="s">
        <v>542</v>
      </c>
      <c r="O14" s="37">
        <v>3</v>
      </c>
      <c r="P14" s="37">
        <v>161</v>
      </c>
      <c r="Q14" s="37">
        <v>50</v>
      </c>
      <c r="R14" s="37">
        <v>3</v>
      </c>
      <c r="S14" s="37">
        <v>8</v>
      </c>
      <c r="T14" s="37"/>
      <c r="U14" s="37" t="s">
        <v>512</v>
      </c>
    </row>
    <row r="15" spans="1:27" s="35" customFormat="1" ht="15" thickBot="1" x14ac:dyDescent="0.2">
      <c r="A15" s="36" t="s">
        <v>467</v>
      </c>
      <c r="B15" s="1394" t="s">
        <v>543</v>
      </c>
      <c r="C15" s="1395"/>
      <c r="D15" s="37" t="s">
        <v>476</v>
      </c>
      <c r="E15" s="1392" t="s">
        <v>470</v>
      </c>
      <c r="F15" s="1393"/>
      <c r="G15" s="1393"/>
      <c r="H15" s="1393"/>
      <c r="I15" s="1393"/>
      <c r="J15" s="45"/>
      <c r="K15" s="43">
        <v>12</v>
      </c>
      <c r="L15" s="37" t="s">
        <v>444</v>
      </c>
      <c r="M15" s="44" t="s">
        <v>544</v>
      </c>
      <c r="N15" s="44" t="s">
        <v>545</v>
      </c>
      <c r="O15" s="37">
        <v>3</v>
      </c>
      <c r="P15" s="37">
        <v>160</v>
      </c>
      <c r="Q15" s="37">
        <v>50</v>
      </c>
      <c r="R15" s="37">
        <v>2</v>
      </c>
      <c r="S15" s="37">
        <v>15</v>
      </c>
      <c r="T15" s="37"/>
      <c r="U15" s="37" t="s">
        <v>512</v>
      </c>
    </row>
    <row r="16" spans="1:27" s="35" customFormat="1" ht="15" thickBot="1" x14ac:dyDescent="0.2">
      <c r="A16" s="36" t="s">
        <v>474</v>
      </c>
      <c r="B16" s="1394" t="s">
        <v>546</v>
      </c>
      <c r="C16" s="1395"/>
      <c r="D16" s="37" t="s">
        <v>547</v>
      </c>
      <c r="E16" s="1392" t="s">
        <v>477</v>
      </c>
      <c r="F16" s="1393"/>
      <c r="G16" s="1393"/>
      <c r="H16" s="1393"/>
      <c r="I16" s="1393"/>
      <c r="J16" s="45"/>
      <c r="K16" s="43">
        <v>13</v>
      </c>
      <c r="L16" s="37" t="s">
        <v>548</v>
      </c>
      <c r="M16" s="44" t="s">
        <v>549</v>
      </c>
      <c r="N16" s="44" t="s">
        <v>550</v>
      </c>
      <c r="O16" s="37">
        <v>3</v>
      </c>
      <c r="P16" s="37">
        <v>159</v>
      </c>
      <c r="Q16" s="37">
        <v>50</v>
      </c>
      <c r="R16" s="37">
        <v>5</v>
      </c>
      <c r="S16" s="37">
        <v>15</v>
      </c>
      <c r="T16" s="37"/>
      <c r="U16" s="37" t="s">
        <v>512</v>
      </c>
    </row>
    <row r="17" spans="1:21" s="35" customFormat="1" ht="15" thickBot="1" x14ac:dyDescent="0.2">
      <c r="A17" s="38"/>
      <c r="B17" s="1400" t="s">
        <v>551</v>
      </c>
      <c r="C17" s="1396"/>
      <c r="D17" s="1401" t="s">
        <v>552</v>
      </c>
      <c r="E17" s="1402"/>
      <c r="F17" s="1401" t="s">
        <v>553</v>
      </c>
      <c r="G17" s="1402"/>
      <c r="H17" s="1401" t="s">
        <v>554</v>
      </c>
      <c r="I17" s="1402"/>
      <c r="J17" s="45"/>
      <c r="K17" s="43">
        <v>14</v>
      </c>
      <c r="L17" s="37" t="s">
        <v>548</v>
      </c>
      <c r="M17" s="44" t="s">
        <v>555</v>
      </c>
      <c r="N17" s="44" t="s">
        <v>556</v>
      </c>
      <c r="O17" s="37">
        <v>3</v>
      </c>
      <c r="P17" s="37">
        <v>172</v>
      </c>
      <c r="Q17" s="37">
        <v>59</v>
      </c>
      <c r="R17" s="37">
        <v>8</v>
      </c>
      <c r="S17" s="37">
        <v>21</v>
      </c>
      <c r="T17" s="37"/>
      <c r="U17" s="37"/>
    </row>
    <row r="18" spans="1:21" s="35" customFormat="1" ht="15" thickBot="1" x14ac:dyDescent="0.2">
      <c r="A18" s="36" t="s">
        <v>487</v>
      </c>
      <c r="B18" s="1394" t="s">
        <v>489</v>
      </c>
      <c r="C18" s="1395"/>
      <c r="D18" s="1394" t="s">
        <v>488</v>
      </c>
      <c r="E18" s="1395"/>
      <c r="F18" s="1394" t="s">
        <v>557</v>
      </c>
      <c r="G18" s="1395"/>
      <c r="H18" s="1394" t="s">
        <v>558</v>
      </c>
      <c r="I18" s="1395"/>
      <c r="J18" s="51"/>
      <c r="K18" s="43">
        <v>15</v>
      </c>
      <c r="L18" s="37" t="s">
        <v>559</v>
      </c>
      <c r="M18" s="44" t="s">
        <v>560</v>
      </c>
      <c r="N18" s="44" t="s">
        <v>561</v>
      </c>
      <c r="O18" s="37">
        <v>3</v>
      </c>
      <c r="P18" s="37">
        <v>170</v>
      </c>
      <c r="Q18" s="37">
        <v>58</v>
      </c>
      <c r="R18" s="37">
        <v>4</v>
      </c>
      <c r="S18" s="37">
        <v>2</v>
      </c>
      <c r="T18" s="37"/>
      <c r="U18" s="37"/>
    </row>
    <row r="19" spans="1:21" s="35" customFormat="1" ht="15" thickBot="1" x14ac:dyDescent="0.2">
      <c r="A19" s="36" t="s">
        <v>495</v>
      </c>
      <c r="B19" s="1394" t="s">
        <v>489</v>
      </c>
      <c r="C19" s="1395"/>
      <c r="D19" s="1394" t="s">
        <v>562</v>
      </c>
      <c r="E19" s="1395"/>
      <c r="F19" s="1394" t="s">
        <v>557</v>
      </c>
      <c r="G19" s="1395"/>
      <c r="H19" s="1394" t="s">
        <v>558</v>
      </c>
      <c r="I19" s="1395"/>
      <c r="J19" s="51"/>
      <c r="K19" s="43">
        <v>16</v>
      </c>
      <c r="L19" s="37" t="s">
        <v>444</v>
      </c>
      <c r="M19" s="44" t="s">
        <v>563</v>
      </c>
      <c r="N19" s="44" t="s">
        <v>564</v>
      </c>
      <c r="O19" s="37">
        <v>3</v>
      </c>
      <c r="P19" s="37">
        <v>175</v>
      </c>
      <c r="Q19" s="37">
        <v>60</v>
      </c>
      <c r="R19" s="37">
        <v>5</v>
      </c>
      <c r="S19" s="37">
        <v>30</v>
      </c>
      <c r="T19" s="37"/>
      <c r="U19" s="37" t="s">
        <v>512</v>
      </c>
    </row>
    <row r="20" spans="1:21" s="35" customFormat="1" ht="15" thickBot="1" x14ac:dyDescent="0.2">
      <c r="A20" s="36" t="s">
        <v>500</v>
      </c>
      <c r="B20" s="1394" t="s">
        <v>489</v>
      </c>
      <c r="C20" s="1395"/>
      <c r="D20" s="1394" t="s">
        <v>562</v>
      </c>
      <c r="E20" s="1395"/>
      <c r="F20" s="1394" t="s">
        <v>557</v>
      </c>
      <c r="G20" s="1395"/>
      <c r="H20" s="1394" t="s">
        <v>558</v>
      </c>
      <c r="I20" s="1395"/>
      <c r="J20" s="51"/>
      <c r="K20" s="43">
        <v>17</v>
      </c>
      <c r="L20" s="37" t="s">
        <v>444</v>
      </c>
      <c r="M20" s="44" t="s">
        <v>565</v>
      </c>
      <c r="N20" s="44" t="s">
        <v>566</v>
      </c>
      <c r="O20" s="37">
        <v>3</v>
      </c>
      <c r="P20" s="37">
        <v>164</v>
      </c>
      <c r="Q20" s="37">
        <v>54</v>
      </c>
      <c r="R20" s="37">
        <v>4</v>
      </c>
      <c r="S20" s="37">
        <v>8</v>
      </c>
      <c r="T20" s="37"/>
      <c r="U20" s="37"/>
    </row>
    <row r="21" spans="1:21" s="35" customFormat="1" ht="15" thickBot="1" x14ac:dyDescent="0.2">
      <c r="B21" s="52" t="str">
        <f>IF(AND(COUNTIF($B$18:$I$18,"黒")=0,COUNTIF($B$18:$I$18,"黒色")=0,COUNTIF($B$18:$I$18,"紺")=0,COUNTIF($B$18:$I$18,"紺色")=0,COUNTIF($B$18:$I$18,"ネイビー")=0),"","（注意） シャツに黒・紺色は使えません。")</f>
        <v/>
      </c>
      <c r="K21" s="43">
        <v>18</v>
      </c>
      <c r="L21" s="37" t="s">
        <v>567</v>
      </c>
      <c r="M21" s="44" t="s">
        <v>568</v>
      </c>
      <c r="N21" s="44" t="s">
        <v>569</v>
      </c>
      <c r="O21" s="37">
        <v>3</v>
      </c>
      <c r="P21" s="37">
        <v>174</v>
      </c>
      <c r="Q21" s="37">
        <v>62</v>
      </c>
      <c r="R21" s="37">
        <v>10</v>
      </c>
      <c r="S21" s="37">
        <v>3</v>
      </c>
      <c r="T21" s="37"/>
      <c r="U21" s="37"/>
    </row>
    <row r="22" spans="1:21" s="35" customFormat="1" ht="12" x14ac:dyDescent="0.15">
      <c r="B22" s="1403" t="str">
        <f>IF(AND(B18&lt;&gt;D18,B18&lt;&gt;F18,B18&lt;&gt;H18,D18&lt;&gt;F18,D18&lt;&gt;H18,F18&lt;&gt;H18)=TRUE,"","（注意） "&amp;A18&amp;"が重複しています。")</f>
        <v/>
      </c>
      <c r="C22" s="1404"/>
      <c r="D22" s="1404"/>
      <c r="E22" s="1404"/>
      <c r="F22" s="1404"/>
      <c r="G22" s="1404"/>
      <c r="H22" s="1404"/>
      <c r="I22" s="1404"/>
      <c r="J22" s="54"/>
      <c r="K22" s="1405" t="s">
        <v>506</v>
      </c>
      <c r="L22" s="1406"/>
      <c r="M22" s="1407"/>
      <c r="N22" s="1408" t="s">
        <v>570</v>
      </c>
      <c r="O22" s="1409"/>
      <c r="P22" s="1409"/>
      <c r="Q22" s="1409"/>
      <c r="R22" s="1409"/>
      <c r="S22" s="1409"/>
      <c r="T22" s="1410"/>
    </row>
    <row r="23" spans="1:21" s="35" customFormat="1" ht="12" x14ac:dyDescent="0.15">
      <c r="B23" s="1403" t="str">
        <f>IF(AND(B19&lt;&gt;D19,B19&lt;&gt;F19,B19&lt;&gt;H19,D19&lt;&gt;F19,D19&lt;&gt;H19,F19&lt;&gt;H19)=TRUE,"","（注意） "&amp;A19&amp;"が重複しています。")</f>
        <v/>
      </c>
      <c r="C23" s="1404"/>
      <c r="D23" s="1404"/>
      <c r="E23" s="1404"/>
      <c r="F23" s="1404"/>
      <c r="G23" s="1404"/>
      <c r="H23" s="1404"/>
      <c r="I23" s="1404"/>
      <c r="J23" s="54"/>
      <c r="K23" s="1406"/>
      <c r="L23" s="1406"/>
      <c r="M23" s="1407"/>
      <c r="N23" s="1411"/>
      <c r="O23" s="1412"/>
      <c r="P23" s="1412"/>
      <c r="Q23" s="1412"/>
      <c r="R23" s="1412"/>
      <c r="S23" s="1412"/>
      <c r="T23" s="1413"/>
    </row>
    <row r="24" spans="1:21" s="35" customFormat="1" ht="52.5" customHeight="1" thickBot="1" x14ac:dyDescent="0.2">
      <c r="B24" s="1417" t="str">
        <f>IF(AND(B20&lt;&gt;D20,B20&lt;&gt;F20,B20&lt;&gt;H20,D20&lt;&gt;F20,D20&lt;&gt;H20,F20&lt;&gt;H20)=TRUE,"","（注意） "&amp;A20&amp;"が重複しています。")</f>
        <v/>
      </c>
      <c r="C24" s="1418"/>
      <c r="D24" s="1418"/>
      <c r="E24" s="1418"/>
      <c r="F24" s="1418"/>
      <c r="G24" s="1418"/>
      <c r="H24" s="1418"/>
      <c r="I24" s="1418"/>
      <c r="J24" s="54"/>
      <c r="K24" s="1419" t="str">
        <f>IF(N22="","必ず、記入して下さい。","")</f>
        <v/>
      </c>
      <c r="L24" s="1419"/>
      <c r="M24" s="1420"/>
      <c r="N24" s="1414"/>
      <c r="O24" s="1415"/>
      <c r="P24" s="1415"/>
      <c r="Q24" s="1415"/>
      <c r="R24" s="1415"/>
      <c r="S24" s="1415"/>
      <c r="T24" s="1416"/>
    </row>
    <row r="25" spans="1:21" s="35" customFormat="1" ht="14.25" customHeight="1" x14ac:dyDescent="0.15"/>
    <row r="26" spans="1:21" s="35" customFormat="1" ht="14.25" customHeight="1" x14ac:dyDescent="0.15">
      <c r="K26" s="33"/>
      <c r="L26" s="33"/>
      <c r="M26" s="33"/>
      <c r="N26" s="33"/>
      <c r="O26" s="33"/>
      <c r="P26" s="33"/>
      <c r="Q26" s="33"/>
      <c r="R26" s="33"/>
    </row>
    <row r="27" spans="1:21" s="35" customFormat="1" ht="14.25" customHeight="1" x14ac:dyDescent="0.15">
      <c r="K27" s="33"/>
      <c r="L27" s="33"/>
      <c r="M27" s="33"/>
      <c r="N27" s="33"/>
      <c r="O27" s="33"/>
      <c r="P27" s="33"/>
      <c r="Q27" s="33"/>
      <c r="R27" s="33"/>
    </row>
    <row r="28" spans="1:21" s="35" customFormat="1" ht="14.25" customHeight="1" x14ac:dyDescent="0.15">
      <c r="K28" s="33"/>
      <c r="L28" s="33"/>
      <c r="M28" s="33"/>
      <c r="N28" s="33"/>
      <c r="O28" s="33"/>
      <c r="P28" s="33"/>
      <c r="Q28" s="33"/>
      <c r="R28" s="33"/>
    </row>
    <row r="29" spans="1:21" ht="14.25" customHeight="1" x14ac:dyDescent="0.15"/>
    <row r="30" spans="1:21" x14ac:dyDescent="0.15">
      <c r="B30" s="53"/>
    </row>
    <row r="31" spans="1:21" x14ac:dyDescent="0.15">
      <c r="B31" s="53"/>
    </row>
    <row r="32" spans="1:21" x14ac:dyDescent="0.15">
      <c r="B32" s="53"/>
    </row>
    <row r="33" spans="2:2" x14ac:dyDescent="0.15">
      <c r="B33" s="53"/>
    </row>
    <row r="34" spans="2:2" x14ac:dyDescent="0.15">
      <c r="B34" s="53"/>
    </row>
    <row r="35" spans="2:2" x14ac:dyDescent="0.15">
      <c r="B35" s="53"/>
    </row>
    <row r="36" spans="2:2" x14ac:dyDescent="0.15">
      <c r="B36" s="53"/>
    </row>
    <row r="37" spans="2:2" x14ac:dyDescent="0.15">
      <c r="B37" s="53"/>
    </row>
    <row r="38" spans="2:2" x14ac:dyDescent="0.15">
      <c r="B38" s="53"/>
    </row>
    <row r="39" spans="2:2" x14ac:dyDescent="0.15">
      <c r="B39" s="53"/>
    </row>
    <row r="40" spans="2:2" x14ac:dyDescent="0.15">
      <c r="B40" s="53"/>
    </row>
    <row r="41" spans="2:2" x14ac:dyDescent="0.15">
      <c r="B41" s="53"/>
    </row>
    <row r="42" spans="2:2" x14ac:dyDescent="0.15">
      <c r="B42" s="53"/>
    </row>
    <row r="43" spans="2:2" x14ac:dyDescent="0.15">
      <c r="B43" s="53"/>
    </row>
    <row r="44" spans="2:2" x14ac:dyDescent="0.15">
      <c r="B44" s="53"/>
    </row>
    <row r="45" spans="2:2" x14ac:dyDescent="0.15">
      <c r="B45" s="53"/>
    </row>
    <row r="46" spans="2:2" x14ac:dyDescent="0.15">
      <c r="B46" s="53"/>
    </row>
    <row r="47" spans="2:2" x14ac:dyDescent="0.15">
      <c r="B47" s="53"/>
    </row>
    <row r="48" spans="2:2" x14ac:dyDescent="0.15">
      <c r="B48" s="53"/>
    </row>
    <row r="49" spans="2:2" x14ac:dyDescent="0.15">
      <c r="B49" s="53"/>
    </row>
    <row r="50" spans="2:2" x14ac:dyDescent="0.15">
      <c r="B50" s="53"/>
    </row>
    <row r="51" spans="2:2" x14ac:dyDescent="0.15">
      <c r="B51" s="53"/>
    </row>
    <row r="52" spans="2:2" x14ac:dyDescent="0.15">
      <c r="B52" s="53"/>
    </row>
    <row r="53" spans="2:2" x14ac:dyDescent="0.15">
      <c r="B53" s="53"/>
    </row>
    <row r="54" spans="2:2" x14ac:dyDescent="0.15">
      <c r="B54" s="53"/>
    </row>
    <row r="55" spans="2:2" x14ac:dyDescent="0.15">
      <c r="B55" s="53"/>
    </row>
    <row r="56" spans="2:2" x14ac:dyDescent="0.15">
      <c r="B56" s="53"/>
    </row>
    <row r="57" spans="2:2" x14ac:dyDescent="0.15">
      <c r="B57" s="53"/>
    </row>
    <row r="58" spans="2:2" x14ac:dyDescent="0.15">
      <c r="B58" s="53"/>
    </row>
    <row r="59" spans="2:2" x14ac:dyDescent="0.15">
      <c r="B59" s="53"/>
    </row>
    <row r="60" spans="2:2" x14ac:dyDescent="0.15">
      <c r="B60" s="53"/>
    </row>
    <row r="61" spans="2:2" x14ac:dyDescent="0.15">
      <c r="B61" s="53"/>
    </row>
    <row r="62" spans="2:2" x14ac:dyDescent="0.15">
      <c r="B62" s="53"/>
    </row>
    <row r="63" spans="2:2" x14ac:dyDescent="0.15">
      <c r="B63" s="53"/>
    </row>
    <row r="64" spans="2:2" x14ac:dyDescent="0.15">
      <c r="B64" s="53"/>
    </row>
    <row r="65" spans="2:2" x14ac:dyDescent="0.15">
      <c r="B65" s="53"/>
    </row>
    <row r="66" spans="2:2" x14ac:dyDescent="0.15">
      <c r="B66" s="53"/>
    </row>
    <row r="67" spans="2:2" x14ac:dyDescent="0.15">
      <c r="B67" s="53"/>
    </row>
    <row r="68" spans="2:2" x14ac:dyDescent="0.15">
      <c r="B68" s="53"/>
    </row>
    <row r="69" spans="2:2" x14ac:dyDescent="0.15">
      <c r="B69" s="53"/>
    </row>
    <row r="70" spans="2:2" x14ac:dyDescent="0.15">
      <c r="B70" s="53"/>
    </row>
    <row r="71" spans="2:2" x14ac:dyDescent="0.15">
      <c r="B71" s="53"/>
    </row>
    <row r="72" spans="2:2" x14ac:dyDescent="0.15">
      <c r="B72" s="53"/>
    </row>
    <row r="73" spans="2:2" x14ac:dyDescent="0.15">
      <c r="B73" s="53"/>
    </row>
    <row r="74" spans="2:2" x14ac:dyDescent="0.15">
      <c r="B74" s="53"/>
    </row>
    <row r="75" spans="2:2" x14ac:dyDescent="0.15">
      <c r="B75" s="53"/>
    </row>
    <row r="76" spans="2:2" x14ac:dyDescent="0.15">
      <c r="B76" s="53"/>
    </row>
  </sheetData>
  <mergeCells count="41">
    <mergeCell ref="B22:I22"/>
    <mergeCell ref="K22:M23"/>
    <mergeCell ref="N22:T24"/>
    <mergeCell ref="B23:I23"/>
    <mergeCell ref="B24:I24"/>
    <mergeCell ref="K24:M24"/>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6:C16"/>
    <mergeCell ref="E16:I16"/>
    <mergeCell ref="B6:E6"/>
    <mergeCell ref="F6:I6"/>
    <mergeCell ref="B7:E7"/>
    <mergeCell ref="F7:I7"/>
    <mergeCell ref="B11:G11"/>
    <mergeCell ref="B12:C12"/>
    <mergeCell ref="B13:C13"/>
    <mergeCell ref="D13:I13"/>
    <mergeCell ref="B14:C14"/>
    <mergeCell ref="B15:C15"/>
    <mergeCell ref="E15:I15"/>
    <mergeCell ref="C5:I5"/>
    <mergeCell ref="A1:T1"/>
    <mergeCell ref="L2:Q2"/>
    <mergeCell ref="R2:S2"/>
    <mergeCell ref="E3:F3"/>
    <mergeCell ref="C4:I4"/>
  </mergeCells>
  <phoneticPr fontId="2"/>
  <dataValidations count="26">
    <dataValidation imeMode="on" allowBlank="1" showInputMessage="1" showErrorMessage="1" promptTitle="学校名を入力！" prompt="正式名称で入力して下さい。（最後の「中学校」は入力の必要はありません。）" sqref="B7:E7" xr:uid="{00000000-0002-0000-1500-000000000000}"/>
    <dataValidation imeMode="on" allowBlank="1" showInputMessage="1" showErrorMessage="1" promptTitle="学校名（ひらがな）を入力！" prompt="正式名称をから「全角ひらがな」で入力して下さい。（最後の「ちゅうがっこう」は入力の必要はありません。）" sqref="B6:E6" xr:uid="{00000000-0002-0000-1500-000001000000}"/>
    <dataValidation type="list" imeMode="off" allowBlank="1" showErrorMessage="1" promptTitle="県体順位！" sqref="B5" xr:uid="{00000000-0002-0000-1500-000002000000}">
      <formula1>"1,2,3"</formula1>
    </dataValidation>
    <dataValidation imeMode="on" allowBlank="1" showInputMessage="1" showErrorMessage="1" promptTitle="学校住所" prompt="「石川県」を省き、郡市名から入力して下さい。" sqref="B11:G11" xr:uid="{00000000-0002-0000-1500-000003000000}"/>
    <dataValidation imeMode="hiragana" allowBlank="1" showInputMessage="1" showErrorMessage="1" promptTitle="出身少年団" prompt="4種の時の出身少年団を入力して下さい。登録なしの場合は空欄でかまいません。全角５文字程度で入力して下さい。" sqref="U4:U21" xr:uid="{00000000-0002-0000-1500-000004000000}"/>
    <dataValidation type="whole" imeMode="off" allowBlank="1" showInputMessage="1" showErrorMessage="1" promptTitle="番号の入力！" prompt="番号は1～99の範囲で入力できます。" sqref="K4:K21" xr:uid="{00000000-0002-0000-1500-000005000000}">
      <formula1>1</formula1>
      <formula2>99</formula2>
    </dataValidation>
    <dataValidation type="list" allowBlank="1" showInputMessage="1" showErrorMessage="1" sqref="D3" xr:uid="{00000000-0002-0000-1500-000006000000}">
      <formula1>"新潟,長野,富山,石川,福井"</formula1>
    </dataValidation>
    <dataValidation imeMode="on" allowBlank="1" showInputMessage="1" showErrorMessage="1" promptTitle="選手氏名（ふりがな）の入力" prompt="ふりがなを「全角ひらがな」で入力して下さい。_x000a_姓と名の間には、スペースを必ず「ひとつだけ」入れて下さい。" sqref="N4:N7 N9 N11:N13" xr:uid="{00000000-0002-0000-1500-000007000000}"/>
    <dataValidation type="list" imeMode="on" allowBlank="1" showInputMessage="1" showErrorMessage="1" promptTitle="予選大会！" prompt="予選が行われた地区を選択し、入力して下さい。" sqref="B3" xr:uid="{00000000-0002-0000-1500-000008000000}">
      <formula1>"北加賀,南加賀,能登,　　　　　　　　　"</formula1>
    </dataValidation>
    <dataValidation imeMode="on" allowBlank="1" showInputMessage="1" showErrorMessage="1" promptTitle="シャツの色！" prompt="ＦＰ正、ＦＰ副、ＧＫ正、ＧＫ副の色はすべて違う色でなければなりません。_x000a_また、ユニフォームで使える黒は最大２カ所までです。" sqref="B18 D18 H18:H19 F18:F20" xr:uid="{00000000-0002-0000-1500-000009000000}"/>
    <dataValidation imeMode="on" allowBlank="1" showInputMessage="1" showErrorMessage="1" promptTitle="氏名の入力" prompt="姓と名の間には、スペースを必ず_x000a_「ひとつだけ」入れて下さい。" sqref="B12:B16 M4:M7 M9 M11:M13" xr:uid="{00000000-0002-0000-1500-00000A000000}"/>
    <dataValidation type="list" imeMode="off" allowBlank="1" showInputMessage="1" showErrorMessage="1" sqref="T4:T21" xr:uid="{00000000-0002-0000-1500-00000B000000}">
      <formula1>"1"</formula1>
    </dataValidation>
    <dataValidation type="list" imeMode="off" allowBlank="1" showInputMessage="1" showErrorMessage="1" sqref="O4:O7 O9 O11:O13" xr:uid="{00000000-0002-0000-1500-00000C000000}">
      <formula1>"1,2,3"</formula1>
    </dataValidation>
    <dataValidation type="list" imeMode="on" allowBlank="1" showInputMessage="1" showErrorMessage="1" promptTitle="コーチの種別！" prompt="教員、承認コーチの別を選択し、入力して下さい。" sqref="D15" xr:uid="{00000000-0002-0000-1500-00000D000000}">
      <formula1>"教員,承認"</formula1>
    </dataValidation>
    <dataValidation type="textLength" imeMode="off" allowBlank="1" showInputMessage="1" showErrorMessage="1" sqref="F8:F9" xr:uid="{00000000-0002-0000-1500-00000E000000}">
      <formula1>4</formula1>
      <formula2>4</formula2>
    </dataValidation>
    <dataValidation type="list" imeMode="off" allowBlank="1" showInputMessage="1" showErrorMessage="1" promptTitle="ブロック順位！" prompt="３位決定戦をしていない場合は２チームが「３位」に、_x000a_５～８位決定戦をしていない場合は４チームが「５位」になります。" sqref="B4" xr:uid="{00000000-0002-0000-1500-00000F000000}">
      <formula1>"1,2,3,4,5,6,7,8"</formula1>
    </dataValidation>
    <dataValidation type="list" imeMode="off" allowBlank="1" showInputMessage="1" showErrorMessage="1" promptTitle="ポジションの入力！" prompt="ポジションをGK,DF,MF,FWから選択し、半角大文字で入力して下さい。" sqref="L4:L21" xr:uid="{00000000-0002-0000-1500-000010000000}">
      <formula1>"GK,DF,MF,FW"</formula1>
    </dataValidation>
    <dataValidation imeMode="off" allowBlank="1" showInputMessage="1" showErrorMessage="1" sqref="B8:B10 D8:D10 P4:S7 R8:S8 P9:S9 R10:S10 P11:S13 R14:S21" xr:uid="{00000000-0002-0000-1500-000011000000}"/>
    <dataValidation imeMode="on" allowBlank="1" showInputMessage="1" showErrorMessage="1" promptTitle="パンツの色！" prompt="ＦＰ正、ＦＰ副、ＧＫ正、ＧＫ副の色はすべて違う色でなければなりません。_x000a_また、ユニフォームで使える黒は最大２カ所までです。" sqref="B19 D19" xr:uid="{00000000-0002-0000-1500-000012000000}"/>
    <dataValidation imeMode="on" allowBlank="1" showInputMessage="1" showErrorMessage="1" promptTitle="ストッキングの色！" prompt="ＦＰ正、ＦＰ副、ＧＫ正、ＧＫ副の色はすべて違う色でなければなりません。_x000a_また、ユニフォームで使える黒は最大２カ所までです。" sqref="B20 H20 D20" xr:uid="{00000000-0002-0000-1500-000013000000}"/>
    <dataValidation imeMode="on" allowBlank="1" showInputMessage="1" showErrorMessage="1" promptTitle="チーム紹介の入力！" prompt="プログラム作成用に必ず入力して下さい。" sqref="N22:T24" xr:uid="{00000000-0002-0000-1500-000014000000}"/>
    <dataValidation imeMode="off" allowBlank="1" showInputMessage="1" showErrorMessage="1" promptTitle="身長・体重の入力！" prompt="身長・体重は、半角数字で、「整数」で入力して下さい。" sqref="P8:Q8 P10:Q10 P14:Q21" xr:uid="{00000000-0002-0000-1500-000015000000}"/>
    <dataValidation type="list" imeMode="on" allowBlank="1" showInputMessage="1" showErrorMessage="1" promptTitle="マネージャーの種別！" prompt="教員、生徒の別を選択し、入力して下さい。" sqref="D16" xr:uid="{00000000-0002-0000-1500-000016000000}">
      <formula1>"教員,生徒"</formula1>
    </dataValidation>
    <dataValidation imeMode="on" allowBlank="1" showInputMessage="1" showErrorMessage="1" promptTitle="選手氏名（ふりがな）の入力！" prompt="ふりがなを「全角ひらがな」で入力して下さい。_x000a_姓と名の間には、スペースを必ず「ひとつだけ」入れて下さい。" sqref="N8 N10 N14:N21" xr:uid="{00000000-0002-0000-1500-000017000000}"/>
    <dataValidation imeMode="on" allowBlank="1" showInputMessage="1" showErrorMessage="1" promptTitle="氏名の入力！" prompt="姓と名の間には、スペースを必ず「ひとつだけ」入れて下さい。" sqref="M8 M10 M14:M21" xr:uid="{00000000-0002-0000-1500-000018000000}"/>
    <dataValidation type="list" imeMode="off" allowBlank="1" showInputMessage="1" showErrorMessage="1" promptTitle="学年の入力！" prompt="学年を半角数字で入力して下さい。" sqref="O8 O10 O14:O21" xr:uid="{00000000-0002-0000-1500-000019000000}">
      <formula1>"1,2,3"</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70C0"/>
  </sheetPr>
  <dimension ref="A1:AA76"/>
  <sheetViews>
    <sheetView workbookViewId="0">
      <selection activeCell="W5" sqref="W5:AH5"/>
    </sheetView>
  </sheetViews>
  <sheetFormatPr defaultColWidth="12" defaultRowHeight="14.25" x14ac:dyDescent="0.15"/>
  <cols>
    <col min="1" max="1" width="10.875" style="33" customWidth="1"/>
    <col min="2" max="2" width="7.375" style="33" customWidth="1"/>
    <col min="3" max="3" width="1.875" style="33" customWidth="1"/>
    <col min="4" max="4" width="7.375" style="33" customWidth="1"/>
    <col min="5" max="5" width="1.875" style="33" customWidth="1"/>
    <col min="6" max="6" width="7.375" style="33" customWidth="1"/>
    <col min="7" max="7" width="1.875" style="33" customWidth="1"/>
    <col min="8" max="8" width="7.375" style="33" customWidth="1"/>
    <col min="9" max="10" width="2.375" style="33" customWidth="1"/>
    <col min="11" max="12" width="5" style="33" customWidth="1"/>
    <col min="13" max="13" width="11" style="33" customWidth="1"/>
    <col min="14" max="14" width="13.875" style="33" customWidth="1"/>
    <col min="15" max="19" width="5" style="33" customWidth="1"/>
    <col min="20" max="20" width="6.625" style="33" customWidth="1"/>
    <col min="21" max="21" width="10.125" style="33" customWidth="1"/>
    <col min="22" max="16384" width="12" style="33"/>
  </cols>
  <sheetData>
    <row r="1" spans="1:27" ht="36.75" customHeight="1" x14ac:dyDescent="0.2">
      <c r="A1" s="1386" t="s">
        <v>390</v>
      </c>
      <c r="B1" s="1387"/>
      <c r="C1" s="1387"/>
      <c r="D1" s="1387"/>
      <c r="E1" s="1387"/>
      <c r="F1" s="1387"/>
      <c r="G1" s="1387"/>
      <c r="H1" s="1387"/>
      <c r="I1" s="1387"/>
      <c r="J1" s="1387"/>
      <c r="K1" s="1387"/>
      <c r="L1" s="1387"/>
      <c r="M1" s="1387"/>
      <c r="N1" s="1387"/>
      <c r="O1" s="1387"/>
      <c r="P1" s="1387"/>
      <c r="Q1" s="1387"/>
      <c r="R1" s="1387"/>
      <c r="S1" s="1387"/>
      <c r="T1" s="1387"/>
      <c r="U1" s="32"/>
      <c r="V1" s="32"/>
    </row>
    <row r="2" spans="1:27" s="35" customFormat="1" ht="28.5" customHeight="1" thickBot="1" x14ac:dyDescent="0.2">
      <c r="A2" s="34" t="s">
        <v>391</v>
      </c>
      <c r="L2" s="1388" t="str">
        <f>IF(COUNTA($T$4:$T$21)=0,"（注意） キャプテンに「１」を入力してください。","")</f>
        <v/>
      </c>
      <c r="M2" s="1389"/>
      <c r="N2" s="1389"/>
      <c r="O2" s="1389"/>
      <c r="P2" s="1389"/>
      <c r="Q2" s="1389"/>
      <c r="R2" s="1390" t="s">
        <v>392</v>
      </c>
      <c r="S2" s="1391"/>
      <c r="U2" s="55" t="s">
        <v>393</v>
      </c>
    </row>
    <row r="3" spans="1:27" s="35" customFormat="1" ht="36.75" thickBot="1" x14ac:dyDescent="0.2">
      <c r="A3" s="36" t="s">
        <v>394</v>
      </c>
      <c r="B3" s="37" t="s">
        <v>190</v>
      </c>
      <c r="C3" s="38"/>
      <c r="D3" s="39" t="s">
        <v>214</v>
      </c>
      <c r="E3" s="1392" t="s">
        <v>396</v>
      </c>
      <c r="F3" s="1393"/>
      <c r="G3" s="38"/>
      <c r="H3" s="38"/>
      <c r="I3" s="38"/>
      <c r="J3" s="38"/>
      <c r="K3" s="40" t="s">
        <v>346</v>
      </c>
      <c r="L3" s="40" t="s">
        <v>347</v>
      </c>
      <c r="M3" s="40" t="s">
        <v>397</v>
      </c>
      <c r="N3" s="40" t="s">
        <v>398</v>
      </c>
      <c r="O3" s="40" t="s">
        <v>399</v>
      </c>
      <c r="P3" s="40" t="s">
        <v>400</v>
      </c>
      <c r="Q3" s="40" t="s">
        <v>401</v>
      </c>
      <c r="R3" s="40" t="s">
        <v>402</v>
      </c>
      <c r="S3" s="40" t="s">
        <v>84</v>
      </c>
      <c r="T3" s="41" t="s">
        <v>403</v>
      </c>
      <c r="U3" s="41" t="s">
        <v>404</v>
      </c>
    </row>
    <row r="4" spans="1:27" s="35" customFormat="1" ht="15" customHeight="1" thickBot="1" x14ac:dyDescent="0.2">
      <c r="A4" s="36" t="s">
        <v>405</v>
      </c>
      <c r="B4" s="37">
        <v>1</v>
      </c>
      <c r="C4" s="1384" t="s">
        <v>406</v>
      </c>
      <c r="D4" s="1385"/>
      <c r="E4" s="1385"/>
      <c r="F4" s="1385"/>
      <c r="G4" s="1385"/>
      <c r="H4" s="1385"/>
      <c r="I4" s="1385"/>
      <c r="J4" s="42"/>
      <c r="K4" s="43">
        <v>1</v>
      </c>
      <c r="L4" s="37" t="s">
        <v>567</v>
      </c>
      <c r="M4" s="44" t="s">
        <v>571</v>
      </c>
      <c r="N4" s="44" t="s">
        <v>572</v>
      </c>
      <c r="O4" s="37">
        <v>3</v>
      </c>
      <c r="P4" s="37">
        <v>178</v>
      </c>
      <c r="Q4" s="37">
        <v>60</v>
      </c>
      <c r="R4" s="37">
        <v>12</v>
      </c>
      <c r="S4" s="37">
        <v>28</v>
      </c>
      <c r="T4" s="37"/>
      <c r="U4" s="37" t="s">
        <v>573</v>
      </c>
      <c r="V4" s="55"/>
      <c r="W4" s="55"/>
      <c r="X4" s="55"/>
      <c r="Y4" s="55"/>
      <c r="Z4" s="55"/>
      <c r="AA4" s="55"/>
    </row>
    <row r="5" spans="1:27" s="35" customFormat="1" ht="15" thickBot="1" x14ac:dyDescent="0.2">
      <c r="A5" s="36" t="s">
        <v>411</v>
      </c>
      <c r="B5" s="37"/>
      <c r="C5" s="1384" t="s">
        <v>412</v>
      </c>
      <c r="D5" s="1385"/>
      <c r="E5" s="1385"/>
      <c r="F5" s="1385"/>
      <c r="G5" s="1385"/>
      <c r="H5" s="1385"/>
      <c r="I5" s="1385"/>
      <c r="J5" s="42"/>
      <c r="K5" s="43">
        <v>2</v>
      </c>
      <c r="L5" s="37" t="s">
        <v>548</v>
      </c>
      <c r="M5" s="44" t="s">
        <v>574</v>
      </c>
      <c r="N5" s="44" t="s">
        <v>575</v>
      </c>
      <c r="O5" s="37">
        <v>3</v>
      </c>
      <c r="P5" s="37">
        <v>165</v>
      </c>
      <c r="Q5" s="37">
        <v>50</v>
      </c>
      <c r="R5" s="37">
        <v>12</v>
      </c>
      <c r="S5" s="37">
        <v>4</v>
      </c>
      <c r="T5" s="37"/>
      <c r="U5" s="37" t="s">
        <v>573</v>
      </c>
    </row>
    <row r="6" spans="1:27" s="35" customFormat="1" ht="15" thickBot="1" x14ac:dyDescent="0.2">
      <c r="A6" s="36" t="s">
        <v>417</v>
      </c>
      <c r="B6" s="1394" t="s">
        <v>576</v>
      </c>
      <c r="C6" s="1396"/>
      <c r="D6" s="1396"/>
      <c r="E6" s="1395"/>
      <c r="F6" s="1392" t="s">
        <v>419</v>
      </c>
      <c r="G6" s="1393"/>
      <c r="H6" s="1393"/>
      <c r="I6" s="1393"/>
      <c r="J6" s="45"/>
      <c r="K6" s="43">
        <v>3</v>
      </c>
      <c r="L6" s="37" t="s">
        <v>548</v>
      </c>
      <c r="M6" s="44" t="s">
        <v>577</v>
      </c>
      <c r="N6" s="44" t="s">
        <v>578</v>
      </c>
      <c r="O6" s="37">
        <v>3</v>
      </c>
      <c r="P6" s="37">
        <v>172</v>
      </c>
      <c r="Q6" s="37">
        <v>60</v>
      </c>
      <c r="R6" s="37">
        <v>8</v>
      </c>
      <c r="S6" s="37">
        <v>4</v>
      </c>
      <c r="T6" s="37"/>
      <c r="U6" s="37" t="s">
        <v>573</v>
      </c>
    </row>
    <row r="7" spans="1:27" s="35" customFormat="1" ht="15" thickBot="1" x14ac:dyDescent="0.2">
      <c r="A7" s="36" t="s">
        <v>423</v>
      </c>
      <c r="B7" s="1394" t="s">
        <v>579</v>
      </c>
      <c r="C7" s="1396"/>
      <c r="D7" s="1396"/>
      <c r="E7" s="1395"/>
      <c r="F7" s="1392" t="s">
        <v>424</v>
      </c>
      <c r="G7" s="1393"/>
      <c r="H7" s="1393"/>
      <c r="I7" s="1393"/>
      <c r="J7" s="45"/>
      <c r="K7" s="43">
        <v>4</v>
      </c>
      <c r="L7" s="37" t="s">
        <v>548</v>
      </c>
      <c r="M7" s="44" t="s">
        <v>580</v>
      </c>
      <c r="N7" s="44" t="s">
        <v>581</v>
      </c>
      <c r="O7" s="37">
        <v>3</v>
      </c>
      <c r="P7" s="37">
        <v>165</v>
      </c>
      <c r="Q7" s="37">
        <v>48</v>
      </c>
      <c r="R7" s="37">
        <v>7</v>
      </c>
      <c r="S7" s="37">
        <v>4</v>
      </c>
      <c r="T7" s="37"/>
      <c r="U7" s="37" t="s">
        <v>582</v>
      </c>
    </row>
    <row r="8" spans="1:27" s="35" customFormat="1" ht="15" thickBot="1" x14ac:dyDescent="0.2">
      <c r="A8" s="36" t="s">
        <v>428</v>
      </c>
      <c r="B8" s="46" t="s">
        <v>583</v>
      </c>
      <c r="C8" s="47" t="s">
        <v>430</v>
      </c>
      <c r="D8" s="46" t="s">
        <v>584</v>
      </c>
      <c r="E8" s="47" t="s">
        <v>430</v>
      </c>
      <c r="F8" s="46" t="s">
        <v>585</v>
      </c>
      <c r="G8" s="38"/>
      <c r="H8" s="38"/>
      <c r="I8" s="38"/>
      <c r="J8" s="38"/>
      <c r="K8" s="43">
        <v>5</v>
      </c>
      <c r="L8" s="37" t="s">
        <v>548</v>
      </c>
      <c r="M8" s="44" t="s">
        <v>586</v>
      </c>
      <c r="N8" s="44" t="s">
        <v>587</v>
      </c>
      <c r="O8" s="37">
        <v>3</v>
      </c>
      <c r="P8" s="37">
        <v>167</v>
      </c>
      <c r="Q8" s="37">
        <v>55</v>
      </c>
      <c r="R8" s="37">
        <v>6</v>
      </c>
      <c r="S8" s="37">
        <v>2</v>
      </c>
      <c r="T8" s="37"/>
      <c r="U8" s="37" t="s">
        <v>573</v>
      </c>
    </row>
    <row r="9" spans="1:27" s="35" customFormat="1" ht="15" thickBot="1" x14ac:dyDescent="0.2">
      <c r="A9" s="36" t="s">
        <v>436</v>
      </c>
      <c r="B9" s="46" t="s">
        <v>583</v>
      </c>
      <c r="C9" s="47" t="s">
        <v>430</v>
      </c>
      <c r="D9" s="46" t="s">
        <v>584</v>
      </c>
      <c r="E9" s="47" t="s">
        <v>430</v>
      </c>
      <c r="F9" s="46" t="s">
        <v>588</v>
      </c>
      <c r="G9" s="38"/>
      <c r="H9" s="38"/>
      <c r="I9" s="38"/>
      <c r="J9" s="38"/>
      <c r="K9" s="43">
        <v>6</v>
      </c>
      <c r="L9" s="37" t="s">
        <v>559</v>
      </c>
      <c r="M9" s="44" t="s">
        <v>589</v>
      </c>
      <c r="N9" s="44" t="s">
        <v>590</v>
      </c>
      <c r="O9" s="37">
        <v>2</v>
      </c>
      <c r="P9" s="37">
        <v>161</v>
      </c>
      <c r="Q9" s="37">
        <v>46</v>
      </c>
      <c r="R9" s="37">
        <v>8</v>
      </c>
      <c r="S9" s="37">
        <v>10</v>
      </c>
      <c r="T9" s="37"/>
      <c r="U9" s="37" t="s">
        <v>582</v>
      </c>
    </row>
    <row r="10" spans="1:27" s="35" customFormat="1" ht="15" thickBot="1" x14ac:dyDescent="0.2">
      <c r="A10" s="36" t="s">
        <v>441</v>
      </c>
      <c r="B10" s="46" t="s">
        <v>591</v>
      </c>
      <c r="C10" s="47" t="s">
        <v>430</v>
      </c>
      <c r="D10" s="46" t="s">
        <v>592</v>
      </c>
      <c r="E10" s="38"/>
      <c r="F10" s="38"/>
      <c r="G10" s="38"/>
      <c r="H10" s="38"/>
      <c r="I10" s="38"/>
      <c r="J10" s="38"/>
      <c r="K10" s="43">
        <v>7</v>
      </c>
      <c r="L10" s="37" t="s">
        <v>559</v>
      </c>
      <c r="M10" s="44" t="s">
        <v>593</v>
      </c>
      <c r="N10" s="44" t="s">
        <v>594</v>
      </c>
      <c r="O10" s="37">
        <v>3</v>
      </c>
      <c r="P10" s="37">
        <v>163</v>
      </c>
      <c r="Q10" s="37">
        <v>45</v>
      </c>
      <c r="R10" s="37">
        <v>3</v>
      </c>
      <c r="S10" s="37">
        <v>9</v>
      </c>
      <c r="T10" s="37"/>
      <c r="U10" s="37" t="s">
        <v>573</v>
      </c>
    </row>
    <row r="11" spans="1:27" s="35" customFormat="1" ht="15" thickBot="1" x14ac:dyDescent="0.2">
      <c r="A11" s="36" t="s">
        <v>448</v>
      </c>
      <c r="B11" s="1397" t="s">
        <v>595</v>
      </c>
      <c r="C11" s="1396"/>
      <c r="D11" s="1396"/>
      <c r="E11" s="1396"/>
      <c r="F11" s="1396"/>
      <c r="G11" s="1395"/>
      <c r="H11" s="38"/>
      <c r="I11" s="38"/>
      <c r="J11" s="38"/>
      <c r="K11" s="43">
        <v>8</v>
      </c>
      <c r="L11" s="37" t="s">
        <v>559</v>
      </c>
      <c r="M11" s="44" t="s">
        <v>596</v>
      </c>
      <c r="N11" s="44" t="s">
        <v>597</v>
      </c>
      <c r="O11" s="37">
        <v>3</v>
      </c>
      <c r="P11" s="37">
        <v>159</v>
      </c>
      <c r="Q11" s="37">
        <v>48</v>
      </c>
      <c r="R11" s="37">
        <v>7</v>
      </c>
      <c r="S11" s="37">
        <v>4</v>
      </c>
      <c r="T11" s="37"/>
      <c r="U11" s="37" t="s">
        <v>582</v>
      </c>
    </row>
    <row r="12" spans="1:27" s="35" customFormat="1" ht="15" thickBot="1" x14ac:dyDescent="0.2">
      <c r="A12" s="36" t="s">
        <v>453</v>
      </c>
      <c r="B12" s="1394" t="s">
        <v>598</v>
      </c>
      <c r="C12" s="1395"/>
      <c r="D12" s="38"/>
      <c r="E12" s="38"/>
      <c r="F12" s="38"/>
      <c r="G12" s="38"/>
      <c r="H12" s="38"/>
      <c r="I12" s="38"/>
      <c r="J12" s="38"/>
      <c r="K12" s="43">
        <v>9</v>
      </c>
      <c r="L12" s="37" t="s">
        <v>599</v>
      </c>
      <c r="M12" s="44" t="s">
        <v>600</v>
      </c>
      <c r="N12" s="44" t="s">
        <v>601</v>
      </c>
      <c r="O12" s="37">
        <v>3</v>
      </c>
      <c r="P12" s="37">
        <v>174</v>
      </c>
      <c r="Q12" s="37">
        <v>62</v>
      </c>
      <c r="R12" s="37">
        <v>6</v>
      </c>
      <c r="S12" s="37">
        <v>11</v>
      </c>
      <c r="T12" s="37"/>
      <c r="U12" s="37" t="s">
        <v>602</v>
      </c>
    </row>
    <row r="13" spans="1:27" s="35" customFormat="1" ht="15" customHeight="1" thickBot="1" x14ac:dyDescent="0.2">
      <c r="A13" s="36" t="s">
        <v>459</v>
      </c>
      <c r="B13" s="1394" t="s">
        <v>603</v>
      </c>
      <c r="C13" s="1395"/>
      <c r="D13" s="1398" t="str">
        <f>IF(OR(B13=B14,B13=B15,B13=B16),"","（注意）ベンチ入りできません。")</f>
        <v/>
      </c>
      <c r="E13" s="1399"/>
      <c r="F13" s="1399"/>
      <c r="G13" s="1399"/>
      <c r="H13" s="1399"/>
      <c r="I13" s="1399"/>
      <c r="J13" s="38"/>
      <c r="K13" s="43">
        <v>10</v>
      </c>
      <c r="L13" s="37" t="s">
        <v>559</v>
      </c>
      <c r="M13" s="44" t="s">
        <v>604</v>
      </c>
      <c r="N13" s="44" t="s">
        <v>605</v>
      </c>
      <c r="O13" s="37">
        <v>3</v>
      </c>
      <c r="P13" s="37">
        <v>162</v>
      </c>
      <c r="Q13" s="37">
        <v>48</v>
      </c>
      <c r="R13" s="37">
        <v>4</v>
      </c>
      <c r="S13" s="37">
        <v>27</v>
      </c>
      <c r="T13" s="37">
        <v>1</v>
      </c>
      <c r="U13" s="37" t="s">
        <v>582</v>
      </c>
    </row>
    <row r="14" spans="1:27" s="35" customFormat="1" ht="15" thickBot="1" x14ac:dyDescent="0.2">
      <c r="A14" s="36" t="s">
        <v>463</v>
      </c>
      <c r="B14" s="1394" t="s">
        <v>603</v>
      </c>
      <c r="C14" s="1395"/>
      <c r="D14" s="49"/>
      <c r="E14" s="50"/>
      <c r="F14" s="50"/>
      <c r="G14" s="50"/>
      <c r="H14" s="50"/>
      <c r="I14" s="38"/>
      <c r="J14" s="38"/>
      <c r="K14" s="43">
        <v>11</v>
      </c>
      <c r="L14" s="37" t="s">
        <v>599</v>
      </c>
      <c r="M14" s="44" t="s">
        <v>606</v>
      </c>
      <c r="N14" s="44" t="s">
        <v>607</v>
      </c>
      <c r="O14" s="37">
        <v>3</v>
      </c>
      <c r="P14" s="37">
        <v>170</v>
      </c>
      <c r="Q14" s="37">
        <v>48</v>
      </c>
      <c r="R14" s="37">
        <v>9</v>
      </c>
      <c r="S14" s="37">
        <v>8</v>
      </c>
      <c r="T14" s="37"/>
      <c r="U14" s="37" t="s">
        <v>573</v>
      </c>
    </row>
    <row r="15" spans="1:27" s="35" customFormat="1" ht="15" thickBot="1" x14ac:dyDescent="0.2">
      <c r="A15" s="36" t="s">
        <v>467</v>
      </c>
      <c r="B15" s="1394" t="s">
        <v>608</v>
      </c>
      <c r="C15" s="1395"/>
      <c r="D15" s="37" t="s">
        <v>609</v>
      </c>
      <c r="E15" s="1392" t="s">
        <v>470</v>
      </c>
      <c r="F15" s="1393"/>
      <c r="G15" s="1393"/>
      <c r="H15" s="1393"/>
      <c r="I15" s="1393"/>
      <c r="J15" s="45"/>
      <c r="K15" s="43">
        <v>12</v>
      </c>
      <c r="L15" s="37" t="s">
        <v>548</v>
      </c>
      <c r="M15" s="44" t="s">
        <v>610</v>
      </c>
      <c r="N15" s="44" t="s">
        <v>611</v>
      </c>
      <c r="O15" s="37">
        <v>2</v>
      </c>
      <c r="P15" s="37">
        <v>169</v>
      </c>
      <c r="Q15" s="37">
        <v>47</v>
      </c>
      <c r="R15" s="37">
        <v>5</v>
      </c>
      <c r="S15" s="37">
        <v>12</v>
      </c>
      <c r="T15" s="37"/>
      <c r="U15" s="37" t="s">
        <v>582</v>
      </c>
    </row>
    <row r="16" spans="1:27" s="35" customFormat="1" ht="15" thickBot="1" x14ac:dyDescent="0.2">
      <c r="A16" s="36" t="s">
        <v>474</v>
      </c>
      <c r="B16" s="1394" t="s">
        <v>612</v>
      </c>
      <c r="C16" s="1395"/>
      <c r="D16" s="37" t="s">
        <v>613</v>
      </c>
      <c r="E16" s="1392" t="s">
        <v>477</v>
      </c>
      <c r="F16" s="1393"/>
      <c r="G16" s="1393"/>
      <c r="H16" s="1393"/>
      <c r="I16" s="1393"/>
      <c r="J16" s="45"/>
      <c r="K16" s="43">
        <v>13</v>
      </c>
      <c r="L16" s="37" t="s">
        <v>559</v>
      </c>
      <c r="M16" s="44" t="s">
        <v>614</v>
      </c>
      <c r="N16" s="44" t="s">
        <v>615</v>
      </c>
      <c r="O16" s="37">
        <v>2</v>
      </c>
      <c r="P16" s="37">
        <v>164</v>
      </c>
      <c r="Q16" s="37">
        <v>49</v>
      </c>
      <c r="R16" s="37">
        <v>9</v>
      </c>
      <c r="S16" s="37">
        <v>4</v>
      </c>
      <c r="T16" s="37"/>
      <c r="U16" s="37" t="s">
        <v>582</v>
      </c>
    </row>
    <row r="17" spans="1:21" s="35" customFormat="1" ht="15" thickBot="1" x14ac:dyDescent="0.2">
      <c r="A17" s="38"/>
      <c r="B17" s="1400" t="s">
        <v>480</v>
      </c>
      <c r="C17" s="1396"/>
      <c r="D17" s="1401" t="s">
        <v>481</v>
      </c>
      <c r="E17" s="1402"/>
      <c r="F17" s="1401" t="s">
        <v>482</v>
      </c>
      <c r="G17" s="1402"/>
      <c r="H17" s="1401" t="s">
        <v>483</v>
      </c>
      <c r="I17" s="1402"/>
      <c r="J17" s="45"/>
      <c r="K17" s="43">
        <v>14</v>
      </c>
      <c r="L17" s="37" t="s">
        <v>599</v>
      </c>
      <c r="M17" s="44" t="s">
        <v>616</v>
      </c>
      <c r="N17" s="44" t="s">
        <v>617</v>
      </c>
      <c r="O17" s="37">
        <v>2</v>
      </c>
      <c r="P17" s="37">
        <v>156</v>
      </c>
      <c r="Q17" s="37">
        <v>42</v>
      </c>
      <c r="R17" s="37">
        <v>1</v>
      </c>
      <c r="S17" s="37">
        <v>14</v>
      </c>
      <c r="T17" s="37"/>
      <c r="U17" s="37" t="s">
        <v>573</v>
      </c>
    </row>
    <row r="18" spans="1:21" s="35" customFormat="1" ht="15" thickBot="1" x14ac:dyDescent="0.2">
      <c r="A18" s="36" t="s">
        <v>487</v>
      </c>
      <c r="B18" s="1394" t="s">
        <v>557</v>
      </c>
      <c r="C18" s="1395"/>
      <c r="D18" s="1394" t="s">
        <v>489</v>
      </c>
      <c r="E18" s="1395"/>
      <c r="F18" s="1394" t="s">
        <v>488</v>
      </c>
      <c r="G18" s="1395"/>
      <c r="H18" s="1394" t="s">
        <v>42</v>
      </c>
      <c r="I18" s="1395"/>
      <c r="J18" s="51"/>
      <c r="K18" s="43">
        <v>15</v>
      </c>
      <c r="L18" s="37" t="s">
        <v>599</v>
      </c>
      <c r="M18" s="44" t="s">
        <v>618</v>
      </c>
      <c r="N18" s="44" t="s">
        <v>619</v>
      </c>
      <c r="O18" s="37">
        <v>2</v>
      </c>
      <c r="P18" s="37">
        <v>145</v>
      </c>
      <c r="Q18" s="37">
        <v>36</v>
      </c>
      <c r="R18" s="37">
        <v>11</v>
      </c>
      <c r="S18" s="37">
        <v>20</v>
      </c>
      <c r="T18" s="37"/>
      <c r="U18" s="37"/>
    </row>
    <row r="19" spans="1:21" s="35" customFormat="1" ht="15" thickBot="1" x14ac:dyDescent="0.2">
      <c r="A19" s="36" t="s">
        <v>495</v>
      </c>
      <c r="B19" s="1394" t="s">
        <v>557</v>
      </c>
      <c r="C19" s="1395"/>
      <c r="D19" s="1394" t="s">
        <v>489</v>
      </c>
      <c r="E19" s="1395"/>
      <c r="F19" s="1394" t="s">
        <v>488</v>
      </c>
      <c r="G19" s="1395"/>
      <c r="H19" s="1394" t="s">
        <v>42</v>
      </c>
      <c r="I19" s="1395"/>
      <c r="J19" s="51"/>
      <c r="K19" s="43">
        <v>16</v>
      </c>
      <c r="L19" s="37" t="s">
        <v>548</v>
      </c>
      <c r="M19" s="44" t="s">
        <v>620</v>
      </c>
      <c r="N19" s="44" t="s">
        <v>621</v>
      </c>
      <c r="O19" s="37">
        <v>2</v>
      </c>
      <c r="P19" s="37">
        <v>160</v>
      </c>
      <c r="Q19" s="37">
        <v>47</v>
      </c>
      <c r="R19" s="37">
        <v>3</v>
      </c>
      <c r="S19" s="37">
        <v>13</v>
      </c>
      <c r="T19" s="37"/>
      <c r="U19" s="37" t="s">
        <v>582</v>
      </c>
    </row>
    <row r="20" spans="1:21" s="35" customFormat="1" ht="15" thickBot="1" x14ac:dyDescent="0.2">
      <c r="A20" s="36" t="s">
        <v>500</v>
      </c>
      <c r="B20" s="1394" t="s">
        <v>557</v>
      </c>
      <c r="C20" s="1395"/>
      <c r="D20" s="1394" t="s">
        <v>489</v>
      </c>
      <c r="E20" s="1395"/>
      <c r="F20" s="1394" t="s">
        <v>488</v>
      </c>
      <c r="G20" s="1395"/>
      <c r="H20" s="1394" t="s">
        <v>42</v>
      </c>
      <c r="I20" s="1395"/>
      <c r="J20" s="51"/>
      <c r="K20" s="43">
        <v>17</v>
      </c>
      <c r="L20" s="37" t="s">
        <v>559</v>
      </c>
      <c r="M20" s="44" t="s">
        <v>622</v>
      </c>
      <c r="N20" s="44" t="s">
        <v>623</v>
      </c>
      <c r="O20" s="37">
        <v>2</v>
      </c>
      <c r="P20" s="37">
        <v>156</v>
      </c>
      <c r="Q20" s="37">
        <v>39</v>
      </c>
      <c r="R20" s="37">
        <v>10</v>
      </c>
      <c r="S20" s="37">
        <v>3</v>
      </c>
      <c r="T20" s="37"/>
      <c r="U20" s="37" t="s">
        <v>582</v>
      </c>
    </row>
    <row r="21" spans="1:21" s="35" customFormat="1" ht="15" thickBot="1" x14ac:dyDescent="0.2">
      <c r="B21" s="52" t="str">
        <f>IF(AND(COUNTIF($B$18:$I$18,"黒")=0,COUNTIF($B$18:$I$18,"黒色")=0,COUNTIF($B$18:$I$18,"紺")=0,COUNTIF($B$18:$I$18,"紺色")=0,COUNTIF($B$18:$I$18,"ネイビー")=0),"","（注意） シャツに黒・紺色は使えません。")</f>
        <v/>
      </c>
      <c r="K21" s="43">
        <v>18</v>
      </c>
      <c r="L21" s="37" t="s">
        <v>567</v>
      </c>
      <c r="M21" s="44" t="s">
        <v>624</v>
      </c>
      <c r="N21" s="44" t="s">
        <v>625</v>
      </c>
      <c r="O21" s="37">
        <v>2</v>
      </c>
      <c r="P21" s="37">
        <v>172</v>
      </c>
      <c r="Q21" s="37">
        <v>52</v>
      </c>
      <c r="R21" s="37">
        <v>8</v>
      </c>
      <c r="S21" s="37">
        <v>5</v>
      </c>
      <c r="T21" s="37"/>
      <c r="U21" s="37" t="s">
        <v>582</v>
      </c>
    </row>
    <row r="22" spans="1:21" s="35" customFormat="1" ht="12" x14ac:dyDescent="0.15">
      <c r="B22" s="1403" t="str">
        <f>IF(AND(B18&lt;&gt;D18,B18&lt;&gt;F18,B18&lt;&gt;H18,D18&lt;&gt;F18,D18&lt;&gt;H18,F18&lt;&gt;H18)=TRUE,"","（注意） "&amp;A18&amp;"が重複しています。")</f>
        <v/>
      </c>
      <c r="C22" s="1404"/>
      <c r="D22" s="1404"/>
      <c r="E22" s="1404"/>
      <c r="F22" s="1404"/>
      <c r="G22" s="1404"/>
      <c r="H22" s="1404"/>
      <c r="I22" s="1404"/>
      <c r="J22" s="54"/>
      <c r="K22" s="1405" t="s">
        <v>506</v>
      </c>
      <c r="L22" s="1406"/>
      <c r="M22" s="1407"/>
      <c r="N22" s="1408" t="s">
        <v>626</v>
      </c>
      <c r="O22" s="1409"/>
      <c r="P22" s="1409"/>
      <c r="Q22" s="1409"/>
      <c r="R22" s="1409"/>
      <c r="S22" s="1409"/>
      <c r="T22" s="1410"/>
    </row>
    <row r="23" spans="1:21" s="35" customFormat="1" ht="12" x14ac:dyDescent="0.15">
      <c r="B23" s="1403" t="str">
        <f>IF(AND(B19&lt;&gt;D19,B19&lt;&gt;F19,B19&lt;&gt;H19,D19&lt;&gt;F19,D19&lt;&gt;H19,F19&lt;&gt;H19)=TRUE,"","（注意） "&amp;A19&amp;"が重複しています。")</f>
        <v/>
      </c>
      <c r="C23" s="1404"/>
      <c r="D23" s="1404"/>
      <c r="E23" s="1404"/>
      <c r="F23" s="1404"/>
      <c r="G23" s="1404"/>
      <c r="H23" s="1404"/>
      <c r="I23" s="1404"/>
      <c r="J23" s="54"/>
      <c r="K23" s="1406"/>
      <c r="L23" s="1406"/>
      <c r="M23" s="1407"/>
      <c r="N23" s="1411"/>
      <c r="O23" s="1412"/>
      <c r="P23" s="1412"/>
      <c r="Q23" s="1412"/>
      <c r="R23" s="1412"/>
      <c r="S23" s="1412"/>
      <c r="T23" s="1413"/>
    </row>
    <row r="24" spans="1:21" s="35" customFormat="1" ht="52.5" customHeight="1" thickBot="1" x14ac:dyDescent="0.2">
      <c r="B24" s="1417" t="str">
        <f>IF(AND(B20&lt;&gt;D20,B20&lt;&gt;F20,B20&lt;&gt;H20,D20&lt;&gt;F20,D20&lt;&gt;H20,F20&lt;&gt;H20)=TRUE,"","（注意） "&amp;A20&amp;"が重複しています。")</f>
        <v/>
      </c>
      <c r="C24" s="1418"/>
      <c r="D24" s="1418"/>
      <c r="E24" s="1418"/>
      <c r="F24" s="1418"/>
      <c r="G24" s="1418"/>
      <c r="H24" s="1418"/>
      <c r="I24" s="1418"/>
      <c r="J24" s="54"/>
      <c r="K24" s="1419" t="str">
        <f>IF(N22="","必ず、記入して下さい。","")</f>
        <v/>
      </c>
      <c r="L24" s="1419"/>
      <c r="M24" s="1420"/>
      <c r="N24" s="1414"/>
      <c r="O24" s="1415"/>
      <c r="P24" s="1415"/>
      <c r="Q24" s="1415"/>
      <c r="R24" s="1415"/>
      <c r="S24" s="1415"/>
      <c r="T24" s="1416"/>
    </row>
    <row r="25" spans="1:21" s="35" customFormat="1" ht="14.25" customHeight="1" x14ac:dyDescent="0.15"/>
    <row r="26" spans="1:21" s="35" customFormat="1" ht="14.25" customHeight="1" x14ac:dyDescent="0.15">
      <c r="K26" s="33"/>
      <c r="L26" s="33"/>
      <c r="M26" s="33"/>
      <c r="N26" s="33"/>
      <c r="O26" s="33"/>
      <c r="P26" s="33"/>
      <c r="Q26" s="33"/>
      <c r="R26" s="33"/>
    </row>
    <row r="27" spans="1:21" s="35" customFormat="1" ht="14.25" customHeight="1" x14ac:dyDescent="0.15">
      <c r="K27" s="33"/>
      <c r="L27" s="33"/>
      <c r="M27" s="33"/>
      <c r="N27" s="33"/>
      <c r="O27" s="33"/>
      <c r="P27" s="33"/>
      <c r="Q27" s="33"/>
      <c r="R27" s="33"/>
    </row>
    <row r="28" spans="1:21" s="35" customFormat="1" ht="14.25" customHeight="1" x14ac:dyDescent="0.15">
      <c r="K28" s="33"/>
      <c r="L28" s="33"/>
      <c r="M28" s="33"/>
      <c r="N28" s="33"/>
      <c r="O28" s="33"/>
      <c r="P28" s="33"/>
      <c r="Q28" s="33"/>
      <c r="R28" s="33"/>
    </row>
    <row r="29" spans="1:21" ht="14.25" customHeight="1" x14ac:dyDescent="0.15"/>
    <row r="30" spans="1:21" x14ac:dyDescent="0.15">
      <c r="B30" s="53"/>
    </row>
    <row r="31" spans="1:21" x14ac:dyDescent="0.15">
      <c r="B31" s="53"/>
    </row>
    <row r="32" spans="1:21" x14ac:dyDescent="0.15">
      <c r="B32" s="53"/>
    </row>
    <row r="33" spans="2:2" x14ac:dyDescent="0.15">
      <c r="B33" s="53"/>
    </row>
    <row r="34" spans="2:2" x14ac:dyDescent="0.15">
      <c r="B34" s="53"/>
    </row>
    <row r="35" spans="2:2" x14ac:dyDescent="0.15">
      <c r="B35" s="53"/>
    </row>
    <row r="36" spans="2:2" x14ac:dyDescent="0.15">
      <c r="B36" s="53"/>
    </row>
    <row r="37" spans="2:2" x14ac:dyDescent="0.15">
      <c r="B37" s="53"/>
    </row>
    <row r="38" spans="2:2" x14ac:dyDescent="0.15">
      <c r="B38" s="53"/>
    </row>
    <row r="39" spans="2:2" x14ac:dyDescent="0.15">
      <c r="B39" s="53"/>
    </row>
    <row r="40" spans="2:2" x14ac:dyDescent="0.15">
      <c r="B40" s="53"/>
    </row>
    <row r="41" spans="2:2" x14ac:dyDescent="0.15">
      <c r="B41" s="53"/>
    </row>
    <row r="42" spans="2:2" x14ac:dyDescent="0.15">
      <c r="B42" s="53"/>
    </row>
    <row r="43" spans="2:2" x14ac:dyDescent="0.15">
      <c r="B43" s="53"/>
    </row>
    <row r="44" spans="2:2" x14ac:dyDescent="0.15">
      <c r="B44" s="53"/>
    </row>
    <row r="45" spans="2:2" x14ac:dyDescent="0.15">
      <c r="B45" s="53"/>
    </row>
    <row r="46" spans="2:2" x14ac:dyDescent="0.15">
      <c r="B46" s="53"/>
    </row>
    <row r="47" spans="2:2" x14ac:dyDescent="0.15">
      <c r="B47" s="53"/>
    </row>
    <row r="48" spans="2:2" x14ac:dyDescent="0.15">
      <c r="B48" s="53"/>
    </row>
    <row r="49" spans="2:2" x14ac:dyDescent="0.15">
      <c r="B49" s="53"/>
    </row>
    <row r="50" spans="2:2" x14ac:dyDescent="0.15">
      <c r="B50" s="53"/>
    </row>
    <row r="51" spans="2:2" x14ac:dyDescent="0.15">
      <c r="B51" s="53"/>
    </row>
    <row r="52" spans="2:2" x14ac:dyDescent="0.15">
      <c r="B52" s="53"/>
    </row>
    <row r="53" spans="2:2" x14ac:dyDescent="0.15">
      <c r="B53" s="53"/>
    </row>
    <row r="54" spans="2:2" x14ac:dyDescent="0.15">
      <c r="B54" s="53"/>
    </row>
    <row r="55" spans="2:2" x14ac:dyDescent="0.15">
      <c r="B55" s="53"/>
    </row>
    <row r="56" spans="2:2" x14ac:dyDescent="0.15">
      <c r="B56" s="53"/>
    </row>
    <row r="57" spans="2:2" x14ac:dyDescent="0.15">
      <c r="B57" s="53"/>
    </row>
    <row r="58" spans="2:2" x14ac:dyDescent="0.15">
      <c r="B58" s="53"/>
    </row>
    <row r="59" spans="2:2" x14ac:dyDescent="0.15">
      <c r="B59" s="53"/>
    </row>
    <row r="60" spans="2:2" x14ac:dyDescent="0.15">
      <c r="B60" s="53"/>
    </row>
    <row r="61" spans="2:2" x14ac:dyDescent="0.15">
      <c r="B61" s="53"/>
    </row>
    <row r="62" spans="2:2" x14ac:dyDescent="0.15">
      <c r="B62" s="53"/>
    </row>
    <row r="63" spans="2:2" x14ac:dyDescent="0.15">
      <c r="B63" s="53"/>
    </row>
    <row r="64" spans="2:2" x14ac:dyDescent="0.15">
      <c r="B64" s="53"/>
    </row>
    <row r="65" spans="2:2" x14ac:dyDescent="0.15">
      <c r="B65" s="53"/>
    </row>
    <row r="66" spans="2:2" x14ac:dyDescent="0.15">
      <c r="B66" s="53"/>
    </row>
    <row r="67" spans="2:2" x14ac:dyDescent="0.15">
      <c r="B67" s="53"/>
    </row>
    <row r="68" spans="2:2" x14ac:dyDescent="0.15">
      <c r="B68" s="53"/>
    </row>
    <row r="69" spans="2:2" x14ac:dyDescent="0.15">
      <c r="B69" s="53"/>
    </row>
    <row r="70" spans="2:2" x14ac:dyDescent="0.15">
      <c r="B70" s="53"/>
    </row>
    <row r="71" spans="2:2" x14ac:dyDescent="0.15">
      <c r="B71" s="53"/>
    </row>
    <row r="72" spans="2:2" x14ac:dyDescent="0.15">
      <c r="B72" s="53"/>
    </row>
    <row r="73" spans="2:2" x14ac:dyDescent="0.15">
      <c r="B73" s="53"/>
    </row>
    <row r="74" spans="2:2" x14ac:dyDescent="0.15">
      <c r="B74" s="53"/>
    </row>
    <row r="75" spans="2:2" x14ac:dyDescent="0.15">
      <c r="B75" s="53"/>
    </row>
    <row r="76" spans="2:2" x14ac:dyDescent="0.15">
      <c r="B76" s="53"/>
    </row>
  </sheetData>
  <mergeCells count="41">
    <mergeCell ref="B22:I22"/>
    <mergeCell ref="K22:M23"/>
    <mergeCell ref="N22:T24"/>
    <mergeCell ref="B23:I23"/>
    <mergeCell ref="B24:I24"/>
    <mergeCell ref="K24:M24"/>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6:C16"/>
    <mergeCell ref="E16:I16"/>
    <mergeCell ref="B6:E6"/>
    <mergeCell ref="F6:I6"/>
    <mergeCell ref="B7:E7"/>
    <mergeCell ref="F7:I7"/>
    <mergeCell ref="B11:G11"/>
    <mergeCell ref="B12:C12"/>
    <mergeCell ref="B13:C13"/>
    <mergeCell ref="D13:I13"/>
    <mergeCell ref="B14:C14"/>
    <mergeCell ref="B15:C15"/>
    <mergeCell ref="E15:I15"/>
    <mergeCell ref="C5:I5"/>
    <mergeCell ref="A1:T1"/>
    <mergeCell ref="L2:Q2"/>
    <mergeCell ref="R2:S2"/>
    <mergeCell ref="E3:F3"/>
    <mergeCell ref="C4:I4"/>
  </mergeCells>
  <phoneticPr fontId="2"/>
  <dataValidations count="29">
    <dataValidation imeMode="hiragana" operator="lessThanOrEqual" allowBlank="1" showInputMessage="1" showErrorMessage="1" promptTitle="出身少年団" prompt="4種の時の出身少年団を入力して下さい。登録なしの場合は空欄でかまいません。全角５文字程度で入力して下さい。" sqref="U4" xr:uid="{00000000-0002-0000-1600-000000000000}"/>
    <dataValidation type="list" imeMode="off" allowBlank="1" showErrorMessage="1" promptTitle="県体順位！" sqref="B5" xr:uid="{00000000-0002-0000-1600-000001000000}">
      <formula1>"1,2,3"</formula1>
    </dataValidation>
    <dataValidation imeMode="hiragana" allowBlank="1" showInputMessage="1" showErrorMessage="1" promptTitle="出身少年団" prompt="4種の時の出身少年団を入力して下さい。登録なしの場合は空欄でかまいません。全角５文字程度で入力して下さい。" sqref="U5:U21" xr:uid="{00000000-0002-0000-1600-000002000000}"/>
    <dataValidation type="whole" imeMode="off" allowBlank="1" showInputMessage="1" showErrorMessage="1" promptTitle="番号の入力！" prompt="番号は1～99の範囲で入力できます。" sqref="K4:K21" xr:uid="{00000000-0002-0000-1600-000003000000}">
      <formula1>1</formula1>
      <formula2>99</formula2>
    </dataValidation>
    <dataValidation type="list" allowBlank="1" showInputMessage="1" showErrorMessage="1" sqref="D3" xr:uid="{00000000-0002-0000-1600-000004000000}">
      <formula1>"新潟,長野,富山,石川,福井"</formula1>
    </dataValidation>
    <dataValidation type="list" imeMode="off" allowBlank="1" showInputMessage="1" showErrorMessage="1" sqref="T4:T21" xr:uid="{00000000-0002-0000-1600-000005000000}">
      <formula1>"1"</formula1>
    </dataValidation>
    <dataValidation type="list" imeMode="on" allowBlank="1" showInputMessage="1" showErrorMessage="1" promptTitle="コーチの種別！" prompt="教員、承認コーチの別を選択し、入力して下さい。" sqref="D15" xr:uid="{00000000-0002-0000-1600-000006000000}">
      <formula1>"教員,承認"</formula1>
    </dataValidation>
    <dataValidation type="textLength" imeMode="off" allowBlank="1" showInputMessage="1" showErrorMessage="1" sqref="F8:F9 D10" xr:uid="{00000000-0002-0000-1600-000007000000}">
      <formula1>4</formula1>
      <formula2>4</formula2>
    </dataValidation>
    <dataValidation type="list" imeMode="off" allowBlank="1" showInputMessage="1" showErrorMessage="1" promptTitle="ポジションの入力！" prompt="ポジションをGK,DF,MF,FWから選択し、半角大文字で入力して下さい。" sqref="L4:L21" xr:uid="{00000000-0002-0000-1600-000008000000}">
      <formula1>"GK,DF,MF,FW"</formula1>
    </dataValidation>
    <dataValidation imeMode="off" allowBlank="1" showInputMessage="1" showErrorMessage="1" sqref="D8:D9 B8:B10 R4:S21" xr:uid="{00000000-0002-0000-1600-000009000000}"/>
    <dataValidation imeMode="on" allowBlank="1" showInputMessage="1" showErrorMessage="1" promptTitle="チーム紹介の入力！" prompt="プログラム作成用に必ず入力して下さい。" sqref="N22:T24" xr:uid="{00000000-0002-0000-1600-00000A000000}"/>
    <dataValidation imeMode="off" allowBlank="1" showInputMessage="1" showErrorMessage="1" promptTitle="身長・体重の入力！" prompt="身長・体重は、半角数字で、「整数」で入力して下さい。" sqref="P4:Q21" xr:uid="{00000000-0002-0000-1600-00000B000000}"/>
    <dataValidation imeMode="on" allowBlank="1" showInputMessage="1" showErrorMessage="1" promptTitle="マネージャー氏名の入力！" prompt="教員・生徒のどちらでも登録できます。_x000a__x000a_姓と名の間には、スペースを必ず「ひとつだけ」入れて下さい。" sqref="B16:C16" xr:uid="{00000000-0002-0000-1600-00000C000000}"/>
    <dataValidation imeMode="on" allowBlank="1" showInputMessage="1" showErrorMessage="1" promptTitle="コーチ氏名の入力！" prompt="学校の教員および、承認されたコーチのみ登録できます。_x000a__x000a_姓と名の間には、スペースを必ず「ひとつだけ」入れて下さい。" sqref="B15:C15" xr:uid="{00000000-0002-0000-1600-00000D000000}"/>
    <dataValidation imeMode="on" allowBlank="1" showInputMessage="1" showErrorMessage="1" promptTitle="引率責任者氏名の入力！" prompt="引率責任者のみで登録された教員は、ベンチ入りできません。ただし、監督・コーチ・マネージャーと兼ねることはできます。_x000a__x000a_姓と名の間には、スペースを必ず「ひとつだけ」入れて下さい。" sqref="B13:C13" xr:uid="{00000000-0002-0000-1600-00000E000000}"/>
    <dataValidation imeMode="on" allowBlank="1" showInputMessage="1" showErrorMessage="1" promptTitle="監督氏名の入力！" prompt="学校の教員および校長のみが監督になれます。_x000a__x000a_姓と名の間には、スペースを必ず「ひとつだけ」入れて下さい。" sqref="B14:C14" xr:uid="{00000000-0002-0000-1600-00000F000000}"/>
    <dataValidation imeMode="on" allowBlank="1" showInputMessage="1" showErrorMessage="1" promptTitle="校長氏名の入力！" prompt="姓と名の間には、スペースを必ず「ひとつだけ」入れて下さい。" sqref="B12:C12" xr:uid="{00000000-0002-0000-1600-000010000000}"/>
    <dataValidation imeMode="on" allowBlank="1" showInputMessage="1" showErrorMessage="1" promptTitle="ソックスの色！" prompt="ソックスの色（ＦＰ正、ＦＰ副、ＧＫ正、ＧＫ副）はすべて違う色でなければなりません。" sqref="B20:I20" xr:uid="{00000000-0002-0000-1600-000011000000}"/>
    <dataValidation imeMode="on" allowBlank="1" showInputMessage="1" showErrorMessage="1" promptTitle="ショーツの色！" prompt="ショーツの色（ＦＰ正、ＦＰ副、ＧＫ正、ＧＫ副）はすべて違う色でなければなりません。" sqref="B19:I19" xr:uid="{00000000-0002-0000-1600-000012000000}"/>
    <dataValidation imeMode="on" allowBlank="1" showInputMessage="1" showErrorMessage="1" promptTitle="シャツの色！" prompt="シャツに黒、紺色は使えません。_x000a__x000a_シャツの色（ＦＰ正、ＦＰ副、ＧＫ正、ＧＫ副）はすべて違う色でなければなりません。" sqref="B18:I18" xr:uid="{00000000-0002-0000-1600-000013000000}"/>
    <dataValidation imeMode="on" allowBlank="1" showInputMessage="1" showErrorMessage="1" promptTitle="学校名（漢字）を入力！" prompt="正式名称（～立から。ただし、私立中学校は「私立」とは入力しない。）を「全角」で入力して下さい。_x000a__x000a_（最後の「中学校」は入力の必要はありません。）" sqref="B7:E7" xr:uid="{00000000-0002-0000-1600-000014000000}"/>
    <dataValidation type="list" imeMode="on" allowBlank="1" showInputMessage="1" showErrorMessage="1" promptTitle="マネージャーの種別！" prompt="教員、生徒の別を選択し、入力して下さい。" sqref="D16" xr:uid="{00000000-0002-0000-1600-000015000000}">
      <formula1>"教員,生徒"</formula1>
    </dataValidation>
    <dataValidation imeMode="on" allowBlank="1" showInputMessage="1" showErrorMessage="1" promptTitle="学校名（ひらがな）を入力！" prompt="正式名称をから「全角ひらがな」で入力して下さい。_x000a__x000a_（最後の「ちゅうがっこう」は入力はしないで下さい。）" sqref="B6:E6" xr:uid="{00000000-0002-0000-1600-000016000000}"/>
    <dataValidation imeMode="on" allowBlank="1" showInputMessage="1" showErrorMessage="1" promptTitle="学校住所！" prompt="「石川県」は入力せず、郡市名から入力して下さい。" sqref="B11:G11" xr:uid="{00000000-0002-0000-1600-000017000000}"/>
    <dataValidation imeMode="on" allowBlank="1" showInputMessage="1" showErrorMessage="1" promptTitle="選手氏名（ふりがな）の入力！" prompt="ふりがなを「全角ひらがな」で入力して下さい。_x000a_姓と名の間には、スペースを必ず「ひとつだけ」入れて下さい。" sqref="N4:N21" xr:uid="{00000000-0002-0000-1600-000018000000}"/>
    <dataValidation type="list" imeMode="on" allowBlank="1" showInputMessage="1" showErrorMessage="1" promptTitle="予選大会！" prompt="予選が行われた地区（南加賀・北加賀・能登）を選択し、入力して下さい。" sqref="B3" xr:uid="{00000000-0002-0000-1600-000019000000}">
      <formula1>"北加賀,南加賀,能登"</formula1>
    </dataValidation>
    <dataValidation imeMode="on" allowBlank="1" showInputMessage="1" showErrorMessage="1" promptTitle="氏名の入力！" prompt="姓と名の間には、スペースを必ず「ひとつだけ」入れて下さい。" sqref="M4:M21" xr:uid="{00000000-0002-0000-1600-00001A000000}"/>
    <dataValidation type="list" imeMode="off" allowBlank="1" showInputMessage="1" showErrorMessage="1" promptTitle="学年の入力！" prompt="学年を半角数字で入力して下さい。" sqref="O4:O21" xr:uid="{00000000-0002-0000-1600-00001B000000}">
      <formula1>"1,2,3"</formula1>
    </dataValidation>
    <dataValidation type="list" imeMode="off" allowBlank="1" showInputMessage="1" showErrorMessage="1" promptTitle="県体予選順位！" prompt="３位決定戦をしていない場合は２チームが「３位」に、５～８位決定戦をしていない場合は４チームが「５位」になります。" sqref="B4" xr:uid="{00000000-0002-0000-1600-00001C000000}">
      <formula1>"1,2,3,4,5,6,7,8"</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70C0"/>
  </sheetPr>
  <dimension ref="A1:AA76"/>
  <sheetViews>
    <sheetView workbookViewId="0">
      <selection activeCell="V20" sqref="V20"/>
    </sheetView>
  </sheetViews>
  <sheetFormatPr defaultColWidth="12" defaultRowHeight="14.25" x14ac:dyDescent="0.15"/>
  <cols>
    <col min="1" max="1" width="10.875" style="33" customWidth="1"/>
    <col min="2" max="2" width="7.375" style="33" customWidth="1"/>
    <col min="3" max="3" width="1.875" style="33" customWidth="1"/>
    <col min="4" max="4" width="7.375" style="33" customWidth="1"/>
    <col min="5" max="5" width="1.875" style="33" customWidth="1"/>
    <col min="6" max="6" width="7.375" style="33" customWidth="1"/>
    <col min="7" max="7" width="1.875" style="33" customWidth="1"/>
    <col min="8" max="8" width="7.375" style="33" customWidth="1"/>
    <col min="9" max="10" width="2.375" style="33" customWidth="1"/>
    <col min="11" max="12" width="5" style="33" customWidth="1"/>
    <col min="13" max="13" width="11" style="33" customWidth="1"/>
    <col min="14" max="14" width="13.875" style="33" customWidth="1"/>
    <col min="15" max="19" width="5" style="33" customWidth="1"/>
    <col min="20" max="20" width="6.625" style="33" customWidth="1"/>
    <col min="21" max="21" width="10.125" style="33" customWidth="1"/>
    <col min="22" max="16384" width="12" style="33"/>
  </cols>
  <sheetData>
    <row r="1" spans="1:27" ht="36.75" customHeight="1" x14ac:dyDescent="0.2">
      <c r="A1" s="1386" t="s">
        <v>390</v>
      </c>
      <c r="B1" s="1387"/>
      <c r="C1" s="1387"/>
      <c r="D1" s="1387"/>
      <c r="E1" s="1387"/>
      <c r="F1" s="1387"/>
      <c r="G1" s="1387"/>
      <c r="H1" s="1387"/>
      <c r="I1" s="1387"/>
      <c r="J1" s="1387"/>
      <c r="K1" s="1387"/>
      <c r="L1" s="1387"/>
      <c r="M1" s="1387"/>
      <c r="N1" s="1387"/>
      <c r="O1" s="1387"/>
      <c r="P1" s="1387"/>
      <c r="Q1" s="1387"/>
      <c r="R1" s="1387"/>
      <c r="S1" s="1387"/>
      <c r="T1" s="1387"/>
      <c r="U1" s="32"/>
      <c r="V1" s="32"/>
    </row>
    <row r="2" spans="1:27" s="35" customFormat="1" ht="28.5" customHeight="1" thickBot="1" x14ac:dyDescent="0.2">
      <c r="A2" s="34" t="s">
        <v>391</v>
      </c>
      <c r="L2" s="1388" t="str">
        <f>IF(COUNTA($T$4:$T$21)=0,"（注意） キャプテンに「１」を入力してください。","")</f>
        <v/>
      </c>
      <c r="M2" s="1389"/>
      <c r="N2" s="1389"/>
      <c r="O2" s="1389"/>
      <c r="P2" s="1389"/>
      <c r="Q2" s="1389"/>
      <c r="R2" s="1390" t="s">
        <v>392</v>
      </c>
      <c r="S2" s="1391"/>
      <c r="U2" s="55" t="s">
        <v>393</v>
      </c>
    </row>
    <row r="3" spans="1:27" s="35" customFormat="1" ht="36.75" thickBot="1" x14ac:dyDescent="0.2">
      <c r="A3" s="36" t="s">
        <v>394</v>
      </c>
      <c r="B3" s="37" t="s">
        <v>395</v>
      </c>
      <c r="C3" s="38"/>
      <c r="D3" s="39" t="s">
        <v>214</v>
      </c>
      <c r="E3" s="1392" t="s">
        <v>396</v>
      </c>
      <c r="F3" s="1393"/>
      <c r="G3" s="38"/>
      <c r="H3" s="38"/>
      <c r="I3" s="38"/>
      <c r="J3" s="38"/>
      <c r="K3" s="40" t="s">
        <v>346</v>
      </c>
      <c r="L3" s="40" t="s">
        <v>347</v>
      </c>
      <c r="M3" s="40" t="s">
        <v>397</v>
      </c>
      <c r="N3" s="40" t="s">
        <v>398</v>
      </c>
      <c r="O3" s="40" t="s">
        <v>399</v>
      </c>
      <c r="P3" s="40" t="s">
        <v>400</v>
      </c>
      <c r="Q3" s="40" t="s">
        <v>401</v>
      </c>
      <c r="R3" s="40" t="s">
        <v>402</v>
      </c>
      <c r="S3" s="40" t="s">
        <v>84</v>
      </c>
      <c r="T3" s="41" t="s">
        <v>403</v>
      </c>
      <c r="U3" s="41" t="s">
        <v>404</v>
      </c>
    </row>
    <row r="4" spans="1:27" s="35" customFormat="1" ht="15" customHeight="1" thickBot="1" x14ac:dyDescent="0.2">
      <c r="A4" s="36" t="s">
        <v>405</v>
      </c>
      <c r="B4" s="37">
        <v>2</v>
      </c>
      <c r="C4" s="1384" t="s">
        <v>406</v>
      </c>
      <c r="D4" s="1385"/>
      <c r="E4" s="1385"/>
      <c r="F4" s="1385"/>
      <c r="G4" s="1385"/>
      <c r="H4" s="1385"/>
      <c r="I4" s="1385"/>
      <c r="J4" s="42"/>
      <c r="K4" s="43">
        <v>1</v>
      </c>
      <c r="L4" s="37" t="s">
        <v>407</v>
      </c>
      <c r="M4" s="44" t="s">
        <v>627</v>
      </c>
      <c r="N4" s="44" t="s">
        <v>628</v>
      </c>
      <c r="O4" s="37">
        <v>3</v>
      </c>
      <c r="P4" s="37">
        <v>177</v>
      </c>
      <c r="Q4" s="37">
        <v>65</v>
      </c>
      <c r="R4" s="37">
        <v>2</v>
      </c>
      <c r="S4" s="37">
        <v>1</v>
      </c>
      <c r="T4" s="37"/>
      <c r="U4" s="37" t="s">
        <v>629</v>
      </c>
      <c r="V4" s="55"/>
      <c r="W4" s="55"/>
      <c r="X4" s="55"/>
      <c r="Y4" s="55"/>
      <c r="Z4" s="55"/>
      <c r="AA4" s="55"/>
    </row>
    <row r="5" spans="1:27" s="35" customFormat="1" ht="15" thickBot="1" x14ac:dyDescent="0.2">
      <c r="A5" s="36" t="s">
        <v>411</v>
      </c>
      <c r="B5" s="37"/>
      <c r="C5" s="1384" t="s">
        <v>412</v>
      </c>
      <c r="D5" s="1385"/>
      <c r="E5" s="1385"/>
      <c r="F5" s="1385"/>
      <c r="G5" s="1385"/>
      <c r="H5" s="1385"/>
      <c r="I5" s="1385"/>
      <c r="J5" s="42"/>
      <c r="K5" s="43">
        <v>2</v>
      </c>
      <c r="L5" s="37" t="s">
        <v>548</v>
      </c>
      <c r="M5" s="44" t="s">
        <v>630</v>
      </c>
      <c r="N5" s="44" t="s">
        <v>631</v>
      </c>
      <c r="O5" s="37">
        <v>3</v>
      </c>
      <c r="P5" s="37">
        <v>173</v>
      </c>
      <c r="Q5" s="37">
        <v>54</v>
      </c>
      <c r="R5" s="37">
        <v>8</v>
      </c>
      <c r="S5" s="37">
        <v>29</v>
      </c>
      <c r="T5" s="37"/>
      <c r="U5" s="37" t="s">
        <v>632</v>
      </c>
    </row>
    <row r="6" spans="1:27" s="35" customFormat="1" ht="15" thickBot="1" x14ac:dyDescent="0.2">
      <c r="A6" s="36" t="s">
        <v>417</v>
      </c>
      <c r="B6" s="1394" t="s">
        <v>633</v>
      </c>
      <c r="C6" s="1396"/>
      <c r="D6" s="1396"/>
      <c r="E6" s="1395"/>
      <c r="F6" s="1392" t="s">
        <v>419</v>
      </c>
      <c r="G6" s="1393"/>
      <c r="H6" s="1393"/>
      <c r="I6" s="1393"/>
      <c r="J6" s="45"/>
      <c r="K6" s="43">
        <v>3</v>
      </c>
      <c r="L6" s="37" t="s">
        <v>548</v>
      </c>
      <c r="M6" s="44" t="s">
        <v>634</v>
      </c>
      <c r="N6" s="44" t="s">
        <v>635</v>
      </c>
      <c r="O6" s="37">
        <v>3</v>
      </c>
      <c r="P6" s="37">
        <v>177</v>
      </c>
      <c r="Q6" s="37">
        <v>62</v>
      </c>
      <c r="R6" s="37">
        <v>4</v>
      </c>
      <c r="S6" s="37">
        <v>12</v>
      </c>
      <c r="T6" s="37">
        <v>1</v>
      </c>
      <c r="U6" s="37" t="s">
        <v>629</v>
      </c>
    </row>
    <row r="7" spans="1:27" s="35" customFormat="1" ht="15" thickBot="1" x14ac:dyDescent="0.2">
      <c r="A7" s="36" t="s">
        <v>423</v>
      </c>
      <c r="B7" s="1394" t="s">
        <v>636</v>
      </c>
      <c r="C7" s="1396"/>
      <c r="D7" s="1396"/>
      <c r="E7" s="1395"/>
      <c r="F7" s="1392" t="s">
        <v>424</v>
      </c>
      <c r="G7" s="1393"/>
      <c r="H7" s="1393"/>
      <c r="I7" s="1393"/>
      <c r="J7" s="45"/>
      <c r="K7" s="43">
        <v>4</v>
      </c>
      <c r="L7" s="37" t="s">
        <v>548</v>
      </c>
      <c r="M7" s="44" t="s">
        <v>637</v>
      </c>
      <c r="N7" s="44" t="s">
        <v>638</v>
      </c>
      <c r="O7" s="37">
        <v>3</v>
      </c>
      <c r="P7" s="37">
        <v>162</v>
      </c>
      <c r="Q7" s="37">
        <v>56</v>
      </c>
      <c r="R7" s="37">
        <v>11</v>
      </c>
      <c r="S7" s="37">
        <v>1</v>
      </c>
      <c r="T7" s="37"/>
      <c r="U7" s="37" t="s">
        <v>632</v>
      </c>
    </row>
    <row r="8" spans="1:27" s="35" customFormat="1" ht="15" thickBot="1" x14ac:dyDescent="0.2">
      <c r="A8" s="36" t="s">
        <v>428</v>
      </c>
      <c r="B8" s="46" t="s">
        <v>429</v>
      </c>
      <c r="C8" s="47" t="s">
        <v>430</v>
      </c>
      <c r="D8" s="46" t="s">
        <v>639</v>
      </c>
      <c r="E8" s="47" t="s">
        <v>430</v>
      </c>
      <c r="F8" s="46" t="s">
        <v>640</v>
      </c>
      <c r="G8" s="38"/>
      <c r="H8" s="38"/>
      <c r="I8" s="38"/>
      <c r="J8" s="38"/>
      <c r="K8" s="43">
        <v>5</v>
      </c>
      <c r="L8" s="37" t="s">
        <v>548</v>
      </c>
      <c r="M8" s="44" t="s">
        <v>641</v>
      </c>
      <c r="N8" s="44" t="s">
        <v>642</v>
      </c>
      <c r="O8" s="37">
        <v>3</v>
      </c>
      <c r="P8" s="37">
        <v>169</v>
      </c>
      <c r="Q8" s="37">
        <v>60</v>
      </c>
      <c r="R8" s="37">
        <v>2</v>
      </c>
      <c r="S8" s="37">
        <v>3</v>
      </c>
      <c r="T8" s="37"/>
      <c r="U8" s="37" t="s">
        <v>629</v>
      </c>
    </row>
    <row r="9" spans="1:27" s="35" customFormat="1" ht="15" thickBot="1" x14ac:dyDescent="0.2">
      <c r="A9" s="36" t="s">
        <v>436</v>
      </c>
      <c r="B9" s="46" t="s">
        <v>429</v>
      </c>
      <c r="C9" s="47" t="s">
        <v>430</v>
      </c>
      <c r="D9" s="46" t="s">
        <v>639</v>
      </c>
      <c r="E9" s="47" t="s">
        <v>430</v>
      </c>
      <c r="F9" s="46" t="s">
        <v>643</v>
      </c>
      <c r="G9" s="38"/>
      <c r="H9" s="38"/>
      <c r="I9" s="38"/>
      <c r="J9" s="38"/>
      <c r="K9" s="43">
        <v>6</v>
      </c>
      <c r="L9" s="37" t="s">
        <v>559</v>
      </c>
      <c r="M9" s="44" t="s">
        <v>644</v>
      </c>
      <c r="N9" s="44" t="s">
        <v>645</v>
      </c>
      <c r="O9" s="37">
        <v>3</v>
      </c>
      <c r="P9" s="37">
        <v>155</v>
      </c>
      <c r="Q9" s="37">
        <v>45</v>
      </c>
      <c r="R9" s="37">
        <v>10</v>
      </c>
      <c r="S9" s="37">
        <v>18</v>
      </c>
      <c r="T9" s="37"/>
      <c r="U9" s="37" t="s">
        <v>632</v>
      </c>
    </row>
    <row r="10" spans="1:27" s="35" customFormat="1" ht="15" thickBot="1" x14ac:dyDescent="0.2">
      <c r="A10" s="36" t="s">
        <v>441</v>
      </c>
      <c r="B10" s="46" t="s">
        <v>646</v>
      </c>
      <c r="C10" s="47" t="s">
        <v>430</v>
      </c>
      <c r="D10" s="46" t="s">
        <v>647</v>
      </c>
      <c r="E10" s="38"/>
      <c r="F10" s="38"/>
      <c r="G10" s="38"/>
      <c r="H10" s="38"/>
      <c r="I10" s="38"/>
      <c r="J10" s="38"/>
      <c r="K10" s="43">
        <v>7</v>
      </c>
      <c r="L10" s="37" t="s">
        <v>559</v>
      </c>
      <c r="M10" s="44" t="s">
        <v>648</v>
      </c>
      <c r="N10" s="44" t="s">
        <v>649</v>
      </c>
      <c r="O10" s="37">
        <v>3</v>
      </c>
      <c r="P10" s="37">
        <v>156</v>
      </c>
      <c r="Q10" s="37">
        <v>44</v>
      </c>
      <c r="R10" s="37">
        <v>3</v>
      </c>
      <c r="S10" s="37">
        <v>29</v>
      </c>
      <c r="T10" s="37"/>
      <c r="U10" s="37" t="s">
        <v>632</v>
      </c>
    </row>
    <row r="11" spans="1:27" s="35" customFormat="1" ht="15" thickBot="1" x14ac:dyDescent="0.2">
      <c r="A11" s="36" t="s">
        <v>448</v>
      </c>
      <c r="B11" s="1397" t="s">
        <v>650</v>
      </c>
      <c r="C11" s="1396"/>
      <c r="D11" s="1396"/>
      <c r="E11" s="1396"/>
      <c r="F11" s="1396"/>
      <c r="G11" s="1395"/>
      <c r="H11" s="38"/>
      <c r="I11" s="38"/>
      <c r="J11" s="38"/>
      <c r="K11" s="43">
        <v>8</v>
      </c>
      <c r="L11" s="37" t="s">
        <v>559</v>
      </c>
      <c r="M11" s="44" t="s">
        <v>651</v>
      </c>
      <c r="N11" s="44" t="s">
        <v>652</v>
      </c>
      <c r="O11" s="37">
        <v>3</v>
      </c>
      <c r="P11" s="37">
        <v>163</v>
      </c>
      <c r="Q11" s="37">
        <v>54</v>
      </c>
      <c r="R11" s="37">
        <v>7</v>
      </c>
      <c r="S11" s="37">
        <v>16</v>
      </c>
      <c r="T11" s="37"/>
      <c r="U11" s="37" t="s">
        <v>653</v>
      </c>
    </row>
    <row r="12" spans="1:27" s="35" customFormat="1" ht="15" thickBot="1" x14ac:dyDescent="0.2">
      <c r="A12" s="36" t="s">
        <v>453</v>
      </c>
      <c r="B12" s="1394" t="s">
        <v>654</v>
      </c>
      <c r="C12" s="1395"/>
      <c r="D12" s="38"/>
      <c r="E12" s="38"/>
      <c r="F12" s="38"/>
      <c r="G12" s="38"/>
      <c r="H12" s="38"/>
      <c r="I12" s="38"/>
      <c r="J12" s="38"/>
      <c r="K12" s="43">
        <v>9</v>
      </c>
      <c r="L12" s="37" t="s">
        <v>559</v>
      </c>
      <c r="M12" s="44" t="s">
        <v>655</v>
      </c>
      <c r="N12" s="44" t="s">
        <v>656</v>
      </c>
      <c r="O12" s="37">
        <v>3</v>
      </c>
      <c r="P12" s="37">
        <v>157</v>
      </c>
      <c r="Q12" s="37">
        <v>46</v>
      </c>
      <c r="R12" s="37">
        <v>5</v>
      </c>
      <c r="S12" s="37">
        <v>1</v>
      </c>
      <c r="T12" s="37"/>
      <c r="U12" s="37" t="s">
        <v>629</v>
      </c>
    </row>
    <row r="13" spans="1:27" s="35" customFormat="1" ht="15" customHeight="1" thickBot="1" x14ac:dyDescent="0.2">
      <c r="A13" s="36" t="s">
        <v>459</v>
      </c>
      <c r="B13" s="1394" t="s">
        <v>657</v>
      </c>
      <c r="C13" s="1395"/>
      <c r="D13" s="1398" t="str">
        <f>IF(OR(B13=B14,B13=B15,B13=B16),"","（注意）ベンチ入りできません。")</f>
        <v/>
      </c>
      <c r="E13" s="1399"/>
      <c r="F13" s="1399"/>
      <c r="G13" s="1399"/>
      <c r="H13" s="1399"/>
      <c r="I13" s="1399"/>
      <c r="J13" s="38"/>
      <c r="K13" s="43">
        <v>10</v>
      </c>
      <c r="L13" s="37" t="s">
        <v>559</v>
      </c>
      <c r="M13" s="44" t="s">
        <v>658</v>
      </c>
      <c r="N13" s="44" t="s">
        <v>659</v>
      </c>
      <c r="O13" s="37">
        <v>3</v>
      </c>
      <c r="P13" s="37">
        <v>169</v>
      </c>
      <c r="Q13" s="37">
        <v>60</v>
      </c>
      <c r="R13" s="37">
        <v>2</v>
      </c>
      <c r="S13" s="37">
        <v>22</v>
      </c>
      <c r="T13" s="37"/>
      <c r="U13" s="37" t="s">
        <v>660</v>
      </c>
    </row>
    <row r="14" spans="1:27" s="35" customFormat="1" ht="15" thickBot="1" x14ac:dyDescent="0.2">
      <c r="A14" s="36" t="s">
        <v>463</v>
      </c>
      <c r="B14" s="1394" t="s">
        <v>657</v>
      </c>
      <c r="C14" s="1395"/>
      <c r="D14" s="49"/>
      <c r="E14" s="50"/>
      <c r="F14" s="50"/>
      <c r="G14" s="50"/>
      <c r="H14" s="50"/>
      <c r="I14" s="38"/>
      <c r="J14" s="38"/>
      <c r="K14" s="43">
        <v>11</v>
      </c>
      <c r="L14" s="37" t="s">
        <v>599</v>
      </c>
      <c r="M14" s="44" t="s">
        <v>661</v>
      </c>
      <c r="N14" s="44" t="s">
        <v>662</v>
      </c>
      <c r="O14" s="37">
        <v>3</v>
      </c>
      <c r="P14" s="37">
        <v>166</v>
      </c>
      <c r="Q14" s="37">
        <v>48</v>
      </c>
      <c r="R14" s="37">
        <v>5</v>
      </c>
      <c r="S14" s="37">
        <v>28</v>
      </c>
      <c r="T14" s="37"/>
      <c r="U14" s="37" t="s">
        <v>632</v>
      </c>
    </row>
    <row r="15" spans="1:27" s="35" customFormat="1" ht="15" thickBot="1" x14ac:dyDescent="0.2">
      <c r="A15" s="36" t="s">
        <v>467</v>
      </c>
      <c r="B15" s="1394" t="s">
        <v>663</v>
      </c>
      <c r="C15" s="1395"/>
      <c r="D15" s="37" t="s">
        <v>476</v>
      </c>
      <c r="E15" s="1392" t="s">
        <v>470</v>
      </c>
      <c r="F15" s="1393"/>
      <c r="G15" s="1393"/>
      <c r="H15" s="1393"/>
      <c r="I15" s="1393"/>
      <c r="J15" s="45"/>
      <c r="K15" s="43">
        <v>12</v>
      </c>
      <c r="L15" s="37" t="s">
        <v>559</v>
      </c>
      <c r="M15" s="44" t="s">
        <v>664</v>
      </c>
      <c r="N15" s="44" t="s">
        <v>665</v>
      </c>
      <c r="O15" s="37">
        <v>3</v>
      </c>
      <c r="P15" s="37">
        <v>146</v>
      </c>
      <c r="Q15" s="37">
        <v>40</v>
      </c>
      <c r="R15" s="37">
        <v>7</v>
      </c>
      <c r="S15" s="37">
        <v>30</v>
      </c>
      <c r="T15" s="37"/>
      <c r="U15" s="37" t="s">
        <v>629</v>
      </c>
    </row>
    <row r="16" spans="1:27" s="35" customFormat="1" ht="15" thickBot="1" x14ac:dyDescent="0.2">
      <c r="A16" s="36" t="s">
        <v>474</v>
      </c>
      <c r="B16" s="1394"/>
      <c r="C16" s="1395"/>
      <c r="D16" s="37"/>
      <c r="E16" s="1392" t="s">
        <v>477</v>
      </c>
      <c r="F16" s="1393"/>
      <c r="G16" s="1393"/>
      <c r="H16" s="1393"/>
      <c r="I16" s="1393"/>
      <c r="J16" s="45"/>
      <c r="K16" s="43">
        <v>13</v>
      </c>
      <c r="L16" s="37" t="s">
        <v>599</v>
      </c>
      <c r="M16" s="44" t="s">
        <v>666</v>
      </c>
      <c r="N16" s="44" t="s">
        <v>667</v>
      </c>
      <c r="O16" s="37">
        <v>3</v>
      </c>
      <c r="P16" s="37">
        <v>163</v>
      </c>
      <c r="Q16" s="37">
        <v>47</v>
      </c>
      <c r="R16" s="37">
        <v>12</v>
      </c>
      <c r="S16" s="37">
        <v>5</v>
      </c>
      <c r="T16" s="37"/>
      <c r="U16" s="37" t="s">
        <v>629</v>
      </c>
    </row>
    <row r="17" spans="1:21" s="35" customFormat="1" ht="15" thickBot="1" x14ac:dyDescent="0.2">
      <c r="A17" s="38"/>
      <c r="B17" s="1400" t="s">
        <v>480</v>
      </c>
      <c r="C17" s="1396"/>
      <c r="D17" s="1401" t="s">
        <v>481</v>
      </c>
      <c r="E17" s="1402"/>
      <c r="F17" s="1401" t="s">
        <v>482</v>
      </c>
      <c r="G17" s="1402"/>
      <c r="H17" s="1401" t="s">
        <v>483</v>
      </c>
      <c r="I17" s="1402"/>
      <c r="J17" s="45"/>
      <c r="K17" s="43">
        <v>14</v>
      </c>
      <c r="L17" s="37" t="s">
        <v>559</v>
      </c>
      <c r="M17" s="44" t="s">
        <v>668</v>
      </c>
      <c r="N17" s="44" t="s">
        <v>669</v>
      </c>
      <c r="O17" s="37">
        <v>3</v>
      </c>
      <c r="P17" s="37">
        <v>165</v>
      </c>
      <c r="Q17" s="37">
        <v>54</v>
      </c>
      <c r="R17" s="37">
        <v>11</v>
      </c>
      <c r="S17" s="37">
        <v>13</v>
      </c>
      <c r="T17" s="37"/>
      <c r="U17" s="37" t="s">
        <v>660</v>
      </c>
    </row>
    <row r="18" spans="1:21" s="35" customFormat="1" ht="15" thickBot="1" x14ac:dyDescent="0.2">
      <c r="A18" s="36" t="s">
        <v>487</v>
      </c>
      <c r="B18" s="1394" t="s">
        <v>557</v>
      </c>
      <c r="C18" s="1395"/>
      <c r="D18" s="1394" t="s">
        <v>489</v>
      </c>
      <c r="E18" s="1395"/>
      <c r="F18" s="1394" t="s">
        <v>670</v>
      </c>
      <c r="G18" s="1395"/>
      <c r="H18" s="1394" t="s">
        <v>488</v>
      </c>
      <c r="I18" s="1395"/>
      <c r="J18" s="51"/>
      <c r="K18" s="43">
        <v>15</v>
      </c>
      <c r="L18" s="37" t="s">
        <v>548</v>
      </c>
      <c r="M18" s="44" t="s">
        <v>671</v>
      </c>
      <c r="N18" s="44" t="s">
        <v>672</v>
      </c>
      <c r="O18" s="37">
        <v>3</v>
      </c>
      <c r="P18" s="37">
        <v>166</v>
      </c>
      <c r="Q18" s="37">
        <v>48</v>
      </c>
      <c r="R18" s="37">
        <v>8</v>
      </c>
      <c r="S18" s="37">
        <v>6</v>
      </c>
      <c r="T18" s="37"/>
      <c r="U18" s="37" t="s">
        <v>660</v>
      </c>
    </row>
    <row r="19" spans="1:21" s="35" customFormat="1" ht="15" thickBot="1" x14ac:dyDescent="0.2">
      <c r="A19" s="36" t="s">
        <v>495</v>
      </c>
      <c r="B19" s="1394" t="s">
        <v>557</v>
      </c>
      <c r="C19" s="1395"/>
      <c r="D19" s="1394" t="s">
        <v>489</v>
      </c>
      <c r="E19" s="1395"/>
      <c r="F19" s="1394" t="s">
        <v>670</v>
      </c>
      <c r="G19" s="1395"/>
      <c r="H19" s="1394" t="s">
        <v>488</v>
      </c>
      <c r="I19" s="1395"/>
      <c r="J19" s="51"/>
      <c r="K19" s="43">
        <v>16</v>
      </c>
      <c r="L19" s="37" t="s">
        <v>567</v>
      </c>
      <c r="M19" s="44" t="s">
        <v>673</v>
      </c>
      <c r="N19" s="44" t="s">
        <v>674</v>
      </c>
      <c r="O19" s="37">
        <v>2</v>
      </c>
      <c r="P19" s="37">
        <v>166</v>
      </c>
      <c r="Q19" s="37">
        <v>53</v>
      </c>
      <c r="R19" s="37">
        <v>5</v>
      </c>
      <c r="S19" s="37">
        <v>5</v>
      </c>
      <c r="T19" s="37"/>
      <c r="U19" s="37" t="s">
        <v>632</v>
      </c>
    </row>
    <row r="20" spans="1:21" s="35" customFormat="1" ht="15" thickBot="1" x14ac:dyDescent="0.2">
      <c r="A20" s="36" t="s">
        <v>500</v>
      </c>
      <c r="B20" s="1394" t="s">
        <v>557</v>
      </c>
      <c r="C20" s="1395"/>
      <c r="D20" s="1394" t="s">
        <v>489</v>
      </c>
      <c r="E20" s="1395"/>
      <c r="F20" s="1394" t="s">
        <v>670</v>
      </c>
      <c r="G20" s="1395"/>
      <c r="H20" s="1394" t="s">
        <v>488</v>
      </c>
      <c r="I20" s="1395"/>
      <c r="J20" s="51"/>
      <c r="K20" s="43">
        <v>17</v>
      </c>
      <c r="L20" s="37" t="s">
        <v>548</v>
      </c>
      <c r="M20" s="44" t="s">
        <v>675</v>
      </c>
      <c r="N20" s="44" t="s">
        <v>676</v>
      </c>
      <c r="O20" s="37">
        <v>3</v>
      </c>
      <c r="P20" s="37">
        <v>170</v>
      </c>
      <c r="Q20" s="37">
        <v>52</v>
      </c>
      <c r="R20" s="37">
        <v>1</v>
      </c>
      <c r="S20" s="37">
        <v>23</v>
      </c>
      <c r="T20" s="37"/>
      <c r="U20" s="37" t="s">
        <v>629</v>
      </c>
    </row>
    <row r="21" spans="1:21" s="35" customFormat="1" ht="15" thickBot="1" x14ac:dyDescent="0.2">
      <c r="B21" s="52" t="str">
        <f>IF(AND(COUNTIF($B$18:$I$18,"黒")=0,COUNTIF($B$18:$I$18,"黒色")=0,COUNTIF($B$18:$I$18,"紺")=0,COUNTIF($B$18:$I$18,"紺色")=0,COUNTIF($B$18:$I$18,"ネイビー")=0),"","（注意） シャツに黒・紺色は使えません。")</f>
        <v/>
      </c>
      <c r="K21" s="43">
        <v>18</v>
      </c>
      <c r="L21" s="37" t="s">
        <v>548</v>
      </c>
      <c r="M21" s="44" t="s">
        <v>677</v>
      </c>
      <c r="N21" s="44" t="s">
        <v>678</v>
      </c>
      <c r="O21" s="37">
        <v>3</v>
      </c>
      <c r="P21" s="37">
        <v>163</v>
      </c>
      <c r="Q21" s="37">
        <v>49</v>
      </c>
      <c r="R21" s="37">
        <v>4</v>
      </c>
      <c r="S21" s="37">
        <v>23</v>
      </c>
      <c r="T21" s="37"/>
      <c r="U21" s="37" t="s">
        <v>660</v>
      </c>
    </row>
    <row r="22" spans="1:21" s="35" customFormat="1" ht="12" x14ac:dyDescent="0.15">
      <c r="B22" s="1403" t="str">
        <f>IF(AND(B18&lt;&gt;D18,B18&lt;&gt;F18,B18&lt;&gt;H18,D18&lt;&gt;F18,D18&lt;&gt;H18,F18&lt;&gt;H18)=TRUE,"","（注意） "&amp;A18&amp;"が重複しています。")</f>
        <v/>
      </c>
      <c r="C22" s="1404"/>
      <c r="D22" s="1404"/>
      <c r="E22" s="1404"/>
      <c r="F22" s="1404"/>
      <c r="G22" s="1404"/>
      <c r="H22" s="1404"/>
      <c r="I22" s="1404"/>
      <c r="J22" s="54"/>
      <c r="K22" s="1405" t="s">
        <v>506</v>
      </c>
      <c r="L22" s="1406"/>
      <c r="M22" s="1407"/>
      <c r="N22" s="1408" t="s">
        <v>679</v>
      </c>
      <c r="O22" s="1409"/>
      <c r="P22" s="1409"/>
      <c r="Q22" s="1409"/>
      <c r="R22" s="1409"/>
      <c r="S22" s="1409"/>
      <c r="T22" s="1410"/>
    </row>
    <row r="23" spans="1:21" s="35" customFormat="1" ht="12" x14ac:dyDescent="0.15">
      <c r="B23" s="1403" t="str">
        <f>IF(AND(B19&lt;&gt;D19,B19&lt;&gt;F19,B19&lt;&gt;H19,D19&lt;&gt;F19,D19&lt;&gt;H19,F19&lt;&gt;H19)=TRUE,"","（注意） "&amp;A19&amp;"が重複しています。")</f>
        <v/>
      </c>
      <c r="C23" s="1404"/>
      <c r="D23" s="1404"/>
      <c r="E23" s="1404"/>
      <c r="F23" s="1404"/>
      <c r="G23" s="1404"/>
      <c r="H23" s="1404"/>
      <c r="I23" s="1404"/>
      <c r="J23" s="54"/>
      <c r="K23" s="1406"/>
      <c r="L23" s="1406"/>
      <c r="M23" s="1407"/>
      <c r="N23" s="1411"/>
      <c r="O23" s="1412"/>
      <c r="P23" s="1412"/>
      <c r="Q23" s="1412"/>
      <c r="R23" s="1412"/>
      <c r="S23" s="1412"/>
      <c r="T23" s="1413"/>
    </row>
    <row r="24" spans="1:21" s="35" customFormat="1" ht="52.5" customHeight="1" thickBot="1" x14ac:dyDescent="0.2">
      <c r="B24" s="1417" t="str">
        <f>IF(AND(B20&lt;&gt;D20,B20&lt;&gt;F20,B20&lt;&gt;H20,D20&lt;&gt;F20,D20&lt;&gt;H20,F20&lt;&gt;H20)=TRUE,"","（注意） "&amp;A20&amp;"が重複しています。")</f>
        <v/>
      </c>
      <c r="C24" s="1418"/>
      <c r="D24" s="1418"/>
      <c r="E24" s="1418"/>
      <c r="F24" s="1418"/>
      <c r="G24" s="1418"/>
      <c r="H24" s="1418"/>
      <c r="I24" s="1418"/>
      <c r="J24" s="54"/>
      <c r="K24" s="1419" t="str">
        <f>IF(N22="","必ず、記入して下さい。","")</f>
        <v/>
      </c>
      <c r="L24" s="1419"/>
      <c r="M24" s="1420"/>
      <c r="N24" s="1414"/>
      <c r="O24" s="1415"/>
      <c r="P24" s="1415"/>
      <c r="Q24" s="1415"/>
      <c r="R24" s="1415"/>
      <c r="S24" s="1415"/>
      <c r="T24" s="1416"/>
    </row>
    <row r="25" spans="1:21" s="35" customFormat="1" ht="14.25" customHeight="1" x14ac:dyDescent="0.15"/>
    <row r="26" spans="1:21" s="35" customFormat="1" ht="14.25" customHeight="1" x14ac:dyDescent="0.15">
      <c r="K26" s="33"/>
      <c r="L26" s="33"/>
      <c r="M26" s="33"/>
      <c r="N26" s="33"/>
      <c r="O26" s="33"/>
      <c r="P26" s="33"/>
      <c r="Q26" s="33"/>
      <c r="R26" s="33"/>
    </row>
    <row r="27" spans="1:21" s="35" customFormat="1" ht="14.25" customHeight="1" x14ac:dyDescent="0.15">
      <c r="K27" s="33"/>
      <c r="L27" s="33"/>
      <c r="M27" s="33"/>
      <c r="N27" s="33"/>
      <c r="O27" s="33"/>
      <c r="P27" s="33"/>
      <c r="Q27" s="33"/>
      <c r="R27" s="33"/>
    </row>
    <row r="28" spans="1:21" s="35" customFormat="1" ht="14.25" customHeight="1" x14ac:dyDescent="0.15">
      <c r="K28" s="33"/>
      <c r="L28" s="33"/>
      <c r="M28" s="33"/>
      <c r="N28" s="33"/>
      <c r="O28" s="33"/>
      <c r="P28" s="33"/>
      <c r="Q28" s="33"/>
      <c r="R28" s="33"/>
    </row>
    <row r="29" spans="1:21" ht="14.25" customHeight="1" x14ac:dyDescent="0.15"/>
    <row r="30" spans="1:21" x14ac:dyDescent="0.15">
      <c r="B30" s="53"/>
    </row>
    <row r="31" spans="1:21" x14ac:dyDescent="0.15">
      <c r="B31" s="53"/>
    </row>
    <row r="32" spans="1:21" x14ac:dyDescent="0.15">
      <c r="B32" s="53"/>
    </row>
    <row r="33" spans="2:2" x14ac:dyDescent="0.15">
      <c r="B33" s="53"/>
    </row>
    <row r="34" spans="2:2" x14ac:dyDescent="0.15">
      <c r="B34" s="53"/>
    </row>
    <row r="35" spans="2:2" x14ac:dyDescent="0.15">
      <c r="B35" s="53"/>
    </row>
    <row r="36" spans="2:2" x14ac:dyDescent="0.15">
      <c r="B36" s="53"/>
    </row>
    <row r="37" spans="2:2" x14ac:dyDescent="0.15">
      <c r="B37" s="53"/>
    </row>
    <row r="38" spans="2:2" x14ac:dyDescent="0.15">
      <c r="B38" s="53"/>
    </row>
    <row r="39" spans="2:2" x14ac:dyDescent="0.15">
      <c r="B39" s="53"/>
    </row>
    <row r="40" spans="2:2" x14ac:dyDescent="0.15">
      <c r="B40" s="53"/>
    </row>
    <row r="41" spans="2:2" x14ac:dyDescent="0.15">
      <c r="B41" s="53"/>
    </row>
    <row r="42" spans="2:2" x14ac:dyDescent="0.15">
      <c r="B42" s="53"/>
    </row>
    <row r="43" spans="2:2" x14ac:dyDescent="0.15">
      <c r="B43" s="53"/>
    </row>
    <row r="44" spans="2:2" x14ac:dyDescent="0.15">
      <c r="B44" s="53"/>
    </row>
    <row r="45" spans="2:2" x14ac:dyDescent="0.15">
      <c r="B45" s="53"/>
    </row>
    <row r="46" spans="2:2" x14ac:dyDescent="0.15">
      <c r="B46" s="53"/>
    </row>
    <row r="47" spans="2:2" x14ac:dyDescent="0.15">
      <c r="B47" s="53"/>
    </row>
    <row r="48" spans="2:2" x14ac:dyDescent="0.15">
      <c r="B48" s="53"/>
    </row>
    <row r="49" spans="2:2" x14ac:dyDescent="0.15">
      <c r="B49" s="53"/>
    </row>
    <row r="50" spans="2:2" x14ac:dyDescent="0.15">
      <c r="B50" s="53"/>
    </row>
    <row r="51" spans="2:2" x14ac:dyDescent="0.15">
      <c r="B51" s="53"/>
    </row>
    <row r="52" spans="2:2" x14ac:dyDescent="0.15">
      <c r="B52" s="53"/>
    </row>
    <row r="53" spans="2:2" x14ac:dyDescent="0.15">
      <c r="B53" s="53"/>
    </row>
    <row r="54" spans="2:2" x14ac:dyDescent="0.15">
      <c r="B54" s="53"/>
    </row>
    <row r="55" spans="2:2" x14ac:dyDescent="0.15">
      <c r="B55" s="53"/>
    </row>
    <row r="56" spans="2:2" x14ac:dyDescent="0.15">
      <c r="B56" s="53"/>
    </row>
    <row r="57" spans="2:2" x14ac:dyDescent="0.15">
      <c r="B57" s="53"/>
    </row>
    <row r="58" spans="2:2" x14ac:dyDescent="0.15">
      <c r="B58" s="53"/>
    </row>
    <row r="59" spans="2:2" x14ac:dyDescent="0.15">
      <c r="B59" s="53"/>
    </row>
    <row r="60" spans="2:2" x14ac:dyDescent="0.15">
      <c r="B60" s="53"/>
    </row>
    <row r="61" spans="2:2" x14ac:dyDescent="0.15">
      <c r="B61" s="53"/>
    </row>
    <row r="62" spans="2:2" x14ac:dyDescent="0.15">
      <c r="B62" s="53"/>
    </row>
    <row r="63" spans="2:2" x14ac:dyDescent="0.15">
      <c r="B63" s="53"/>
    </row>
    <row r="64" spans="2:2" x14ac:dyDescent="0.15">
      <c r="B64" s="53"/>
    </row>
    <row r="65" spans="2:2" x14ac:dyDescent="0.15">
      <c r="B65" s="53"/>
    </row>
    <row r="66" spans="2:2" x14ac:dyDescent="0.15">
      <c r="B66" s="53"/>
    </row>
    <row r="67" spans="2:2" x14ac:dyDescent="0.15">
      <c r="B67" s="53"/>
    </row>
    <row r="68" spans="2:2" x14ac:dyDescent="0.15">
      <c r="B68" s="53"/>
    </row>
    <row r="69" spans="2:2" x14ac:dyDescent="0.15">
      <c r="B69" s="53"/>
    </row>
    <row r="70" spans="2:2" x14ac:dyDescent="0.15">
      <c r="B70" s="53"/>
    </row>
    <row r="71" spans="2:2" x14ac:dyDescent="0.15">
      <c r="B71" s="53"/>
    </row>
    <row r="72" spans="2:2" x14ac:dyDescent="0.15">
      <c r="B72" s="53"/>
    </row>
    <row r="73" spans="2:2" x14ac:dyDescent="0.15">
      <c r="B73" s="53"/>
    </row>
    <row r="74" spans="2:2" x14ac:dyDescent="0.15">
      <c r="B74" s="53"/>
    </row>
    <row r="75" spans="2:2" x14ac:dyDescent="0.15">
      <c r="B75" s="53"/>
    </row>
    <row r="76" spans="2:2" x14ac:dyDescent="0.15">
      <c r="B76" s="53"/>
    </row>
  </sheetData>
  <mergeCells count="41">
    <mergeCell ref="B22:I22"/>
    <mergeCell ref="K22:M23"/>
    <mergeCell ref="N22:T24"/>
    <mergeCell ref="B23:I23"/>
    <mergeCell ref="B24:I24"/>
    <mergeCell ref="K24:M24"/>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6:C16"/>
    <mergeCell ref="E16:I16"/>
    <mergeCell ref="B6:E6"/>
    <mergeCell ref="F6:I6"/>
    <mergeCell ref="B7:E7"/>
    <mergeCell ref="F7:I7"/>
    <mergeCell ref="B11:G11"/>
    <mergeCell ref="B12:C12"/>
    <mergeCell ref="B13:C13"/>
    <mergeCell ref="D13:I13"/>
    <mergeCell ref="B14:C14"/>
    <mergeCell ref="B15:C15"/>
    <mergeCell ref="E15:I15"/>
    <mergeCell ref="C5:I5"/>
    <mergeCell ref="A1:T1"/>
    <mergeCell ref="L2:Q2"/>
    <mergeCell ref="R2:S2"/>
    <mergeCell ref="E3:F3"/>
    <mergeCell ref="C4:I4"/>
  </mergeCells>
  <phoneticPr fontId="2"/>
  <dataValidations count="29">
    <dataValidation type="list" imeMode="on" allowBlank="1" showInputMessage="1" showErrorMessage="1" promptTitle="マネージャーの種別！" prompt="教員、生徒の別を選択し、入力して下さい。" sqref="D16" xr:uid="{00000000-0002-0000-1700-000000000000}">
      <formula1>"教員,生徒"</formula1>
    </dataValidation>
    <dataValidation imeMode="hiragana" operator="lessThanOrEqual" allowBlank="1" showInputMessage="1" showErrorMessage="1" promptTitle="出身少年団" prompt="4種の時の出身少年団を入力して下さい。登録なしの場合は空欄でかまいません。全角５文字程度で入力して下さい。" sqref="U4 U8 U12 U15:U16 U20" xr:uid="{00000000-0002-0000-1700-000001000000}"/>
    <dataValidation type="list" imeMode="off" allowBlank="1" showErrorMessage="1" promptTitle="県体順位！" sqref="B5" xr:uid="{00000000-0002-0000-1700-000002000000}">
      <formula1>"1,2,3"</formula1>
    </dataValidation>
    <dataValidation imeMode="hiragana" allowBlank="1" showInputMessage="1" showErrorMessage="1" promptTitle="出身少年団" prompt="4種の時の出身少年団を入力して下さい。登録なしの場合は空欄でかまいません。全角５文字程度で入力して下さい。" sqref="U5:U7 U21 U9:U11 U13:U14 U17:U19" xr:uid="{00000000-0002-0000-1700-000003000000}"/>
    <dataValidation type="whole" imeMode="off" allowBlank="1" showInputMessage="1" showErrorMessage="1" promptTitle="番号の入力！" prompt="番号は1～99の範囲で入力できます。" sqref="K4:K21" xr:uid="{00000000-0002-0000-1700-000004000000}">
      <formula1>1</formula1>
      <formula2>99</formula2>
    </dataValidation>
    <dataValidation type="list" allowBlank="1" showInputMessage="1" showErrorMessage="1" sqref="D3" xr:uid="{00000000-0002-0000-1700-000005000000}">
      <formula1>"新潟,長野,富山,石川,福井"</formula1>
    </dataValidation>
    <dataValidation type="list" imeMode="off" allowBlank="1" showInputMessage="1" showErrorMessage="1" sqref="T4:T21" xr:uid="{00000000-0002-0000-1700-000006000000}">
      <formula1>"1"</formula1>
    </dataValidation>
    <dataValidation type="list" imeMode="on" allowBlank="1" showInputMessage="1" showErrorMessage="1" promptTitle="コーチの種別！" prompt="教員、承認コーチの別を選択し、入力して下さい。" sqref="D15" xr:uid="{00000000-0002-0000-1700-000007000000}">
      <formula1>"教員,承認"</formula1>
    </dataValidation>
    <dataValidation type="textLength" imeMode="off" allowBlank="1" showInputMessage="1" showErrorMessage="1" sqref="F8:F9 D10" xr:uid="{00000000-0002-0000-1700-000008000000}">
      <formula1>4</formula1>
      <formula2>4</formula2>
    </dataValidation>
    <dataValidation type="list" imeMode="off" allowBlank="1" showInputMessage="1" showErrorMessage="1" promptTitle="ポジションの入力！" prompt="ポジションをGK,DF,MF,FWから選択し、半角大文字で入力して下さい。" sqref="L4:L21" xr:uid="{00000000-0002-0000-1700-000009000000}">
      <formula1>"GK,DF,MF,FW"</formula1>
    </dataValidation>
    <dataValidation imeMode="off" allowBlank="1" showInputMessage="1" showErrorMessage="1" sqref="D8:D9 B8:B10 R4:S21" xr:uid="{00000000-0002-0000-1700-00000A000000}"/>
    <dataValidation imeMode="on" allowBlank="1" showInputMessage="1" showErrorMessage="1" promptTitle="チーム紹介の入力！" prompt="プログラム作成用に必ず入力して下さい。" sqref="N22:T24" xr:uid="{00000000-0002-0000-1700-00000B000000}"/>
    <dataValidation imeMode="off" allowBlank="1" showInputMessage="1" showErrorMessage="1" promptTitle="身長・体重の入力！" prompt="身長・体重は、半角数字で、「整数」で入力して下さい。" sqref="P4:Q21" xr:uid="{00000000-0002-0000-1700-00000C000000}"/>
    <dataValidation imeMode="on" allowBlank="1" showInputMessage="1" showErrorMessage="1" promptTitle="マネージャー氏名の入力！" prompt="教員・生徒のどちらでも登録できます。_x000a__x000a_姓と名の間には、スペースを必ず「ひとつだけ」入れて下さい。" sqref="B16:C16" xr:uid="{00000000-0002-0000-1700-00000D000000}"/>
    <dataValidation imeMode="on" allowBlank="1" showInputMessage="1" showErrorMessage="1" promptTitle="コーチ氏名の入力！" prompt="学校の教員および、承認されたコーチのみ登録できます。_x000a__x000a_姓と名の間には、スペースを必ず「ひとつだけ」入れて下さい。" sqref="B15:C15" xr:uid="{00000000-0002-0000-1700-00000E000000}"/>
    <dataValidation imeMode="on" allowBlank="1" showInputMessage="1" showErrorMessage="1" promptTitle="引率責任者氏名の入力！" prompt="引率責任者のみで登録された教員は、ベンチ入りできません。ただし、監督・コーチ・マネージャーと兼ねることはできます。_x000a__x000a_姓と名の間には、スペースを必ず「ひとつだけ」入れて下さい。" sqref="B13:C13" xr:uid="{00000000-0002-0000-1700-00000F000000}"/>
    <dataValidation imeMode="on" allowBlank="1" showInputMessage="1" showErrorMessage="1" promptTitle="監督氏名の入力！" prompt="学校の教員および校長のみが監督になれます。_x000a__x000a_姓と名の間には、スペースを必ず「ひとつだけ」入れて下さい。" sqref="B14:C14" xr:uid="{00000000-0002-0000-1700-000010000000}"/>
    <dataValidation imeMode="on" allowBlank="1" showInputMessage="1" showErrorMessage="1" promptTitle="校長氏名の入力！" prompt="姓と名の間には、スペースを必ず「ひとつだけ」入れて下さい。" sqref="B12:C12" xr:uid="{00000000-0002-0000-1700-000011000000}"/>
    <dataValidation imeMode="on" allowBlank="1" showInputMessage="1" showErrorMessage="1" promptTitle="ソックスの色！" prompt="ソックスの色（ＦＰ正、ＦＰ副、ＧＫ正、ＧＫ副）はすべて違う色でなければなりません。" sqref="B20:I20" xr:uid="{00000000-0002-0000-1700-000012000000}"/>
    <dataValidation imeMode="on" allowBlank="1" showInputMessage="1" showErrorMessage="1" promptTitle="ショーツの色！" prompt="ショーツの色（ＦＰ正、ＦＰ副、ＧＫ正、ＧＫ副）はすべて違う色でなければなりません。" sqref="B19:I19" xr:uid="{00000000-0002-0000-1700-000013000000}"/>
    <dataValidation imeMode="on" allowBlank="1" showInputMessage="1" showErrorMessage="1" promptTitle="シャツの色！" prompt="シャツに黒、紺色は使えません。_x000a__x000a_シャツの色（ＦＰ正、ＦＰ副、ＧＫ正、ＧＫ副）はすべて違う色でなければなりません。" sqref="B18:I18" xr:uid="{00000000-0002-0000-1700-000014000000}"/>
    <dataValidation imeMode="on" allowBlank="1" showInputMessage="1" showErrorMessage="1" promptTitle="学校名（漢字）を入力！" prompt="正式名称（～立から。ただし、私立中学校は「私立」とは入力しない。）を「全角」で入力して下さい。_x000a__x000a_（最後の「中学校」は入力の必要はありません。）" sqref="B7:E7" xr:uid="{00000000-0002-0000-1700-000015000000}"/>
    <dataValidation imeMode="on" allowBlank="1" showInputMessage="1" showErrorMessage="1" promptTitle="学校名（ひらがな）を入力！" prompt="正式名称をから「全角ひらがな」で入力して下さい。_x000a__x000a_（最後の「ちゅうがっこう」は入力はしないで下さい。）" sqref="B6:E6" xr:uid="{00000000-0002-0000-1700-000016000000}"/>
    <dataValidation imeMode="on" allowBlank="1" showInputMessage="1" showErrorMessage="1" promptTitle="学校住所！" prompt="「石川県」は入力せず、郡市名から入力して下さい。" sqref="B11:G11" xr:uid="{00000000-0002-0000-1700-000017000000}"/>
    <dataValidation imeMode="on" allowBlank="1" showInputMessage="1" showErrorMessage="1" promptTitle="選手氏名（ふりがな）の入力！" prompt="ふりがなを「全角ひらがな」で入力して下さい。_x000a_姓と名の間には、スペースを必ず「ひとつだけ」入れて下さい。" sqref="N4:N21" xr:uid="{00000000-0002-0000-1700-000018000000}"/>
    <dataValidation type="list" imeMode="on" allowBlank="1" showInputMessage="1" showErrorMessage="1" promptTitle="予選大会！" prompt="予選が行われた地区（南加賀・北加賀・能登）を選択し、入力して下さい。" sqref="B3" xr:uid="{00000000-0002-0000-1700-000019000000}">
      <formula1>"北加賀,南加賀,能登"</formula1>
    </dataValidation>
    <dataValidation imeMode="on" allowBlank="1" showInputMessage="1" showErrorMessage="1" promptTitle="氏名の入力！" prompt="姓と名の間には、スペースを必ず「ひとつだけ」入れて下さい。" sqref="M4:M21" xr:uid="{00000000-0002-0000-1700-00001A000000}"/>
    <dataValidation type="list" imeMode="off" allowBlank="1" showInputMessage="1" showErrorMessage="1" promptTitle="学年の入力！" prompt="学年を半角数字で入力して下さい。" sqref="O4:O21" xr:uid="{00000000-0002-0000-1700-00001B000000}">
      <formula1>"1,2,3"</formula1>
    </dataValidation>
    <dataValidation type="list" imeMode="off" allowBlank="1" showInputMessage="1" showErrorMessage="1" promptTitle="県体予選順位！" prompt="３位決定戦をしていない場合は２チームが「３位」に、５～８位決定戦をしていない場合は４チームが「５位」になります。" sqref="B4" xr:uid="{00000000-0002-0000-1700-00001C000000}">
      <formula1>"1,2,3,4,5,6,7,8"</formula1>
    </dataValidation>
  </dataValidations>
  <pageMargins left="0.7" right="0.7" top="0.75" bottom="0.75" header="0.3" footer="0.3"/>
  <pageSetup paperSize="9" orientation="portrait" horizontalDpi="0"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B9477-8DD3-43F4-AEA9-9D89D5F9DD4C}">
  <dimension ref="A1"/>
  <sheetViews>
    <sheetView workbookViewId="0"/>
  </sheetViews>
  <sheetFormatPr defaultRowHeight="13.5" x14ac:dyDescent="0.15"/>
  <sheetData/>
  <phoneticPr fontId="2"/>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747DA72B52EC5498175639A1C3112B2" ma:contentTypeVersion="2" ma:contentTypeDescription="新しいドキュメントを作成します。" ma:contentTypeScope="" ma:versionID="d632ead54db3eb117c6d5ae0478bdc82">
  <xsd:schema xmlns:xsd="http://www.w3.org/2001/XMLSchema" xmlns:xs="http://www.w3.org/2001/XMLSchema" xmlns:p="http://schemas.microsoft.com/office/2006/metadata/properties" xmlns:ns2="459a0f47-f505-4553-9890-18e0af0f5eb8" targetNamespace="http://schemas.microsoft.com/office/2006/metadata/properties" ma:root="true" ma:fieldsID="df7468b6e10126164b9575fac8d62a3d" ns2:_="">
    <xsd:import namespace="459a0f47-f505-4553-9890-18e0af0f5eb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9a0f47-f505-4553-9890-18e0af0f5e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891713-D161-42CE-9259-162FA005A4B2}">
  <ds:schemaRefs>
    <ds:schemaRef ds:uri="http://schemas.microsoft.com/sharepoint/v3/contenttype/forms"/>
  </ds:schemaRefs>
</ds:datastoreItem>
</file>

<file path=customXml/itemProps2.xml><?xml version="1.0" encoding="utf-8"?>
<ds:datastoreItem xmlns:ds="http://schemas.openxmlformats.org/officeDocument/2006/customXml" ds:itemID="{CDA64E98-DCA8-40F0-988C-F9B49952AD45}">
  <ds:schemaRefs>
    <ds:schemaRef ds:uri="http://schemas.microsoft.com/office/2006/metadata/properties"/>
    <ds:schemaRef ds:uri="http://www.w3.org/2000/xmlns/"/>
    <ds:schemaRef ds:uri="http://schemas.microsoft.com/office/infopath/2007/PartnerControls"/>
  </ds:schemaRefs>
</ds:datastoreItem>
</file>

<file path=customXml/itemProps3.xml><?xml version="1.0" encoding="utf-8"?>
<ds:datastoreItem xmlns:ds="http://schemas.openxmlformats.org/officeDocument/2006/customXml" ds:itemID="{8CE6C708-2FF2-4CA3-8E8E-118A2890707F}">
  <ds:schemaRefs>
    <ds:schemaRef ds:uri="http://schemas.microsoft.com/office/2006/metadata/contentType"/>
    <ds:schemaRef ds:uri="http://schemas.microsoft.com/office/2006/metadata/properties/metaAttributes"/>
    <ds:schemaRef ds:uri="http://www.w3.org/2000/xmlns/"/>
    <ds:schemaRef ds:uri="http://www.w3.org/2001/XMLSchema"/>
    <ds:schemaRef ds:uri="459a0f47-f505-4553-9890-18e0af0f5eb8"/>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18</vt:i4>
      </vt:variant>
    </vt:vector>
  </HeadingPairs>
  <TitlesOfParts>
    <vt:vector size="49" baseType="lpstr">
      <vt:lpstr>予選学校名</vt:lpstr>
      <vt:lpstr>能登(6)</vt:lpstr>
      <vt:lpstr>能登(6時刻)</vt:lpstr>
      <vt:lpstr>北(25)</vt:lpstr>
      <vt:lpstr>北(時刻)</vt:lpstr>
      <vt:lpstr>能登(5)</vt:lpstr>
      <vt:lpstr>能登(5時刻)</vt:lpstr>
      <vt:lpstr>北(22)</vt:lpstr>
      <vt:lpstr>北(22時刻)</vt:lpstr>
      <vt:lpstr>南(13)</vt:lpstr>
      <vt:lpstr>南(13時刻)</vt:lpstr>
      <vt:lpstr>南(14)</vt:lpstr>
      <vt:lpstr>南(14時刻)</vt:lpstr>
      <vt:lpstr>南(12)</vt:lpstr>
      <vt:lpstr>南(12時刻)</vt:lpstr>
      <vt:lpstr>県体学校名</vt:lpstr>
      <vt:lpstr>県体(赤)</vt:lpstr>
      <vt:lpstr>歴代優勝校</vt:lpstr>
      <vt:lpstr>プロ領収証</vt:lpstr>
      <vt:lpstr>マッチ準①</vt:lpstr>
      <vt:lpstr>マッチ準②</vt:lpstr>
      <vt:lpstr>マッチ決勝</vt:lpstr>
      <vt:lpstr>マッチ第3</vt:lpstr>
      <vt:lpstr>決勝公式記録</vt:lpstr>
      <vt:lpstr>データ</vt:lpstr>
      <vt:lpstr>第3公式記録</vt:lpstr>
      <vt:lpstr>チーム①</vt:lpstr>
      <vt:lpstr>チーム②</vt:lpstr>
      <vt:lpstr>チーム③</vt:lpstr>
      <vt:lpstr>チーム④</vt:lpstr>
      <vt:lpstr>Sheet1</vt:lpstr>
      <vt:lpstr>プロ領収証!Print_Area</vt:lpstr>
      <vt:lpstr>決勝公式記録!Print_Area</vt:lpstr>
      <vt:lpstr>'県体(赤)'!Print_Area</vt:lpstr>
      <vt:lpstr>第3公式記録!Print_Area</vt:lpstr>
      <vt:lpstr>'南(12)'!Print_Area</vt:lpstr>
      <vt:lpstr>'南(12時刻)'!Print_Area</vt:lpstr>
      <vt:lpstr>'南(13)'!Print_Area</vt:lpstr>
      <vt:lpstr>'南(13時刻)'!Print_Area</vt:lpstr>
      <vt:lpstr>'南(14)'!Print_Area</vt:lpstr>
      <vt:lpstr>'南(14時刻)'!Print_Area</vt:lpstr>
      <vt:lpstr>'能登(5)'!Print_Area</vt:lpstr>
      <vt:lpstr>'能登(5時刻)'!Print_Area</vt:lpstr>
      <vt:lpstr>'能登(6)'!Print_Area</vt:lpstr>
      <vt:lpstr>'能登(6時刻)'!Print_Area</vt:lpstr>
      <vt:lpstr>'北(22)'!Print_Area</vt:lpstr>
      <vt:lpstr>'北(22時刻)'!Print_Area</vt:lpstr>
      <vt:lpstr>'北(25)'!Print_Area</vt:lpstr>
      <vt:lpstr>'北(時刻)'!Print_Area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M.KIMOTO</dc:creator>
  <cp:keywords/>
  <dc:description/>
  <cp:lastModifiedBy>Masaki Kimoto</cp:lastModifiedBy>
  <cp:revision/>
  <cp:lastPrinted>2024-06-26T12:53:33Z</cp:lastPrinted>
  <dcterms:created xsi:type="dcterms:W3CDTF">2002-06-24T23:51:23Z</dcterms:created>
  <dcterms:modified xsi:type="dcterms:W3CDTF">2024-06-26T12:53:42Z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0x0101002747DA72B52EC5498175639A1C3112B2</vt:lpwstr>
  </property>
</Properties>
</file>