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3.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https://d.docs.live.net/194e8f3419c429eb/★すべてのデータ/soccer/★委員長/01中体連/01加賀地区/2026/"/>
    </mc:Choice>
  </mc:AlternateContent>
  <xr:revisionPtr revIDLastSave="275" documentId="13_ncr:1_{4753F95B-3BE2-46D1-B74E-6DCB80D33CBA}" xr6:coauthVersionLast="47" xr6:coauthVersionMax="47" xr10:uidLastSave="{C1D6BFE1-F6CF-4F9F-A418-A4E60B0EF0E5}"/>
  <bookViews>
    <workbookView xWindow="-120" yWindow="-120" windowWidth="29040" windowHeight="15720" tabRatio="865" xr2:uid="{00000000-000D-0000-FFFF-FFFF00000000}"/>
  </bookViews>
  <sheets>
    <sheet name="予選学校名" sheetId="43" r:id="rId1"/>
    <sheet name="能登(②5時刻)" sheetId="60" r:id="rId2"/>
    <sheet name="北(⑦23)" sheetId="68" r:id="rId3"/>
    <sheet name="北(⑦23時刻)" sheetId="63" r:id="rId4"/>
    <sheet name="南(③9)" sheetId="69" r:id="rId5"/>
    <sheet name="南(③9時刻)" sheetId="70" r:id="rId6"/>
    <sheet name="県体学校名" sheetId="6" r:id="rId7"/>
    <sheet name="県体(12)" sheetId="67" r:id="rId8"/>
    <sheet name="歴代優勝校" sheetId="20" r:id="rId9"/>
    <sheet name="プロ領収証" sheetId="29" r:id="rId10"/>
    <sheet name="マッチ準①" sheetId="30" r:id="rId11"/>
    <sheet name="マッチ準②" sheetId="31" r:id="rId12"/>
    <sheet name="マッチ決勝" sheetId="32" r:id="rId13"/>
    <sheet name="マッチ第3" sheetId="41" r:id="rId14"/>
    <sheet name="決勝公式記録" sheetId="33" r:id="rId15"/>
    <sheet name="データ" sheetId="34" state="hidden" r:id="rId16"/>
    <sheet name="第3公式記録" sheetId="42" r:id="rId17"/>
    <sheet name="チーム①" sheetId="35" r:id="rId18"/>
    <sheet name="チーム②" sheetId="36" r:id="rId19"/>
    <sheet name="チーム③" sheetId="37" r:id="rId20"/>
    <sheet name="チーム④" sheetId="38" r:id="rId21"/>
  </sheets>
  <externalReferences>
    <externalReference r:id="rId22"/>
    <externalReference r:id="rId23"/>
  </externalReferences>
  <definedNames>
    <definedName name="_xlnm.Print_Area" localSheetId="9">プロ領収証!$A$1:$O$252</definedName>
    <definedName name="_xlnm.Print_Area" localSheetId="14">決勝公式記録!$A$1:$AH$67</definedName>
    <definedName name="_xlnm.Print_Area" localSheetId="7">'県体(12)'!$A$1:$AZ$77</definedName>
    <definedName name="_xlnm.Print_Area" localSheetId="16">第3公式記録!$A$1:$AH$67</definedName>
    <definedName name="_xlnm.Print_Area" localSheetId="4">'南(③9)'!$B$1:$BD$72</definedName>
    <definedName name="_xlnm.Print_Area" localSheetId="5">'南(③9時刻)'!$B$1:$BD$72</definedName>
    <definedName name="_xlnm.Print_Area" localSheetId="1">'能登(②5時刻)'!$B$1:$AP$53</definedName>
    <definedName name="_xlnm.Print_Area" localSheetId="2">'北(⑦23)'!$B$1:$EG$81</definedName>
    <definedName name="_xlnm.Print_Area" localSheetId="3">'北(⑦23時刻)'!$B$1:$EG$81</definedName>
    <definedName name="Z_707C167D_1A80_466C_A9D0_D4070F8B83C9_.wvu.Cols" localSheetId="2" hidden="1">'北(⑦23)'!$A:$A</definedName>
    <definedName name="Z_707C167D_1A80_466C_A9D0_D4070F8B83C9_.wvu.Cols" localSheetId="3" hidden="1">'北(⑦23時刻)'!$A:$A</definedName>
    <definedName name="Z_707C167D_1A80_466C_A9D0_D4070F8B83C9_.wvu.PrintArea" localSheetId="2" hidden="1">'北(⑦23)'!$B$1:$CJ$70</definedName>
    <definedName name="Z_707C167D_1A80_466C_A9D0_D4070F8B83C9_.wvu.PrintArea" localSheetId="3" hidden="1">'北(⑦23時刻)'!$B$1:$CJ$81</definedName>
    <definedName name="Z_707C167D_1A80_466C_A9D0_D4070F8B83C9_.wvu.Rows" localSheetId="6" hidden="1">県体学校名!$2:$2</definedName>
    <definedName name="Z_707C167D_1A80_466C_A9D0_D4070F8B83C9_.wvu.Rows" localSheetId="2" hidden="1">'北(⑦23)'!#REF!,'北(⑦23)'!#REF!,'北(⑦23)'!#REF!,'北(⑦23)'!#REF!,'北(⑦23)'!#REF!,'北(⑦23)'!#REF!,'北(⑦23)'!#REF!</definedName>
    <definedName name="Z_707C167D_1A80_466C_A9D0_D4070F8B83C9_.wvu.Rows" localSheetId="3" hidden="1">'北(⑦23時刻)'!#REF!,'北(⑦23時刻)'!#REF!,'北(⑦23時刻)'!#REF!,'北(⑦23時刻)'!#REF!,'北(⑦23時刻)'!#REF!,'北(⑦23時刻)'!#REF!,'北(⑦23時刻)'!#REF!</definedName>
    <definedName name="第1位" localSheetId="7">[1]メンバー表!$A$1:$I$155</definedName>
    <definedName name="第1位">[2]メンバー表!$A$1:$I$155</definedName>
    <definedName name="第2位" localSheetId="7">[1]メンバー表!$K$1:$S$155</definedName>
    <definedName name="第2位">[2]メンバー表!$K$1:$S$155</definedName>
    <definedName name="第3位" localSheetId="7">[1]メンバー表!$U$1:$AC$155</definedName>
    <definedName name="第3位">[2]メンバー表!$U$1:$AC$155</definedName>
  </definedNames>
  <calcPr calcId="191029"/>
  <customWorkbookViews>
    <customWorkbookView name="M.KIMOTO - 個人用ビュー" guid="{707C167D-1A80-466C-A9D0-D4070F8B83C9}" mergeInterval="0" personalView="1" maximized="1" xWindow="22" yWindow="37" windowWidth="769" windowHeight="570"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H59" i="67" l="1"/>
  <c r="BH58" i="67"/>
  <c r="BH57" i="67"/>
  <c r="C18" i="41"/>
  <c r="C18" i="32"/>
  <c r="C18" i="31"/>
  <c r="C18" i="30"/>
  <c r="BF23" i="67"/>
  <c r="D18" i="43"/>
  <c r="D17" i="43"/>
  <c r="D16" i="43"/>
  <c r="D15" i="43"/>
  <c r="D14" i="43"/>
  <c r="D13" i="43"/>
  <c r="D12" i="43"/>
  <c r="D11" i="43"/>
  <c r="D10" i="43"/>
  <c r="D9" i="43"/>
  <c r="AE72" i="70"/>
  <c r="AJ70" i="70"/>
  <c r="AA69" i="70"/>
  <c r="AA66" i="70"/>
  <c r="AE63" i="70"/>
  <c r="T67" i="70" s="1"/>
  <c r="A5" i="70" s="1"/>
  <c r="BB59" i="70"/>
  <c r="BB60" i="70" s="1"/>
  <c r="AP59" i="70"/>
  <c r="AP60" i="70" s="1"/>
  <c r="AA59" i="70"/>
  <c r="AA60" i="70" s="1"/>
  <c r="O59" i="70"/>
  <c r="O60" i="70" s="1"/>
  <c r="L55" i="70"/>
  <c r="L54" i="70"/>
  <c r="H49" i="70"/>
  <c r="H60" i="70" s="1"/>
  <c r="N46" i="70"/>
  <c r="J46" i="70"/>
  <c r="AV37" i="70"/>
  <c r="AV60" i="70" s="1"/>
  <c r="AH37" i="70"/>
  <c r="AH60" i="70" s="1"/>
  <c r="U37" i="70"/>
  <c r="U60" i="70" s="1"/>
  <c r="C37" i="70"/>
  <c r="C60" i="70" s="1"/>
  <c r="BA25" i="70"/>
  <c r="AJ25" i="70"/>
  <c r="Z25" i="70"/>
  <c r="E25" i="70"/>
  <c r="BA34" i="70"/>
  <c r="AW34" i="70"/>
  <c r="AO34" i="70"/>
  <c r="AK34" i="70"/>
  <c r="Z34" i="70"/>
  <c r="V34" i="70"/>
  <c r="I34" i="70"/>
  <c r="E34" i="70"/>
  <c r="AU23" i="70"/>
  <c r="AQ23" i="70"/>
  <c r="R23" i="70"/>
  <c r="N23" i="70"/>
  <c r="M13" i="70" s="1"/>
  <c r="AU22" i="70"/>
  <c r="AQ22" i="70"/>
  <c r="R22" i="70"/>
  <c r="N22" i="70"/>
  <c r="AU13" i="70"/>
  <c r="AE11" i="70"/>
  <c r="AA11" i="70"/>
  <c r="A3" i="70" s="1"/>
  <c r="AE10" i="70"/>
  <c r="AA10" i="70"/>
  <c r="A2" i="70"/>
  <c r="C1" i="70"/>
  <c r="DJ70" i="63"/>
  <c r="H70" i="63"/>
  <c r="DH80" i="68"/>
  <c r="AQ62" i="67"/>
  <c r="AP61" i="67"/>
  <c r="AP54" i="67" s="1"/>
  <c r="AQ60" i="67"/>
  <c r="AQ59" i="67"/>
  <c r="AH61" i="67"/>
  <c r="AH54" i="67" s="1"/>
  <c r="AI62" i="67"/>
  <c r="AI60" i="67"/>
  <c r="AI59" i="67"/>
  <c r="Q62" i="67"/>
  <c r="P61" i="67"/>
  <c r="P54" i="67" s="1"/>
  <c r="Q60" i="67"/>
  <c r="Q59" i="67"/>
  <c r="I62" i="67"/>
  <c r="H61" i="67"/>
  <c r="H54" i="67" s="1"/>
  <c r="I60" i="67"/>
  <c r="I59" i="67"/>
  <c r="AS54" i="67"/>
  <c r="AS53" i="67"/>
  <c r="AO53" i="67"/>
  <c r="AK54" i="67"/>
  <c r="AK53" i="67"/>
  <c r="AG53" i="67"/>
  <c r="S54" i="67"/>
  <c r="S53" i="67"/>
  <c r="O53" i="67"/>
  <c r="K54" i="67"/>
  <c r="K53" i="67"/>
  <c r="G53" i="67"/>
  <c r="AM31" i="67"/>
  <c r="Z20" i="67"/>
  <c r="Y19" i="67"/>
  <c r="Y12" i="67" s="1"/>
  <c r="Z18" i="67"/>
  <c r="Z17" i="67"/>
  <c r="BJ12" i="67"/>
  <c r="BJ11" i="67"/>
  <c r="BG11" i="67"/>
  <c r="AB12" i="67"/>
  <c r="AB11" i="67"/>
  <c r="X11" i="67"/>
  <c r="AO26" i="67"/>
  <c r="AO25" i="67"/>
  <c r="AK25" i="67"/>
  <c r="AM34" i="67"/>
  <c r="AL33" i="67"/>
  <c r="AL26" i="67" s="1"/>
  <c r="AM32" i="67"/>
  <c r="O26" i="67"/>
  <c r="O25" i="67"/>
  <c r="K25" i="67"/>
  <c r="M32" i="67"/>
  <c r="M31" i="67"/>
  <c r="AU48" i="67"/>
  <c r="AT47" i="67"/>
  <c r="AU46" i="67"/>
  <c r="AU45" i="67"/>
  <c r="AE48" i="67"/>
  <c r="AD47" i="67"/>
  <c r="AE46" i="67"/>
  <c r="AE45" i="67"/>
  <c r="U48" i="67"/>
  <c r="T47" i="67"/>
  <c r="U46" i="67"/>
  <c r="U45" i="67"/>
  <c r="E45" i="67"/>
  <c r="AW40" i="67"/>
  <c r="AW39" i="67"/>
  <c r="AT40" i="67"/>
  <c r="AS39" i="67"/>
  <c r="AG40" i="67"/>
  <c r="AG39" i="67"/>
  <c r="AD40" i="67"/>
  <c r="AC28" i="67" s="1"/>
  <c r="AC39" i="67"/>
  <c r="W40" i="67"/>
  <c r="W39" i="67"/>
  <c r="T40" i="67"/>
  <c r="S39" i="67"/>
  <c r="G40" i="67"/>
  <c r="G39" i="67"/>
  <c r="C39" i="67"/>
  <c r="D40" i="67"/>
  <c r="E48" i="67"/>
  <c r="D47" i="67"/>
  <c r="E46" i="67"/>
  <c r="AE72" i="69"/>
  <c r="AE63" i="69"/>
  <c r="AA69" i="69"/>
  <c r="AA66" i="69"/>
  <c r="AJ67" i="69"/>
  <c r="AJ70" i="69"/>
  <c r="AJ69" i="69"/>
  <c r="AJ68" i="69"/>
  <c r="AA11" i="69"/>
  <c r="AA10" i="69"/>
  <c r="AE11" i="69"/>
  <c r="AE10" i="69"/>
  <c r="AU23" i="69"/>
  <c r="AU22" i="69"/>
  <c r="AQ23" i="69"/>
  <c r="AQ22" i="69"/>
  <c r="R23" i="69"/>
  <c r="R22" i="69"/>
  <c r="N22" i="69"/>
  <c r="N23" i="69"/>
  <c r="P31" i="69"/>
  <c r="P30" i="69"/>
  <c r="P29" i="69"/>
  <c r="P28" i="69"/>
  <c r="BA35" i="69"/>
  <c r="BA34" i="69"/>
  <c r="AW35" i="69"/>
  <c r="AW34" i="69"/>
  <c r="AO35" i="69"/>
  <c r="AO34" i="69"/>
  <c r="AK35" i="69"/>
  <c r="AK34" i="69"/>
  <c r="Z35" i="69"/>
  <c r="Z34" i="69"/>
  <c r="V35" i="69"/>
  <c r="V34" i="69"/>
  <c r="I35" i="69"/>
  <c r="I34" i="69"/>
  <c r="E35" i="69"/>
  <c r="E34" i="69"/>
  <c r="AC19" i="69"/>
  <c r="AC18" i="69"/>
  <c r="AC17" i="69"/>
  <c r="AC16" i="69"/>
  <c r="AS31" i="69"/>
  <c r="AS30" i="69"/>
  <c r="AS29" i="69"/>
  <c r="AS28" i="69"/>
  <c r="AY43" i="69"/>
  <c r="AY42" i="69"/>
  <c r="AY41" i="69"/>
  <c r="AY40" i="69"/>
  <c r="AM43" i="69"/>
  <c r="AM42" i="69"/>
  <c r="AM41" i="69"/>
  <c r="AM40" i="69"/>
  <c r="X43" i="69"/>
  <c r="X42" i="69"/>
  <c r="X41" i="69"/>
  <c r="X40" i="69"/>
  <c r="G43" i="69"/>
  <c r="G42" i="69"/>
  <c r="G41" i="69"/>
  <c r="G40" i="69"/>
  <c r="N47" i="69"/>
  <c r="J47" i="69"/>
  <c r="J46" i="69"/>
  <c r="N46" i="69"/>
  <c r="L55" i="69"/>
  <c r="L54" i="69"/>
  <c r="AT78" i="68"/>
  <c r="Z73" i="68" s="1"/>
  <c r="L53" i="69"/>
  <c r="L52" i="69"/>
  <c r="BB59" i="69"/>
  <c r="BB60" i="69" s="1"/>
  <c r="AV37" i="69"/>
  <c r="AV60" i="69" s="1"/>
  <c r="AP59" i="69"/>
  <c r="AP60" i="69" s="1"/>
  <c r="AH37" i="69"/>
  <c r="AH60" i="69" s="1"/>
  <c r="AA59" i="69"/>
  <c r="AA60" i="69" s="1"/>
  <c r="U37" i="69"/>
  <c r="U60" i="69" s="1"/>
  <c r="O59" i="69"/>
  <c r="O60" i="69" s="1"/>
  <c r="H49" i="69"/>
  <c r="H60" i="69" s="1"/>
  <c r="N37" i="69" s="1"/>
  <c r="C37" i="69"/>
  <c r="C60" i="69" s="1"/>
  <c r="BT21" i="68"/>
  <c r="BS20" i="68"/>
  <c r="BT19" i="68"/>
  <c r="BT18" i="68"/>
  <c r="DA33" i="68"/>
  <c r="CZ32" i="68"/>
  <c r="DA31" i="68"/>
  <c r="DA30" i="68"/>
  <c r="AJ33" i="68"/>
  <c r="AI32" i="68"/>
  <c r="AJ31" i="68"/>
  <c r="AJ30" i="68"/>
  <c r="DS43" i="68"/>
  <c r="DR42" i="68"/>
  <c r="DS41" i="68"/>
  <c r="DS40" i="68"/>
  <c r="CL43" i="68"/>
  <c r="CK42" i="68"/>
  <c r="CL41" i="68"/>
  <c r="CL40" i="68"/>
  <c r="BB43" i="68"/>
  <c r="BA42" i="68"/>
  <c r="BB41" i="68"/>
  <c r="BB40" i="68"/>
  <c r="R43" i="68"/>
  <c r="Q42" i="68"/>
  <c r="R41" i="68"/>
  <c r="R40" i="68"/>
  <c r="CA51" i="68"/>
  <c r="CA50" i="68"/>
  <c r="AQ51" i="68"/>
  <c r="AQ50" i="68"/>
  <c r="EA53" i="68"/>
  <c r="CW53" i="68"/>
  <c r="BM53" i="68"/>
  <c r="AC53" i="68"/>
  <c r="CA53" i="68"/>
  <c r="AQ53" i="68"/>
  <c r="DI52" i="68"/>
  <c r="DZ52" i="68"/>
  <c r="CV52" i="68"/>
  <c r="BL52" i="68"/>
  <c r="AB52" i="68"/>
  <c r="BZ52" i="68"/>
  <c r="AP52" i="68"/>
  <c r="EA51" i="68"/>
  <c r="EA50" i="68"/>
  <c r="CW51" i="68"/>
  <c r="CW50" i="68"/>
  <c r="BM51" i="68"/>
  <c r="BM50" i="68"/>
  <c r="DJ50" i="68"/>
  <c r="AC51" i="68"/>
  <c r="AC50" i="68"/>
  <c r="G53" i="68"/>
  <c r="F52" i="68"/>
  <c r="G51" i="68"/>
  <c r="G50" i="68"/>
  <c r="CM79" i="68"/>
  <c r="CL78" i="68"/>
  <c r="DH73" i="68" s="1"/>
  <c r="CM77" i="68"/>
  <c r="CM76" i="68"/>
  <c r="BQ81" i="68"/>
  <c r="BP80" i="68"/>
  <c r="BQ79" i="68"/>
  <c r="BQ78" i="68"/>
  <c r="AU79" i="68"/>
  <c r="AU77" i="68"/>
  <c r="AU76" i="68"/>
  <c r="DJ53" i="68"/>
  <c r="DV63" i="68"/>
  <c r="CR63" i="68"/>
  <c r="CF63" i="68"/>
  <c r="BH63" i="68"/>
  <c r="AV63" i="68"/>
  <c r="X63" i="68"/>
  <c r="DU62" i="68"/>
  <c r="CQ62" i="68"/>
  <c r="CE62" i="68"/>
  <c r="BG62" i="68"/>
  <c r="AU62" i="68"/>
  <c r="W62" i="68"/>
  <c r="DJ51" i="68"/>
  <c r="DV61" i="68"/>
  <c r="DV60" i="68"/>
  <c r="CR61" i="68"/>
  <c r="CR60" i="68"/>
  <c r="CF61" i="68"/>
  <c r="CF60" i="68"/>
  <c r="BH61" i="68"/>
  <c r="BH60" i="68"/>
  <c r="AV61" i="68"/>
  <c r="AV60" i="68"/>
  <c r="X61" i="68"/>
  <c r="X60" i="68"/>
  <c r="L63" i="68"/>
  <c r="K62" i="68"/>
  <c r="L61" i="68"/>
  <c r="L60" i="68"/>
  <c r="CE76" i="68"/>
  <c r="BC76" i="68"/>
  <c r="BJ76" i="68"/>
  <c r="BW76" i="68"/>
  <c r="CH81" i="68"/>
  <c r="Z81" i="68"/>
  <c r="CH72" i="68"/>
  <c r="Z72" i="68"/>
  <c r="Z80" i="68"/>
  <c r="C1" i="69"/>
  <c r="B65" i="68"/>
  <c r="H65" i="68" s="1"/>
  <c r="DU64" i="68"/>
  <c r="CQ64" i="68"/>
  <c r="CE64" i="68"/>
  <c r="BG64" i="68"/>
  <c r="AU64" i="68"/>
  <c r="W64" i="68"/>
  <c r="K64" i="68"/>
  <c r="DX56" i="68"/>
  <c r="DR56" i="68"/>
  <c r="DF56" i="68"/>
  <c r="CT56" i="68"/>
  <c r="CN56" i="68"/>
  <c r="CH56" i="68"/>
  <c r="CB56" i="68"/>
  <c r="BJ56" i="68"/>
  <c r="BD56" i="68"/>
  <c r="AX56" i="68"/>
  <c r="AR56" i="68"/>
  <c r="Z56" i="68"/>
  <c r="T56" i="68"/>
  <c r="N56" i="68"/>
  <c r="H56" i="68"/>
  <c r="DX55" i="68"/>
  <c r="DR55" i="68"/>
  <c r="DF55" i="68"/>
  <c r="CT55" i="68"/>
  <c r="CN55" i="68"/>
  <c r="CH55" i="68"/>
  <c r="CB55" i="68"/>
  <c r="BJ55" i="68"/>
  <c r="BD55" i="68"/>
  <c r="AX55" i="68"/>
  <c r="AR55" i="68"/>
  <c r="Z55" i="68"/>
  <c r="T55" i="68"/>
  <c r="N55" i="68"/>
  <c r="H55" i="68"/>
  <c r="DZ54" i="68"/>
  <c r="DI54" i="68"/>
  <c r="CV54" i="68"/>
  <c r="BZ54" i="68"/>
  <c r="BL54" i="68"/>
  <c r="AP54" i="68"/>
  <c r="AB54" i="68"/>
  <c r="F54" i="68"/>
  <c r="EC46" i="68"/>
  <c r="DW46" i="68"/>
  <c r="DL46" i="68"/>
  <c r="DF46" i="68"/>
  <c r="CY46" i="68"/>
  <c r="CS46" i="68"/>
  <c r="CC46" i="68"/>
  <c r="BW46" i="68"/>
  <c r="BO46" i="68"/>
  <c r="BI46" i="68"/>
  <c r="AS46" i="68"/>
  <c r="AM46" i="68"/>
  <c r="AE46" i="68"/>
  <c r="Y46" i="68"/>
  <c r="I46" i="68"/>
  <c r="C46" i="68"/>
  <c r="EC45" i="68"/>
  <c r="DW45" i="68"/>
  <c r="DL45" i="68"/>
  <c r="DF45" i="68"/>
  <c r="CY45" i="68"/>
  <c r="CS45" i="68"/>
  <c r="CC45" i="68"/>
  <c r="BW45" i="68"/>
  <c r="BO45" i="68"/>
  <c r="BI45" i="68"/>
  <c r="AS45" i="68"/>
  <c r="AM45" i="68"/>
  <c r="AE45" i="68"/>
  <c r="Y45" i="68"/>
  <c r="I45" i="68"/>
  <c r="C45" i="68"/>
  <c r="DR44" i="68"/>
  <c r="CK44" i="68"/>
  <c r="BA44" i="68"/>
  <c r="Q44" i="68"/>
  <c r="DU36" i="68"/>
  <c r="DO36" i="68"/>
  <c r="CN36" i="68"/>
  <c r="CH36" i="68"/>
  <c r="BD36" i="68"/>
  <c r="AX36" i="68"/>
  <c r="T36" i="68"/>
  <c r="N36" i="68"/>
  <c r="DU35" i="68"/>
  <c r="DO35" i="68"/>
  <c r="DL35" i="68"/>
  <c r="CN35" i="68"/>
  <c r="CH35" i="68"/>
  <c r="BD35" i="68"/>
  <c r="AX35" i="68"/>
  <c r="T35" i="68"/>
  <c r="N35" i="68"/>
  <c r="CZ34" i="68"/>
  <c r="AI34" i="68"/>
  <c r="DC26" i="68"/>
  <c r="CW26" i="68"/>
  <c r="AL26" i="68"/>
  <c r="AF26" i="68"/>
  <c r="DC25" i="68"/>
  <c r="CW25" i="68"/>
  <c r="AL25" i="68"/>
  <c r="AF25" i="68"/>
  <c r="AC25" i="68"/>
  <c r="DR21" i="68"/>
  <c r="DQ20" i="68"/>
  <c r="DR19" i="68"/>
  <c r="DR18" i="68"/>
  <c r="DT14" i="68"/>
  <c r="DN14" i="68"/>
  <c r="BV14" i="68"/>
  <c r="BP14" i="68"/>
  <c r="DT13" i="68"/>
  <c r="DN13" i="68"/>
  <c r="BV13" i="68"/>
  <c r="BP13" i="68"/>
  <c r="B1" i="68"/>
  <c r="BH16" i="67"/>
  <c r="BH15" i="67"/>
  <c r="BC7" i="67"/>
  <c r="AX73" i="67"/>
  <c r="AS73" i="67"/>
  <c r="AK73" i="67"/>
  <c r="X73" i="67"/>
  <c r="X77" i="67" s="1"/>
  <c r="S73" i="67"/>
  <c r="S77" i="67" s="1"/>
  <c r="K73" i="67"/>
  <c r="K77" i="67" s="1"/>
  <c r="AO56" i="67"/>
  <c r="AO77" i="67" s="1"/>
  <c r="AF56" i="67"/>
  <c r="O56" i="67"/>
  <c r="O77" i="67" s="1"/>
  <c r="F56" i="67"/>
  <c r="F77" i="67" s="1"/>
  <c r="AB42" i="67"/>
  <c r="AB77" i="67" s="1"/>
  <c r="B42" i="67"/>
  <c r="M34" i="67"/>
  <c r="L33" i="67"/>
  <c r="L26" i="67" s="1"/>
  <c r="BH20" i="67"/>
  <c r="BG19" i="67"/>
  <c r="BG12" i="67" s="1"/>
  <c r="BH18" i="67"/>
  <c r="BH17" i="67"/>
  <c r="AS8" i="67"/>
  <c r="BV4" i="67"/>
  <c r="BW4" i="67" s="1"/>
  <c r="BX4" i="67" s="1"/>
  <c r="BY4" i="67" s="1"/>
  <c r="BZ4" i="67" s="1"/>
  <c r="CA4" i="67" s="1"/>
  <c r="CB4" i="67" s="1"/>
  <c r="CC4" i="67" s="1"/>
  <c r="BU4" i="67"/>
  <c r="BT4" i="67"/>
  <c r="B44" i="63"/>
  <c r="B34" i="63" s="1"/>
  <c r="B65" i="63"/>
  <c r="H65" i="63" s="1"/>
  <c r="EC38" i="63"/>
  <c r="EC45" i="63"/>
  <c r="I45" i="63"/>
  <c r="DU36" i="63"/>
  <c r="DO36" i="63"/>
  <c r="CN36" i="63"/>
  <c r="CH36" i="63"/>
  <c r="CH28" i="63" s="1"/>
  <c r="BD36" i="63"/>
  <c r="AX36" i="63"/>
  <c r="T36" i="63"/>
  <c r="N36" i="63"/>
  <c r="N28" i="63" s="1"/>
  <c r="DU35" i="63"/>
  <c r="DO35" i="63"/>
  <c r="DL35" i="63"/>
  <c r="CN35" i="63"/>
  <c r="CH35" i="63"/>
  <c r="BD35" i="63"/>
  <c r="AX35" i="63"/>
  <c r="T35" i="63"/>
  <c r="N35" i="63"/>
  <c r="DC26" i="63"/>
  <c r="CW26" i="63"/>
  <c r="AL26" i="63"/>
  <c r="AF26" i="63"/>
  <c r="DC25" i="63"/>
  <c r="CW25" i="63"/>
  <c r="AL25" i="63"/>
  <c r="AF25" i="63"/>
  <c r="AC25" i="63"/>
  <c r="DT14" i="63"/>
  <c r="DN14" i="63"/>
  <c r="BV14" i="63"/>
  <c r="BP14" i="63"/>
  <c r="DT13" i="63"/>
  <c r="DN13" i="63"/>
  <c r="BV13" i="63"/>
  <c r="BP13" i="63"/>
  <c r="B1" i="63"/>
  <c r="AQ48" i="60"/>
  <c r="AQ44" i="60"/>
  <c r="AQ40" i="60"/>
  <c r="AQ36" i="60"/>
  <c r="BH8" i="60"/>
  <c r="BH7" i="60"/>
  <c r="BF1" i="60"/>
  <c r="BF2" i="60" s="1"/>
  <c r="BF3" i="60" s="1"/>
  <c r="BF4" i="60" s="1"/>
  <c r="BF5" i="60" s="1"/>
  <c r="BF6" i="60" s="1"/>
  <c r="BF7" i="60" s="1"/>
  <c r="BF8" i="60" s="1"/>
  <c r="A33" i="60"/>
  <c r="B33" i="60" s="1"/>
  <c r="A10" i="60"/>
  <c r="B10" i="60" s="1"/>
  <c r="A3" i="60"/>
  <c r="A4" i="60" s="1"/>
  <c r="A5" i="60" s="1"/>
  <c r="Q33" i="60"/>
  <c r="U33" i="60"/>
  <c r="X33" i="60"/>
  <c r="AB33" i="60"/>
  <c r="AE33" i="60"/>
  <c r="AI33" i="60"/>
  <c r="AQ52" i="60"/>
  <c r="AB51" i="60"/>
  <c r="Z51" i="60"/>
  <c r="U51" i="60"/>
  <c r="S51" i="60"/>
  <c r="N51" i="60"/>
  <c r="L51" i="60"/>
  <c r="G51" i="60"/>
  <c r="E51" i="60"/>
  <c r="AB50" i="60"/>
  <c r="AB49" i="60" s="1"/>
  <c r="Z50" i="60"/>
  <c r="X49" i="60" s="1"/>
  <c r="AA49" i="60" s="1"/>
  <c r="U50" i="60"/>
  <c r="U49" i="60" s="1"/>
  <c r="S50" i="60"/>
  <c r="Q49" i="60" s="1"/>
  <c r="T49" i="60" s="1"/>
  <c r="N50" i="60"/>
  <c r="N49" i="60" s="1"/>
  <c r="L50" i="60"/>
  <c r="J49" i="60" s="1"/>
  <c r="M49" i="60" s="1"/>
  <c r="G50" i="60"/>
  <c r="E50" i="60"/>
  <c r="C49" i="60" s="1"/>
  <c r="F49" i="60" s="1"/>
  <c r="U47" i="60"/>
  <c r="S47" i="60"/>
  <c r="N47" i="60"/>
  <c r="L47" i="60"/>
  <c r="G47" i="60"/>
  <c r="E47" i="60"/>
  <c r="U46" i="60"/>
  <c r="U45" i="60" s="1"/>
  <c r="S46" i="60"/>
  <c r="Q45" i="60" s="1"/>
  <c r="T45" i="60" s="1"/>
  <c r="N46" i="60"/>
  <c r="N45" i="60" s="1"/>
  <c r="L46" i="60"/>
  <c r="J45" i="60" s="1"/>
  <c r="M45" i="60" s="1"/>
  <c r="G46" i="60"/>
  <c r="G45" i="60" s="1"/>
  <c r="E46" i="60"/>
  <c r="C45" i="60" s="1"/>
  <c r="F45" i="60" s="1"/>
  <c r="AI45" i="60"/>
  <c r="AE45" i="60"/>
  <c r="N43" i="60"/>
  <c r="L43" i="60"/>
  <c r="G43" i="60"/>
  <c r="E43" i="60"/>
  <c r="N42" i="60"/>
  <c r="N41" i="60" s="1"/>
  <c r="L42" i="60"/>
  <c r="J41" i="60" s="1"/>
  <c r="M41" i="60" s="1"/>
  <c r="G42" i="60"/>
  <c r="E42" i="60"/>
  <c r="C41" i="60" s="1"/>
  <c r="F41" i="60" s="1"/>
  <c r="AI41" i="60"/>
  <c r="AE41" i="60"/>
  <c r="AH41" i="60" s="1"/>
  <c r="AB41" i="60"/>
  <c r="X41" i="60"/>
  <c r="AA41" i="60" s="1"/>
  <c r="G39" i="60"/>
  <c r="E39" i="60"/>
  <c r="G38" i="60"/>
  <c r="G37" i="60" s="1"/>
  <c r="E38" i="60"/>
  <c r="AI37" i="60"/>
  <c r="AE37" i="60"/>
  <c r="AB37" i="60"/>
  <c r="X37" i="60"/>
  <c r="U37" i="60"/>
  <c r="Q37" i="60"/>
  <c r="N33" i="60"/>
  <c r="J33" i="60"/>
  <c r="M33" i="60" s="1"/>
  <c r="AQ13" i="60"/>
  <c r="AQ16" i="60"/>
  <c r="AQ19" i="60"/>
  <c r="AQ25" i="60"/>
  <c r="AQ28" i="60"/>
  <c r="AL14" i="60"/>
  <c r="AN14" i="60" s="1"/>
  <c r="AL18" i="60"/>
  <c r="AN18" i="60" s="1"/>
  <c r="AL22" i="60"/>
  <c r="AM22" i="60" s="1"/>
  <c r="AL26" i="60"/>
  <c r="AM26" i="60" s="1"/>
  <c r="AL10" i="60"/>
  <c r="AN10" i="60" s="1"/>
  <c r="BH9" i="60"/>
  <c r="BH10" i="60"/>
  <c r="BH6" i="60"/>
  <c r="BH5" i="60"/>
  <c r="BH4" i="60"/>
  <c r="BH3" i="60"/>
  <c r="BH2" i="60"/>
  <c r="BH1" i="60"/>
  <c r="B1" i="60"/>
  <c r="J11" i="6"/>
  <c r="J12" i="6"/>
  <c r="J13" i="6"/>
  <c r="J14" i="6"/>
  <c r="J15" i="6"/>
  <c r="N37" i="70" l="1"/>
  <c r="BD28" i="63"/>
  <c r="L5" i="70"/>
  <c r="AI5" i="70"/>
  <c r="A6" i="70"/>
  <c r="L3" i="70"/>
  <c r="AI3" i="70"/>
  <c r="A4" i="70"/>
  <c r="U8" i="70"/>
  <c r="DJ70" i="68"/>
  <c r="DJ78" i="68"/>
  <c r="A3" i="63"/>
  <c r="L3" i="63" s="1"/>
  <c r="AZ9" i="63" s="1"/>
  <c r="DJ78" i="63"/>
  <c r="H78" i="63"/>
  <c r="DC16" i="63"/>
  <c r="DL10" i="63"/>
  <c r="AX77" i="67"/>
  <c r="AS77" i="67"/>
  <c r="AF77" i="67"/>
  <c r="H78" i="68"/>
  <c r="H70" i="68"/>
  <c r="Z25" i="69"/>
  <c r="M13" i="69" s="1"/>
  <c r="BA25" i="69"/>
  <c r="AU13" i="69" s="1"/>
  <c r="AQ71" i="69" s="1"/>
  <c r="T67" i="69" s="1"/>
  <c r="A5" i="69" s="1"/>
  <c r="L5" i="69" s="1"/>
  <c r="AJ25" i="69"/>
  <c r="E25" i="69"/>
  <c r="CH48" i="68"/>
  <c r="AX48" i="68"/>
  <c r="DR48" i="68"/>
  <c r="N48" i="68"/>
  <c r="N65" i="68"/>
  <c r="H66" i="68"/>
  <c r="B66" i="68"/>
  <c r="C38" i="68" s="1"/>
  <c r="CC5" i="67"/>
  <c r="CA5" i="67"/>
  <c r="BX5" i="67"/>
  <c r="CB5" i="67"/>
  <c r="BY5" i="67"/>
  <c r="BW5" i="67"/>
  <c r="BV5" i="67"/>
  <c r="BZ5" i="67"/>
  <c r="B21" i="63"/>
  <c r="AH68" i="63" s="1"/>
  <c r="AF16" i="63"/>
  <c r="C38" i="63"/>
  <c r="DU28" i="63"/>
  <c r="N65" i="63"/>
  <c r="H66" i="63"/>
  <c r="B66" i="63"/>
  <c r="DU23" i="63"/>
  <c r="DG23" i="63"/>
  <c r="BJ1" i="60"/>
  <c r="J10" i="60" s="1"/>
  <c r="AO26" i="60"/>
  <c r="C32" i="60"/>
  <c r="AT32" i="60" s="1"/>
  <c r="C9" i="60"/>
  <c r="AL41" i="60"/>
  <c r="A14" i="60"/>
  <c r="B14" i="60" s="1"/>
  <c r="A37" i="60"/>
  <c r="B37" i="60" s="1"/>
  <c r="AN26" i="60"/>
  <c r="AT33" i="60"/>
  <c r="G41" i="60"/>
  <c r="AH45" i="60"/>
  <c r="AL45" i="60" s="1"/>
  <c r="AL49" i="60"/>
  <c r="BJ4" i="60"/>
  <c r="Q14" i="60" s="1"/>
  <c r="BJ3" i="60"/>
  <c r="AE10" i="60" s="1"/>
  <c r="BJ5" i="60"/>
  <c r="AE22" i="60" s="1"/>
  <c r="AQ22" i="60" s="1"/>
  <c r="BJ6" i="60"/>
  <c r="X10" i="60" s="1"/>
  <c r="BJ2" i="60"/>
  <c r="X18" i="60" s="1"/>
  <c r="BJ8" i="60"/>
  <c r="X14" i="60" s="1"/>
  <c r="BF9" i="60"/>
  <c r="BF10" i="60" s="1"/>
  <c r="BJ10" i="60" s="1"/>
  <c r="AE14" i="60" s="1"/>
  <c r="BJ7" i="60"/>
  <c r="AE18" i="60" s="1"/>
  <c r="AM10" i="60"/>
  <c r="AM18" i="60"/>
  <c r="AN22" i="60"/>
  <c r="AH37" i="60"/>
  <c r="T37" i="60"/>
  <c r="AH33" i="60"/>
  <c r="AA33" i="60"/>
  <c r="T33" i="60"/>
  <c r="AL33" i="60" s="1"/>
  <c r="AA37" i="60"/>
  <c r="G49" i="60"/>
  <c r="C37" i="60"/>
  <c r="F37" i="60" s="1"/>
  <c r="AM14" i="60"/>
  <c r="C5" i="41"/>
  <c r="C5" i="32"/>
  <c r="C5" i="31"/>
  <c r="C5" i="30"/>
  <c r="AL37" i="60" l="1"/>
  <c r="AU32" i="60"/>
  <c r="AV3" i="63"/>
  <c r="A8" i="63"/>
  <c r="A7" i="63"/>
  <c r="AI6" i="70"/>
  <c r="L6" i="70"/>
  <c r="L4" i="70"/>
  <c r="AI4" i="70"/>
  <c r="C13" i="6"/>
  <c r="A6" i="63"/>
  <c r="A9" i="63"/>
  <c r="A10" i="63"/>
  <c r="A4" i="63"/>
  <c r="A5" i="63"/>
  <c r="AI5" i="69"/>
  <c r="A3" i="69"/>
  <c r="AQ63" i="69"/>
  <c r="A6" i="69" s="1"/>
  <c r="A24" i="67"/>
  <c r="T65" i="68"/>
  <c r="N66" i="68"/>
  <c r="T65" i="63"/>
  <c r="N66" i="63"/>
  <c r="AO22" i="60"/>
  <c r="AO14" i="60"/>
  <c r="BJ9" i="60"/>
  <c r="Q10" i="60" s="1"/>
  <c r="AQ10" i="60" s="1"/>
  <c r="A41" i="60"/>
  <c r="B41" i="60" s="1"/>
  <c r="A18" i="60"/>
  <c r="B18" i="60" s="1"/>
  <c r="J9" i="60"/>
  <c r="AN49" i="60"/>
  <c r="AX49" i="60"/>
  <c r="AY45" i="60"/>
  <c r="AW33" i="60"/>
  <c r="AM41" i="60"/>
  <c r="AW49" i="60"/>
  <c r="AY41" i="60"/>
  <c r="AX41" i="60"/>
  <c r="AW45" i="60"/>
  <c r="AO18" i="60"/>
  <c r="AM49" i="60"/>
  <c r="AM45" i="60"/>
  <c r="AN45" i="60"/>
  <c r="AN41" i="60"/>
  <c r="C11" i="6" l="1"/>
  <c r="AF74" i="67" s="1"/>
  <c r="AK42" i="67" s="1"/>
  <c r="L3" i="69"/>
  <c r="U8" i="69" s="1"/>
  <c r="AM37" i="60"/>
  <c r="AV41" i="60"/>
  <c r="AV45" i="60"/>
  <c r="AW37" i="60"/>
  <c r="AV49" i="60"/>
  <c r="AY37" i="60"/>
  <c r="AX37" i="60"/>
  <c r="AN37" i="60"/>
  <c r="BU4" i="63"/>
  <c r="CY4" i="63"/>
  <c r="CY3" i="63"/>
  <c r="BU3" i="63"/>
  <c r="L6" i="63"/>
  <c r="AV6" i="63"/>
  <c r="CY5" i="63"/>
  <c r="BU5" i="63"/>
  <c r="AV4" i="63"/>
  <c r="L4" i="63"/>
  <c r="AV5" i="63"/>
  <c r="L5" i="63"/>
  <c r="C9" i="32"/>
  <c r="C9" i="41"/>
  <c r="C9" i="30"/>
  <c r="C9" i="31"/>
  <c r="A63" i="67"/>
  <c r="M8" i="29" s="1"/>
  <c r="AI3" i="69"/>
  <c r="A4" i="69"/>
  <c r="A2" i="69"/>
  <c r="A25" i="67"/>
  <c r="T66" i="68"/>
  <c r="T48" i="68" s="1"/>
  <c r="Z65" i="68"/>
  <c r="T66" i="63"/>
  <c r="Z65" i="63"/>
  <c r="AO10" i="60"/>
  <c r="A45" i="60"/>
  <c r="B45" i="60" s="1"/>
  <c r="A22" i="60"/>
  <c r="B22" i="60" s="1"/>
  <c r="Q9" i="60"/>
  <c r="J32" i="60"/>
  <c r="AV32" i="60" s="1"/>
  <c r="AT37" i="60"/>
  <c r="AU49" i="60"/>
  <c r="AX33" i="60"/>
  <c r="AY33" i="60"/>
  <c r="AU45" i="60"/>
  <c r="AU37" i="60"/>
  <c r="AU41" i="60"/>
  <c r="AV33" i="60"/>
  <c r="AM33" i="60"/>
  <c r="AN33" i="60"/>
  <c r="C12" i="6" l="1"/>
  <c r="L4" i="69"/>
  <c r="AQ49" i="60"/>
  <c r="AO49" i="60" s="1"/>
  <c r="AQ45" i="60"/>
  <c r="AQ37" i="60"/>
  <c r="AO45" i="60" s="1"/>
  <c r="AQ41" i="60"/>
  <c r="A47" i="67"/>
  <c r="A64" i="67"/>
  <c r="F9" i="32"/>
  <c r="F9" i="41"/>
  <c r="F9" i="30"/>
  <c r="F9" i="31"/>
  <c r="AI4" i="69"/>
  <c r="AI6" i="69"/>
  <c r="L6" i="69"/>
  <c r="AF65" i="68"/>
  <c r="Z66" i="68"/>
  <c r="AE38" i="68" s="1"/>
  <c r="Z66" i="63"/>
  <c r="AF65" i="63"/>
  <c r="A26" i="60"/>
  <c r="X9" i="60"/>
  <c r="A49" i="60"/>
  <c r="B49" i="60" s="1"/>
  <c r="Q32" i="60"/>
  <c r="AW32" i="60" s="1"/>
  <c r="AT41" i="60"/>
  <c r="AQ33" i="60"/>
  <c r="AO37" i="60" l="1"/>
  <c r="N28" i="68"/>
  <c r="H72" i="68" s="1"/>
  <c r="AL65" i="68"/>
  <c r="AF66" i="68"/>
  <c r="AF66" i="63"/>
  <c r="AL65" i="63"/>
  <c r="B26" i="60"/>
  <c r="AE9" i="60" s="1"/>
  <c r="AE32" i="60"/>
  <c r="AY32" i="60" s="1"/>
  <c r="AT49" i="60"/>
  <c r="AT45" i="60"/>
  <c r="X32" i="60"/>
  <c r="AX32" i="60" s="1"/>
  <c r="AO33" i="60"/>
  <c r="AO41" i="60"/>
  <c r="A7" i="60" l="1"/>
  <c r="C15" i="6" s="1"/>
  <c r="AX74" i="67" s="1"/>
  <c r="A6" i="60"/>
  <c r="C14" i="6" s="1"/>
  <c r="AS74" i="67" s="1"/>
  <c r="A8" i="60"/>
  <c r="H3" i="60"/>
  <c r="AG3" i="60" s="1"/>
  <c r="AL66" i="68"/>
  <c r="AM38" i="68" s="1"/>
  <c r="BD28" i="68" s="1"/>
  <c r="DJ72" i="68" s="1"/>
  <c r="AR65" i="68"/>
  <c r="AR65" i="63"/>
  <c r="AL66" i="63"/>
  <c r="H4" i="60"/>
  <c r="AG4" i="60" s="1"/>
  <c r="H5" i="60"/>
  <c r="AG5" i="60" s="1"/>
  <c r="AF16" i="68" l="1"/>
  <c r="A3" i="68" s="1"/>
  <c r="DG23" i="68"/>
  <c r="AX65" i="68"/>
  <c r="AR66" i="68"/>
  <c r="AX65" i="63"/>
  <c r="AR66" i="63"/>
  <c r="C4" i="6" l="1"/>
  <c r="L3" i="68"/>
  <c r="AV3" i="68"/>
  <c r="AZ9" i="68"/>
  <c r="BD65" i="68"/>
  <c r="AX66" i="68"/>
  <c r="BD65" i="63"/>
  <c r="AX66" i="63"/>
  <c r="J10" i="6"/>
  <c r="J9" i="6"/>
  <c r="J8" i="6"/>
  <c r="J7" i="6"/>
  <c r="J6" i="6"/>
  <c r="J5" i="6"/>
  <c r="J4" i="6"/>
  <c r="D8" i="43"/>
  <c r="D7" i="43"/>
  <c r="D6" i="43"/>
  <c r="D5" i="43"/>
  <c r="J4" i="43"/>
  <c r="D4" i="43"/>
  <c r="J3" i="43"/>
  <c r="D3" i="43"/>
  <c r="BJ65" i="68" l="1"/>
  <c r="BD66" i="68"/>
  <c r="BD48" i="68" s="1"/>
  <c r="AK77" i="67"/>
  <c r="B77" i="67"/>
  <c r="BJ65" i="63"/>
  <c r="BD66" i="63"/>
  <c r="BJ66" i="68" l="1"/>
  <c r="BP65" i="68"/>
  <c r="BP65" i="63"/>
  <c r="BJ66" i="63"/>
  <c r="M373" i="29"/>
  <c r="M352" i="29"/>
  <c r="M331" i="29"/>
  <c r="M310" i="29"/>
  <c r="M289" i="29"/>
  <c r="M268" i="29"/>
  <c r="M247" i="29"/>
  <c r="M226" i="29"/>
  <c r="M205" i="29"/>
  <c r="M184" i="29"/>
  <c r="M163" i="29"/>
  <c r="M142" i="29"/>
  <c r="M121" i="29"/>
  <c r="M100" i="29"/>
  <c r="M79" i="29"/>
  <c r="M58" i="29"/>
  <c r="M37" i="29"/>
  <c r="BP66" i="68" l="1"/>
  <c r="BO38" i="68" s="1"/>
  <c r="BV65" i="68"/>
  <c r="BP66" i="63"/>
  <c r="BV65" i="63"/>
  <c r="H3" i="41"/>
  <c r="H3" i="32"/>
  <c r="BV66" i="68" l="1"/>
  <c r="BW38" i="68" s="1"/>
  <c r="CH28" i="68" s="1"/>
  <c r="CB65" i="68"/>
  <c r="BV66" i="63"/>
  <c r="CB65" i="63"/>
  <c r="I5" i="42"/>
  <c r="A62" i="42"/>
  <c r="AI59" i="42"/>
  <c r="N59" i="42"/>
  <c r="L59" i="42"/>
  <c r="K59" i="42"/>
  <c r="G59" i="42"/>
  <c r="AI58" i="42"/>
  <c r="N58" i="42"/>
  <c r="L58" i="42"/>
  <c r="K58" i="42"/>
  <c r="G58" i="42"/>
  <c r="AI57" i="42"/>
  <c r="N57" i="42"/>
  <c r="L57" i="42"/>
  <c r="K57" i="42"/>
  <c r="G57" i="42"/>
  <c r="AI56" i="42"/>
  <c r="N56" i="42"/>
  <c r="L56" i="42"/>
  <c r="K56" i="42"/>
  <c r="G56" i="42"/>
  <c r="AI55" i="42"/>
  <c r="N55" i="42"/>
  <c r="L55" i="42"/>
  <c r="K55" i="42"/>
  <c r="G55" i="42"/>
  <c r="AI54" i="42"/>
  <c r="N54" i="42"/>
  <c r="L54" i="42"/>
  <c r="K54" i="42"/>
  <c r="G54" i="42"/>
  <c r="AI53" i="42"/>
  <c r="N53" i="42"/>
  <c r="L53" i="42"/>
  <c r="K53" i="42"/>
  <c r="G53" i="42"/>
  <c r="AI52" i="42"/>
  <c r="N52" i="42"/>
  <c r="L52" i="42"/>
  <c r="K52" i="42"/>
  <c r="G52" i="42"/>
  <c r="AI51" i="42"/>
  <c r="N51" i="42"/>
  <c r="L51" i="42"/>
  <c r="K51" i="42"/>
  <c r="G51" i="42"/>
  <c r="AI50" i="42"/>
  <c r="N50" i="42"/>
  <c r="L50" i="42"/>
  <c r="K50" i="42"/>
  <c r="G50" i="42"/>
  <c r="AI49" i="42"/>
  <c r="N49" i="42"/>
  <c r="L49" i="42"/>
  <c r="K49" i="42"/>
  <c r="G49" i="42"/>
  <c r="AF47" i="42"/>
  <c r="AB47" i="42"/>
  <c r="T47" i="42"/>
  <c r="Q47" i="42"/>
  <c r="H47" i="42"/>
  <c r="D47" i="42"/>
  <c r="AF46" i="42"/>
  <c r="AB46" i="42"/>
  <c r="T46" i="42"/>
  <c r="Q46" i="42"/>
  <c r="H46" i="42"/>
  <c r="D46" i="42"/>
  <c r="AF45" i="42"/>
  <c r="AB45" i="42"/>
  <c r="T45" i="42"/>
  <c r="Q45" i="42"/>
  <c r="H45" i="42"/>
  <c r="D45" i="42"/>
  <c r="AF44" i="42"/>
  <c r="AB44" i="42"/>
  <c r="T44" i="42"/>
  <c r="Q44" i="42"/>
  <c r="H44" i="42"/>
  <c r="D44" i="42"/>
  <c r="AF43" i="42"/>
  <c r="AB43" i="42"/>
  <c r="T43" i="42"/>
  <c r="Q43" i="42"/>
  <c r="H43" i="42"/>
  <c r="D43" i="42"/>
  <c r="AF42" i="42"/>
  <c r="AB42" i="42"/>
  <c r="T42" i="42"/>
  <c r="Q42" i="42"/>
  <c r="H42" i="42"/>
  <c r="D42" i="42"/>
  <c r="AF41" i="42"/>
  <c r="AB41" i="42"/>
  <c r="X41" i="42"/>
  <c r="W41" i="42"/>
  <c r="M41" i="42"/>
  <c r="K41" i="42"/>
  <c r="H41" i="42"/>
  <c r="D41" i="42"/>
  <c r="AF40" i="42"/>
  <c r="AB40" i="42"/>
  <c r="H40" i="42"/>
  <c r="D40" i="42"/>
  <c r="AF39" i="42"/>
  <c r="AB39" i="42"/>
  <c r="H39" i="42"/>
  <c r="D39" i="42"/>
  <c r="AF38" i="42"/>
  <c r="AB38" i="42"/>
  <c r="H38" i="42"/>
  <c r="D38" i="42"/>
  <c r="AA36" i="42"/>
  <c r="U36" i="42"/>
  <c r="S36" i="42"/>
  <c r="R36" i="42"/>
  <c r="J36" i="42"/>
  <c r="H36" i="42"/>
  <c r="AA35" i="42"/>
  <c r="U35" i="42"/>
  <c r="S35" i="42"/>
  <c r="R35" i="42"/>
  <c r="J35" i="42"/>
  <c r="H35" i="42"/>
  <c r="AA34" i="42"/>
  <c r="U34" i="42"/>
  <c r="S34" i="42"/>
  <c r="R34" i="42"/>
  <c r="J34" i="42"/>
  <c r="AA33" i="42"/>
  <c r="U33" i="42"/>
  <c r="S33" i="42"/>
  <c r="R33" i="42"/>
  <c r="J33" i="42"/>
  <c r="H33" i="42"/>
  <c r="AA32" i="42"/>
  <c r="U32" i="42"/>
  <c r="S32" i="42"/>
  <c r="R32" i="42"/>
  <c r="J32" i="42"/>
  <c r="H32" i="42"/>
  <c r="AA31" i="42"/>
  <c r="U31" i="42"/>
  <c r="S31" i="42"/>
  <c r="R31" i="42"/>
  <c r="J31" i="42"/>
  <c r="H31" i="42"/>
  <c r="AA30" i="42"/>
  <c r="U30" i="42"/>
  <c r="S30" i="42"/>
  <c r="R30" i="42"/>
  <c r="J30" i="42"/>
  <c r="H30" i="42"/>
  <c r="AA29" i="42"/>
  <c r="U29" i="42"/>
  <c r="S29" i="42"/>
  <c r="R29" i="42"/>
  <c r="J29" i="42"/>
  <c r="H29" i="42"/>
  <c r="AA28" i="42"/>
  <c r="U28" i="42"/>
  <c r="S28" i="42"/>
  <c r="R28" i="42"/>
  <c r="J28" i="42"/>
  <c r="H28" i="42"/>
  <c r="AA27" i="42"/>
  <c r="U27" i="42"/>
  <c r="S27" i="42"/>
  <c r="R27" i="42"/>
  <c r="J27" i="42"/>
  <c r="H27" i="42"/>
  <c r="AA26" i="42"/>
  <c r="U26" i="42"/>
  <c r="S26" i="42"/>
  <c r="R26" i="42"/>
  <c r="J26" i="42"/>
  <c r="H26" i="42"/>
  <c r="AA25" i="42"/>
  <c r="U25" i="42"/>
  <c r="S25" i="42"/>
  <c r="R25" i="42"/>
  <c r="J25" i="42"/>
  <c r="H25" i="42"/>
  <c r="AA24" i="42"/>
  <c r="U24" i="42"/>
  <c r="S24" i="42"/>
  <c r="R24" i="42"/>
  <c r="J24" i="42"/>
  <c r="H24" i="42"/>
  <c r="AA23" i="42"/>
  <c r="U23" i="42"/>
  <c r="S23" i="42"/>
  <c r="R23" i="42"/>
  <c r="J23" i="42"/>
  <c r="H23" i="42"/>
  <c r="AA22" i="42"/>
  <c r="U22" i="42"/>
  <c r="S22" i="42"/>
  <c r="R22" i="42"/>
  <c r="J22" i="42"/>
  <c r="H22" i="42"/>
  <c r="AA21" i="42"/>
  <c r="U21" i="42"/>
  <c r="S21" i="42"/>
  <c r="R21" i="42"/>
  <c r="J21" i="42"/>
  <c r="H21" i="42"/>
  <c r="AA20" i="42"/>
  <c r="U20" i="42"/>
  <c r="S20" i="42"/>
  <c r="R20" i="42"/>
  <c r="J20" i="42"/>
  <c r="H20" i="42"/>
  <c r="AA19" i="42"/>
  <c r="U19" i="42"/>
  <c r="S19" i="42"/>
  <c r="R19" i="42"/>
  <c r="J19" i="42"/>
  <c r="H19" i="42"/>
  <c r="U16" i="42"/>
  <c r="O16" i="42"/>
  <c r="Q16" i="42" s="1"/>
  <c r="AC2" i="42"/>
  <c r="W2" i="42"/>
  <c r="A2" i="42"/>
  <c r="DC16" i="68" l="1"/>
  <c r="A4" i="68" s="1"/>
  <c r="C5" i="6" s="1"/>
  <c r="F74" i="67" s="1"/>
  <c r="K42" i="67" s="1"/>
  <c r="H80" i="68"/>
  <c r="CH65" i="68"/>
  <c r="CB66" i="68"/>
  <c r="CB66" i="63"/>
  <c r="CH65" i="63"/>
  <c r="Q41" i="42"/>
  <c r="T41" i="42"/>
  <c r="AV4" i="68" l="1"/>
  <c r="L4" i="68"/>
  <c r="CN65" i="68"/>
  <c r="CH66" i="68"/>
  <c r="AO74" i="67"/>
  <c r="AO42" i="67" s="1"/>
  <c r="AW28" i="67" s="1"/>
  <c r="CH66" i="63"/>
  <c r="CN65" i="63"/>
  <c r="U16" i="33"/>
  <c r="O16" i="33"/>
  <c r="CT65" i="68" l="1"/>
  <c r="CN66" i="68"/>
  <c r="CN48" i="68" s="1"/>
  <c r="CT65" i="63"/>
  <c r="CN66" i="63"/>
  <c r="E11" i="6"/>
  <c r="D11" i="6"/>
  <c r="F11" i="6"/>
  <c r="E12" i="6"/>
  <c r="F12" i="6"/>
  <c r="D12" i="6"/>
  <c r="K24" i="37"/>
  <c r="B24" i="37"/>
  <c r="B23" i="37"/>
  <c r="B22" i="37"/>
  <c r="B21" i="37"/>
  <c r="D13" i="37"/>
  <c r="L2" i="37"/>
  <c r="I11" i="6" l="1"/>
  <c r="I12" i="6"/>
  <c r="AF75" i="67"/>
  <c r="CZ65" i="68"/>
  <c r="CT66" i="68"/>
  <c r="CZ65" i="63"/>
  <c r="CT66" i="63"/>
  <c r="B74" i="67"/>
  <c r="E15" i="6"/>
  <c r="I15" i="6" s="1"/>
  <c r="D15" i="6"/>
  <c r="F15" i="6"/>
  <c r="E13" i="6"/>
  <c r="F13" i="6"/>
  <c r="D13" i="6"/>
  <c r="D14" i="6"/>
  <c r="E14" i="6"/>
  <c r="I14" i="6" s="1"/>
  <c r="F14" i="6"/>
  <c r="K24" i="38"/>
  <c r="B24" i="38"/>
  <c r="B23" i="38"/>
  <c r="B22" i="38"/>
  <c r="B21" i="38"/>
  <c r="D13" i="38"/>
  <c r="L2" i="38"/>
  <c r="K24" i="36"/>
  <c r="B24" i="36"/>
  <c r="B23" i="36"/>
  <c r="B22" i="36"/>
  <c r="B21" i="36"/>
  <c r="D13" i="36"/>
  <c r="B9" i="36"/>
  <c r="L2" i="36"/>
  <c r="K24" i="35"/>
  <c r="B24" i="35"/>
  <c r="B23" i="35"/>
  <c r="B22" i="35"/>
  <c r="B21" i="35"/>
  <c r="D13" i="35"/>
  <c r="L2" i="35"/>
  <c r="I13" i="6" l="1"/>
  <c r="AO75" i="67"/>
  <c r="AX75" i="67"/>
  <c r="AS75" i="67"/>
  <c r="DF65" i="68"/>
  <c r="CZ66" i="68"/>
  <c r="CY38" i="68" s="1"/>
  <c r="C28" i="67"/>
  <c r="DF65" i="63"/>
  <c r="CZ66" i="63"/>
  <c r="K57" i="20"/>
  <c r="K58" i="20"/>
  <c r="K59" i="20"/>
  <c r="K60" i="20"/>
  <c r="K61" i="20"/>
  <c r="K62" i="20"/>
  <c r="K63" i="20"/>
  <c r="K64" i="20"/>
  <c r="K65" i="20"/>
  <c r="B65" i="20" s="1"/>
  <c r="K66" i="20"/>
  <c r="B66" i="20" s="1"/>
  <c r="K67" i="20"/>
  <c r="B67" i="20" s="1"/>
  <c r="K68" i="20"/>
  <c r="B68" i="20" s="1"/>
  <c r="K69" i="20"/>
  <c r="B69" i="20" s="1"/>
  <c r="K70" i="20"/>
  <c r="B70" i="20" s="1"/>
  <c r="K71" i="20"/>
  <c r="B71" i="20" s="1"/>
  <c r="K72" i="20"/>
  <c r="B72" i="20" s="1"/>
  <c r="K73" i="20"/>
  <c r="B73" i="20" s="1"/>
  <c r="K74" i="20"/>
  <c r="B74" i="20" s="1"/>
  <c r="K75" i="20"/>
  <c r="B75" i="20" s="1"/>
  <c r="K76" i="20"/>
  <c r="B76" i="20" s="1"/>
  <c r="K77" i="20"/>
  <c r="B77" i="20" s="1"/>
  <c r="K78" i="20"/>
  <c r="B78" i="20" s="1"/>
  <c r="K79" i="20"/>
  <c r="B79" i="20" s="1"/>
  <c r="K80" i="20"/>
  <c r="B80" i="20" s="1"/>
  <c r="K81" i="20"/>
  <c r="B81" i="20" s="1"/>
  <c r="K82" i="20"/>
  <c r="B82" i="20" s="1"/>
  <c r="K83" i="20"/>
  <c r="B83" i="20" s="1"/>
  <c r="K84" i="20"/>
  <c r="B84" i="20" s="1"/>
  <c r="K85" i="20"/>
  <c r="B85" i="20" s="1"/>
  <c r="K86" i="20"/>
  <c r="B86" i="20" s="1"/>
  <c r="K87" i="20"/>
  <c r="B87" i="20" s="1"/>
  <c r="K88" i="20"/>
  <c r="B88" i="20" s="1"/>
  <c r="K89" i="20"/>
  <c r="B89" i="20" s="1"/>
  <c r="K90" i="20"/>
  <c r="B90" i="20" s="1"/>
  <c r="K91" i="20"/>
  <c r="B91" i="20" s="1"/>
  <c r="K92" i="20"/>
  <c r="B92" i="20" s="1"/>
  <c r="K93" i="20"/>
  <c r="B93" i="20" s="1"/>
  <c r="K94" i="20"/>
  <c r="B94" i="20" s="1"/>
  <c r="K95" i="20"/>
  <c r="B95" i="20" s="1"/>
  <c r="K96" i="20"/>
  <c r="B96" i="20" s="1"/>
  <c r="K97" i="20"/>
  <c r="B97" i="20" s="1"/>
  <c r="K98" i="20"/>
  <c r="B98" i="20" s="1"/>
  <c r="K99" i="20"/>
  <c r="B99" i="20" s="1"/>
  <c r="K100" i="20"/>
  <c r="B100" i="20" s="1"/>
  <c r="K101" i="20"/>
  <c r="B101" i="20" s="1"/>
  <c r="K55" i="20"/>
  <c r="K56" i="20"/>
  <c r="K14" i="67" l="1"/>
  <c r="E10" i="30"/>
  <c r="BF76" i="68"/>
  <c r="A7" i="68"/>
  <c r="C8" i="6" s="1"/>
  <c r="DL65" i="68"/>
  <c r="DF66" i="68"/>
  <c r="DF38" i="68" s="1"/>
  <c r="DU28" i="68" s="1"/>
  <c r="AK74" i="67"/>
  <c r="DL65" i="63"/>
  <c r="DF66" i="63"/>
  <c r="E10" i="32" l="1"/>
  <c r="AQ18" i="33"/>
  <c r="DU23" i="68"/>
  <c r="DL10" i="68" s="1"/>
  <c r="DJ80" i="68"/>
  <c r="S74" i="67"/>
  <c r="A6" i="68"/>
  <c r="AV6" i="68" s="1"/>
  <c r="A5" i="68"/>
  <c r="BU3" i="68"/>
  <c r="CY3" i="68"/>
  <c r="DL66" i="68"/>
  <c r="DR65" i="68"/>
  <c r="DL66" i="63"/>
  <c r="DR65" i="63"/>
  <c r="C7" i="6" l="1"/>
  <c r="O74" i="67" s="1"/>
  <c r="O42" i="67" s="1"/>
  <c r="L6" i="68"/>
  <c r="AV5" i="68"/>
  <c r="L5" i="68"/>
  <c r="C6" i="6"/>
  <c r="DX65" i="68"/>
  <c r="DR66" i="68"/>
  <c r="DR66" i="63"/>
  <c r="DX65" i="63"/>
  <c r="K74" i="67" l="1"/>
  <c r="ED65" i="68"/>
  <c r="ED66" i="68" s="1"/>
  <c r="EC38" i="68" s="1"/>
  <c r="DX66" i="68"/>
  <c r="ED65" i="63"/>
  <c r="ED66" i="63" s="1"/>
  <c r="DX66" i="63"/>
  <c r="L52" i="33"/>
  <c r="L51" i="33"/>
  <c r="L50" i="33"/>
  <c r="L49" i="33"/>
  <c r="BZ76" i="68" l="1"/>
  <c r="A9" i="68" s="1"/>
  <c r="A8" i="68"/>
  <c r="C9" i="6" s="1"/>
  <c r="CY5" i="68" l="1"/>
  <c r="C10" i="6"/>
  <c r="I10" i="31" s="1"/>
  <c r="X74" i="67"/>
  <c r="W28" i="67" s="1"/>
  <c r="BU5" i="68"/>
  <c r="CY4" i="68"/>
  <c r="BU4" i="68"/>
  <c r="R70" i="34"/>
  <c r="S70" i="34"/>
  <c r="T70" i="34"/>
  <c r="R71" i="34"/>
  <c r="S71" i="34"/>
  <c r="T71" i="34"/>
  <c r="R72" i="34"/>
  <c r="S72" i="34"/>
  <c r="T72" i="34"/>
  <c r="R73" i="34"/>
  <c r="S73" i="34"/>
  <c r="T73" i="34"/>
  <c r="R74" i="34"/>
  <c r="S74" i="34"/>
  <c r="T74" i="34"/>
  <c r="R75" i="34"/>
  <c r="S75" i="34"/>
  <c r="T75" i="34"/>
  <c r="R76" i="34"/>
  <c r="S76" i="34"/>
  <c r="T76" i="34"/>
  <c r="R77" i="34"/>
  <c r="S77" i="34"/>
  <c r="T77" i="34"/>
  <c r="R78" i="34"/>
  <c r="S78" i="34"/>
  <c r="T78" i="34"/>
  <c r="R79" i="34"/>
  <c r="S79" i="34"/>
  <c r="T79" i="34"/>
  <c r="R80" i="34"/>
  <c r="S80" i="34"/>
  <c r="T80" i="34"/>
  <c r="R81" i="34"/>
  <c r="S81" i="34"/>
  <c r="T81" i="34"/>
  <c r="R82" i="34"/>
  <c r="S82" i="34"/>
  <c r="T82" i="34"/>
  <c r="R83" i="34"/>
  <c r="S83" i="34"/>
  <c r="T83" i="34"/>
  <c r="R84" i="34"/>
  <c r="S84" i="34"/>
  <c r="T84" i="34"/>
  <c r="R85" i="34"/>
  <c r="S85" i="34"/>
  <c r="T85" i="34"/>
  <c r="R86" i="34"/>
  <c r="S86" i="34"/>
  <c r="T86" i="34"/>
  <c r="S69" i="34"/>
  <c r="T69" i="34"/>
  <c r="R69" i="34"/>
  <c r="T68" i="34"/>
  <c r="R48" i="34"/>
  <c r="S48" i="34"/>
  <c r="T48" i="34"/>
  <c r="R49" i="34"/>
  <c r="S49" i="34"/>
  <c r="T49" i="34"/>
  <c r="R50" i="34"/>
  <c r="S50" i="34"/>
  <c r="T50" i="34"/>
  <c r="R51" i="34"/>
  <c r="S51" i="34"/>
  <c r="T51" i="34"/>
  <c r="R52" i="34"/>
  <c r="S52" i="34"/>
  <c r="T52" i="34"/>
  <c r="R53" i="34"/>
  <c r="S53" i="34"/>
  <c r="T53" i="34"/>
  <c r="R54" i="34"/>
  <c r="S54" i="34"/>
  <c r="T54" i="34"/>
  <c r="R55" i="34"/>
  <c r="S55" i="34"/>
  <c r="T55" i="34"/>
  <c r="R56" i="34"/>
  <c r="S56" i="34"/>
  <c r="T56" i="34"/>
  <c r="R57" i="34"/>
  <c r="S57" i="34"/>
  <c r="T57" i="34"/>
  <c r="R58" i="34"/>
  <c r="S58" i="34"/>
  <c r="T58" i="34"/>
  <c r="R59" i="34"/>
  <c r="S59" i="34"/>
  <c r="T59" i="34"/>
  <c r="R60" i="34"/>
  <c r="S60" i="34"/>
  <c r="T60" i="34"/>
  <c r="R61" i="34"/>
  <c r="S61" i="34"/>
  <c r="T61" i="34"/>
  <c r="R62" i="34"/>
  <c r="S62" i="34"/>
  <c r="T62" i="34"/>
  <c r="R63" i="34"/>
  <c r="S63" i="34"/>
  <c r="T63" i="34"/>
  <c r="R64" i="34"/>
  <c r="S64" i="34"/>
  <c r="T64" i="34"/>
  <c r="S47" i="34"/>
  <c r="T47" i="34"/>
  <c r="R47" i="34"/>
  <c r="T46" i="34"/>
  <c r="R68" i="34"/>
  <c r="R46" i="34"/>
  <c r="R24" i="34"/>
  <c r="R2" i="34"/>
  <c r="R26" i="34"/>
  <c r="S26" i="34"/>
  <c r="T26" i="34"/>
  <c r="R27" i="34"/>
  <c r="S27" i="34"/>
  <c r="T27" i="34"/>
  <c r="R28" i="34"/>
  <c r="S28" i="34"/>
  <c r="T28" i="34"/>
  <c r="R29" i="34"/>
  <c r="S29" i="34"/>
  <c r="T29" i="34"/>
  <c r="R30" i="34"/>
  <c r="S30" i="34"/>
  <c r="T30" i="34"/>
  <c r="R31" i="34"/>
  <c r="S31" i="34"/>
  <c r="T31" i="34"/>
  <c r="R32" i="34"/>
  <c r="S32" i="34"/>
  <c r="T32" i="34"/>
  <c r="R33" i="34"/>
  <c r="S33" i="34"/>
  <c r="T33" i="34"/>
  <c r="R34" i="34"/>
  <c r="S34" i="34"/>
  <c r="T34" i="34"/>
  <c r="R35" i="34"/>
  <c r="S35" i="34"/>
  <c r="T35" i="34"/>
  <c r="R36" i="34"/>
  <c r="S36" i="34"/>
  <c r="T36" i="34"/>
  <c r="R37" i="34"/>
  <c r="S37" i="34"/>
  <c r="T37" i="34"/>
  <c r="R38" i="34"/>
  <c r="S38" i="34"/>
  <c r="T38" i="34"/>
  <c r="R39" i="34"/>
  <c r="S39" i="34"/>
  <c r="T39" i="34"/>
  <c r="R40" i="34"/>
  <c r="S40" i="34"/>
  <c r="T40" i="34"/>
  <c r="R41" i="34"/>
  <c r="S41" i="34"/>
  <c r="T41" i="34"/>
  <c r="R42" i="34"/>
  <c r="S42" i="34"/>
  <c r="T42" i="34"/>
  <c r="S25" i="34"/>
  <c r="T25" i="34"/>
  <c r="R25" i="34"/>
  <c r="T24" i="34"/>
  <c r="R4" i="34"/>
  <c r="S4" i="34"/>
  <c r="T4" i="34"/>
  <c r="R5" i="34"/>
  <c r="S5" i="34"/>
  <c r="T5" i="34"/>
  <c r="R6" i="34"/>
  <c r="S6" i="34"/>
  <c r="T6" i="34"/>
  <c r="R7" i="34"/>
  <c r="S7" i="34"/>
  <c r="T7" i="34"/>
  <c r="R8" i="34"/>
  <c r="S8" i="34"/>
  <c r="T8" i="34"/>
  <c r="R9" i="34"/>
  <c r="S9" i="34"/>
  <c r="T9" i="34"/>
  <c r="R10" i="34"/>
  <c r="S10" i="34"/>
  <c r="T10" i="34"/>
  <c r="R11" i="34"/>
  <c r="S11" i="34"/>
  <c r="T11" i="34"/>
  <c r="R12" i="34"/>
  <c r="S12" i="34"/>
  <c r="T12" i="34"/>
  <c r="R13" i="34"/>
  <c r="S13" i="34"/>
  <c r="T13" i="34"/>
  <c r="R14" i="34"/>
  <c r="S14" i="34"/>
  <c r="T14" i="34"/>
  <c r="R15" i="34"/>
  <c r="S15" i="34"/>
  <c r="T15" i="34"/>
  <c r="R16" i="34"/>
  <c r="S16" i="34"/>
  <c r="T16" i="34"/>
  <c r="R17" i="34"/>
  <c r="S17" i="34"/>
  <c r="T17" i="34"/>
  <c r="R18" i="34"/>
  <c r="S18" i="34"/>
  <c r="T18" i="34"/>
  <c r="R19" i="34"/>
  <c r="S19" i="34"/>
  <c r="T19" i="34"/>
  <c r="R20" i="34"/>
  <c r="S20" i="34"/>
  <c r="T20" i="34"/>
  <c r="S3" i="34"/>
  <c r="T3" i="34"/>
  <c r="R3" i="34"/>
  <c r="T2" i="34"/>
  <c r="BC24" i="67" l="1"/>
  <c r="I10" i="30"/>
  <c r="AB74" i="67"/>
  <c r="U262" i="29"/>
  <c r="U283" i="29" s="1"/>
  <c r="U178" i="29"/>
  <c r="U199" i="29" s="1"/>
  <c r="U94" i="29"/>
  <c r="U115" i="29" s="1"/>
  <c r="U10" i="29"/>
  <c r="E10" i="41" l="1"/>
  <c r="AQ18" i="42"/>
  <c r="BF9" i="67"/>
  <c r="AO14" i="67"/>
  <c r="S8" i="67" s="1"/>
  <c r="E10" i="31"/>
  <c r="U31" i="29"/>
  <c r="Y5" i="67" l="1"/>
  <c r="E4" i="67"/>
  <c r="BI24" i="67"/>
  <c r="I10" i="32"/>
  <c r="AU18" i="33"/>
  <c r="E3" i="67"/>
  <c r="U304" i="29"/>
  <c r="U325" i="29" s="1"/>
  <c r="U220" i="29"/>
  <c r="U241" i="29" s="1"/>
  <c r="U136" i="29"/>
  <c r="U157" i="29" s="1"/>
  <c r="U52" i="29"/>
  <c r="U73" i="29" s="1"/>
  <c r="AU18" i="42" l="1"/>
  <c r="I10" i="41"/>
  <c r="E5" i="67"/>
  <c r="E6" i="67"/>
  <c r="C66" i="20"/>
  <c r="C82" i="20"/>
  <c r="C79" i="20"/>
  <c r="C80" i="20"/>
  <c r="C96" i="20"/>
  <c r="C65" i="20"/>
  <c r="C68" i="20"/>
  <c r="C84" i="20"/>
  <c r="C100" i="20"/>
  <c r="C67" i="20"/>
  <c r="C69" i="20"/>
  <c r="C70" i="20"/>
  <c r="C71" i="20"/>
  <c r="C72" i="20"/>
  <c r="C73" i="20"/>
  <c r="C74" i="20"/>
  <c r="C75" i="20"/>
  <c r="C76" i="20"/>
  <c r="C77" i="20"/>
  <c r="C78" i="20"/>
  <c r="C81" i="20"/>
  <c r="C83" i="20"/>
  <c r="C85" i="20"/>
  <c r="C86" i="20"/>
  <c r="C87" i="20"/>
  <c r="C88" i="20"/>
  <c r="C89" i="20"/>
  <c r="C90" i="20"/>
  <c r="C91" i="20"/>
  <c r="C92" i="20"/>
  <c r="C93" i="20"/>
  <c r="C94" i="20"/>
  <c r="C95" i="20"/>
  <c r="C97" i="20"/>
  <c r="C98" i="20"/>
  <c r="C99" i="20"/>
  <c r="C101" i="20"/>
  <c r="I5" i="33"/>
  <c r="R325" i="29"/>
  <c r="T325" i="29" s="1"/>
  <c r="G325" i="29" s="1"/>
  <c r="R304" i="29"/>
  <c r="T304" i="29" s="1"/>
  <c r="R283" i="29"/>
  <c r="T283" i="29" s="1"/>
  <c r="R262" i="29"/>
  <c r="T262" i="29" s="1"/>
  <c r="R241" i="29"/>
  <c r="T241" i="29" s="1"/>
  <c r="R220" i="29"/>
  <c r="T220" i="29" s="1"/>
  <c r="R199" i="29"/>
  <c r="T199" i="29" s="1"/>
  <c r="R178" i="29"/>
  <c r="T178" i="29" s="1"/>
  <c r="R157" i="29"/>
  <c r="T157" i="29" s="1"/>
  <c r="R136" i="29"/>
  <c r="T136" i="29" s="1"/>
  <c r="R115" i="29"/>
  <c r="T115" i="29" s="1"/>
  <c r="R94" i="29"/>
  <c r="T94" i="29" s="1"/>
  <c r="R73" i="29"/>
  <c r="T73" i="29" s="1"/>
  <c r="R52" i="29"/>
  <c r="T52" i="29" s="1"/>
  <c r="R31" i="29"/>
  <c r="T31" i="29" s="1"/>
  <c r="R10" i="29"/>
  <c r="A2" i="33"/>
  <c r="A62" i="33"/>
  <c r="AI59" i="33"/>
  <c r="N59" i="33"/>
  <c r="L59" i="33"/>
  <c r="K59" i="33"/>
  <c r="G59" i="33"/>
  <c r="L58" i="33"/>
  <c r="L57" i="33"/>
  <c r="L56" i="33"/>
  <c r="L55" i="33"/>
  <c r="L54" i="33"/>
  <c r="L53" i="33"/>
  <c r="AF47" i="33"/>
  <c r="AB47" i="33"/>
  <c r="T47" i="33"/>
  <c r="Q47" i="33"/>
  <c r="H47" i="33"/>
  <c r="D47" i="33"/>
  <c r="AF46" i="33"/>
  <c r="AB46" i="33"/>
  <c r="T46" i="33"/>
  <c r="Q46" i="33"/>
  <c r="H46" i="33"/>
  <c r="D46" i="33"/>
  <c r="AF45" i="33"/>
  <c r="AB45" i="33"/>
  <c r="T45" i="33"/>
  <c r="Q45" i="33"/>
  <c r="H45" i="33"/>
  <c r="D45" i="33"/>
  <c r="AF44" i="33"/>
  <c r="AB44" i="33"/>
  <c r="T44" i="33"/>
  <c r="Q44" i="33"/>
  <c r="H44" i="33"/>
  <c r="D44" i="33"/>
  <c r="AF43" i="33"/>
  <c r="AB43" i="33"/>
  <c r="T43" i="33"/>
  <c r="Q43" i="33"/>
  <c r="H43" i="33"/>
  <c r="D43" i="33"/>
  <c r="AF42" i="33"/>
  <c r="AB42" i="33"/>
  <c r="T42" i="33"/>
  <c r="Q42" i="33"/>
  <c r="AF41" i="33"/>
  <c r="AB41" i="33"/>
  <c r="X41" i="33"/>
  <c r="W41" i="33"/>
  <c r="M41" i="33"/>
  <c r="K41" i="33"/>
  <c r="AF40" i="33"/>
  <c r="AB40" i="33"/>
  <c r="AA36" i="33"/>
  <c r="H36" i="33"/>
  <c r="AA35" i="33"/>
  <c r="H35" i="33"/>
  <c r="AA34" i="33"/>
  <c r="AA33" i="33"/>
  <c r="H33" i="33"/>
  <c r="AA32" i="33"/>
  <c r="H32" i="33"/>
  <c r="AA31" i="33"/>
  <c r="H31" i="33"/>
  <c r="AA30" i="33"/>
  <c r="H30" i="33"/>
  <c r="AA29" i="33"/>
  <c r="H29" i="33"/>
  <c r="AA28" i="33"/>
  <c r="H28" i="33"/>
  <c r="AA27" i="33"/>
  <c r="H27" i="33"/>
  <c r="AA26" i="33"/>
  <c r="H26" i="33"/>
  <c r="AA25" i="33"/>
  <c r="H25" i="33"/>
  <c r="AA24" i="33"/>
  <c r="H24" i="33"/>
  <c r="AA23" i="33"/>
  <c r="H23" i="33"/>
  <c r="AA22" i="33"/>
  <c r="H22" i="33"/>
  <c r="AA21" i="33"/>
  <c r="H21" i="33"/>
  <c r="AA20" i="33"/>
  <c r="H20" i="33"/>
  <c r="AA19" i="33"/>
  <c r="H19" i="33"/>
  <c r="Q16" i="33"/>
  <c r="AC2" i="33"/>
  <c r="W2" i="33"/>
  <c r="P29" i="29"/>
  <c r="E2" i="20"/>
  <c r="I2" i="20" s="1"/>
  <c r="J2" i="20" s="1"/>
  <c r="H2" i="20"/>
  <c r="E3" i="20"/>
  <c r="F3" i="20" s="1"/>
  <c r="D3" i="20" s="1"/>
  <c r="H3" i="20"/>
  <c r="E4" i="20"/>
  <c r="F4" i="20" s="1"/>
  <c r="H4" i="20"/>
  <c r="E5" i="20"/>
  <c r="F5" i="20" s="1"/>
  <c r="H5" i="20"/>
  <c r="E6" i="20"/>
  <c r="I6" i="20" s="1"/>
  <c r="J6" i="20" s="1"/>
  <c r="H6" i="20"/>
  <c r="E7" i="20"/>
  <c r="F7" i="20" s="1"/>
  <c r="D7" i="20" s="1"/>
  <c r="H7" i="20"/>
  <c r="E8" i="20"/>
  <c r="G8" i="20" s="1"/>
  <c r="H8" i="20"/>
  <c r="E9" i="20"/>
  <c r="G9" i="20" s="1"/>
  <c r="H9" i="20"/>
  <c r="E10" i="20"/>
  <c r="I10" i="20" s="1"/>
  <c r="J10" i="20" s="1"/>
  <c r="H10" i="20"/>
  <c r="E11" i="20"/>
  <c r="F11" i="20" s="1"/>
  <c r="H11" i="20"/>
  <c r="E12" i="20"/>
  <c r="G12" i="20" s="1"/>
  <c r="H12" i="20"/>
  <c r="E13" i="20"/>
  <c r="I13" i="20" s="1"/>
  <c r="J13" i="20" s="1"/>
  <c r="H13" i="20"/>
  <c r="E14" i="20"/>
  <c r="F14" i="20" s="1"/>
  <c r="H14" i="20"/>
  <c r="E15" i="20"/>
  <c r="F15" i="20" s="1"/>
  <c r="H15" i="20"/>
  <c r="E16" i="20"/>
  <c r="G16" i="20" s="1"/>
  <c r="H16" i="20"/>
  <c r="E17" i="20"/>
  <c r="F17" i="20" s="1"/>
  <c r="H17" i="20"/>
  <c r="E18" i="20"/>
  <c r="F18" i="20" s="1"/>
  <c r="H18" i="20"/>
  <c r="E19" i="20"/>
  <c r="F19" i="20" s="1"/>
  <c r="H19" i="20"/>
  <c r="E20" i="20"/>
  <c r="F20" i="20" s="1"/>
  <c r="H20" i="20"/>
  <c r="E21" i="20"/>
  <c r="G21" i="20" s="1"/>
  <c r="H21" i="20"/>
  <c r="E22" i="20"/>
  <c r="G22" i="20" s="1"/>
  <c r="H22" i="20"/>
  <c r="E23" i="20"/>
  <c r="F23" i="20" s="1"/>
  <c r="H23" i="20"/>
  <c r="E24" i="20"/>
  <c r="G24" i="20" s="1"/>
  <c r="H24" i="20"/>
  <c r="E25" i="20"/>
  <c r="G25" i="20" s="1"/>
  <c r="H25" i="20"/>
  <c r="E26" i="20"/>
  <c r="I26" i="20" s="1"/>
  <c r="J26" i="20" s="1"/>
  <c r="H26" i="20"/>
  <c r="E27" i="20"/>
  <c r="F27" i="20" s="1"/>
  <c r="H27" i="20"/>
  <c r="E28" i="20"/>
  <c r="H28" i="20"/>
  <c r="E29" i="20"/>
  <c r="F29" i="20" s="1"/>
  <c r="H29" i="20"/>
  <c r="E30" i="20"/>
  <c r="F30" i="20" s="1"/>
  <c r="H30" i="20"/>
  <c r="E31" i="20"/>
  <c r="F31" i="20" s="1"/>
  <c r="D31" i="20" s="1"/>
  <c r="H31" i="20"/>
  <c r="E32" i="20"/>
  <c r="I32" i="20" s="1"/>
  <c r="J32" i="20" s="1"/>
  <c r="H32" i="20"/>
  <c r="E33" i="20"/>
  <c r="G33" i="20" s="1"/>
  <c r="H33" i="20"/>
  <c r="E34" i="20"/>
  <c r="I34" i="20" s="1"/>
  <c r="J34" i="20" s="1"/>
  <c r="H34" i="20"/>
  <c r="E35" i="20"/>
  <c r="F35" i="20" s="1"/>
  <c r="H35" i="20"/>
  <c r="E36" i="20"/>
  <c r="F36" i="20" s="1"/>
  <c r="H36" i="20"/>
  <c r="E37" i="20"/>
  <c r="G37" i="20" s="1"/>
  <c r="H37" i="20"/>
  <c r="E38" i="20"/>
  <c r="I38" i="20" s="1"/>
  <c r="J38" i="20" s="1"/>
  <c r="H38" i="20"/>
  <c r="E39" i="20"/>
  <c r="F39" i="20" s="1"/>
  <c r="H39" i="20"/>
  <c r="E40" i="20"/>
  <c r="G40" i="20" s="1"/>
  <c r="H40" i="20"/>
  <c r="E41" i="20"/>
  <c r="H41" i="20"/>
  <c r="E42" i="20"/>
  <c r="G42" i="20" s="1"/>
  <c r="H42" i="20"/>
  <c r="E43" i="20"/>
  <c r="F43" i="20" s="1"/>
  <c r="H43" i="20"/>
  <c r="E44" i="20"/>
  <c r="G44" i="20" s="1"/>
  <c r="H44" i="20"/>
  <c r="E45" i="20"/>
  <c r="G45" i="20" s="1"/>
  <c r="H45" i="20"/>
  <c r="E46" i="20"/>
  <c r="F46" i="20" s="1"/>
  <c r="H46" i="20"/>
  <c r="E47" i="20"/>
  <c r="F47" i="20" s="1"/>
  <c r="H47" i="20"/>
  <c r="E48" i="20"/>
  <c r="H48" i="20"/>
  <c r="E49" i="20"/>
  <c r="H49" i="20"/>
  <c r="E50" i="20"/>
  <c r="G50" i="20" s="1"/>
  <c r="H50" i="20"/>
  <c r="E51" i="20"/>
  <c r="F51" i="20" s="1"/>
  <c r="H51" i="20"/>
  <c r="E52" i="20"/>
  <c r="G52" i="20" s="1"/>
  <c r="H52" i="20"/>
  <c r="H53" i="20"/>
  <c r="H54" i="20"/>
  <c r="H55" i="20"/>
  <c r="H56" i="20"/>
  <c r="H57" i="20"/>
  <c r="H58" i="20"/>
  <c r="H59" i="20"/>
  <c r="E60" i="20"/>
  <c r="F60" i="20" s="1"/>
  <c r="H60" i="20"/>
  <c r="E61" i="20"/>
  <c r="G61" i="20" s="1"/>
  <c r="H61" i="20"/>
  <c r="E62" i="20"/>
  <c r="G62" i="20" s="1"/>
  <c r="H62" i="20"/>
  <c r="E63" i="20"/>
  <c r="F63" i="20" s="1"/>
  <c r="H63" i="20"/>
  <c r="E64" i="20"/>
  <c r="F64" i="20" s="1"/>
  <c r="H64" i="20"/>
  <c r="E65" i="20"/>
  <c r="F65" i="20" s="1"/>
  <c r="H65" i="20"/>
  <c r="E66" i="20"/>
  <c r="F66" i="20" s="1"/>
  <c r="H66" i="20"/>
  <c r="E67" i="20"/>
  <c r="H67" i="20"/>
  <c r="E68" i="20"/>
  <c r="F68" i="20" s="1"/>
  <c r="H68" i="20"/>
  <c r="E69" i="20"/>
  <c r="F69" i="20" s="1"/>
  <c r="H69" i="20"/>
  <c r="E70" i="20"/>
  <c r="F70" i="20" s="1"/>
  <c r="H70" i="20"/>
  <c r="E71" i="20"/>
  <c r="H71" i="20"/>
  <c r="E72" i="20"/>
  <c r="F72" i="20" s="1"/>
  <c r="H72" i="20"/>
  <c r="E73" i="20"/>
  <c r="F73" i="20" s="1"/>
  <c r="H73" i="20"/>
  <c r="E74" i="20"/>
  <c r="F74" i="20" s="1"/>
  <c r="H74" i="20"/>
  <c r="E75" i="20"/>
  <c r="H75" i="20"/>
  <c r="E76" i="20"/>
  <c r="F76" i="20" s="1"/>
  <c r="H76" i="20"/>
  <c r="E77" i="20"/>
  <c r="F77" i="20" s="1"/>
  <c r="H77" i="20"/>
  <c r="E78" i="20"/>
  <c r="F78" i="20" s="1"/>
  <c r="H78" i="20"/>
  <c r="E79" i="20"/>
  <c r="H79" i="20"/>
  <c r="E80" i="20"/>
  <c r="F80" i="20" s="1"/>
  <c r="H80" i="20"/>
  <c r="E81" i="20"/>
  <c r="F81" i="20" s="1"/>
  <c r="H81" i="20"/>
  <c r="E82" i="20"/>
  <c r="F82" i="20" s="1"/>
  <c r="H82" i="20"/>
  <c r="E83" i="20"/>
  <c r="H83" i="20"/>
  <c r="E84" i="20"/>
  <c r="F84" i="20" s="1"/>
  <c r="H84" i="20"/>
  <c r="E85" i="20"/>
  <c r="F85" i="20" s="1"/>
  <c r="H85" i="20"/>
  <c r="E86" i="20"/>
  <c r="F86" i="20" s="1"/>
  <c r="H86" i="20"/>
  <c r="E87" i="20"/>
  <c r="F87" i="20" s="1"/>
  <c r="H87" i="20"/>
  <c r="E88" i="20"/>
  <c r="F88" i="20" s="1"/>
  <c r="H88" i="20"/>
  <c r="E89" i="20"/>
  <c r="H89" i="20"/>
  <c r="E90" i="20"/>
  <c r="F90" i="20" s="1"/>
  <c r="H90" i="20"/>
  <c r="E91" i="20"/>
  <c r="H91" i="20"/>
  <c r="E92" i="20"/>
  <c r="F92" i="20" s="1"/>
  <c r="H92" i="20"/>
  <c r="E93" i="20"/>
  <c r="F93" i="20" s="1"/>
  <c r="H93" i="20"/>
  <c r="E94" i="20"/>
  <c r="F94" i="20" s="1"/>
  <c r="H94" i="20"/>
  <c r="E95" i="20"/>
  <c r="F95" i="20" s="1"/>
  <c r="H95" i="20"/>
  <c r="E96" i="20"/>
  <c r="F96" i="20" s="1"/>
  <c r="H96" i="20"/>
  <c r="E97" i="20"/>
  <c r="H97" i="20"/>
  <c r="E98" i="20"/>
  <c r="F98" i="20" s="1"/>
  <c r="H98" i="20"/>
  <c r="E99" i="20"/>
  <c r="H99" i="20"/>
  <c r="E100" i="20"/>
  <c r="F100" i="20" s="1"/>
  <c r="H100" i="20"/>
  <c r="E101" i="20"/>
  <c r="F101" i="20" s="1"/>
  <c r="H101" i="20"/>
  <c r="F325" i="29" l="1"/>
  <c r="G6" i="20"/>
  <c r="E8" i="6"/>
  <c r="I8" i="6" s="1"/>
  <c r="F8" i="6"/>
  <c r="D8" i="6"/>
  <c r="F10" i="20"/>
  <c r="D10" i="20" s="1"/>
  <c r="E59" i="20"/>
  <c r="F59" i="20" s="1"/>
  <c r="I20" i="20"/>
  <c r="J20" i="20" s="1"/>
  <c r="F38" i="20"/>
  <c r="D38" i="20" s="1"/>
  <c r="I3" i="20"/>
  <c r="J3" i="20" s="1"/>
  <c r="G14" i="20"/>
  <c r="G34" i="20"/>
  <c r="E58" i="20"/>
  <c r="F58" i="20" s="1"/>
  <c r="G20" i="20"/>
  <c r="G10" i="20"/>
  <c r="G38" i="20"/>
  <c r="F42" i="20"/>
  <c r="F26" i="20"/>
  <c r="D26" i="20" s="1"/>
  <c r="G2" i="20"/>
  <c r="G18" i="20"/>
  <c r="F6" i="20"/>
  <c r="D6" i="20" s="1"/>
  <c r="F34" i="20"/>
  <c r="D34" i="20" s="1"/>
  <c r="F13" i="20"/>
  <c r="D13" i="20" s="1"/>
  <c r="G7" i="20"/>
  <c r="G15" i="20"/>
  <c r="G23" i="20"/>
  <c r="G3" i="20"/>
  <c r="G11" i="20"/>
  <c r="G43" i="20"/>
  <c r="G30" i="20"/>
  <c r="G46" i="20"/>
  <c r="F22" i="20"/>
  <c r="G35" i="20"/>
  <c r="F62" i="20"/>
  <c r="G74" i="20"/>
  <c r="F61" i="20"/>
  <c r="G86" i="20"/>
  <c r="G70" i="20"/>
  <c r="G98" i="20"/>
  <c r="G82" i="20"/>
  <c r="G64" i="20"/>
  <c r="G94" i="20"/>
  <c r="G78" i="20"/>
  <c r="G90" i="20"/>
  <c r="G96" i="20"/>
  <c r="G88" i="20"/>
  <c r="G66" i="20"/>
  <c r="G60" i="20"/>
  <c r="G101" i="20"/>
  <c r="G97" i="20"/>
  <c r="G93" i="20"/>
  <c r="G89" i="20"/>
  <c r="G85" i="20"/>
  <c r="G81" i="20"/>
  <c r="G77" i="20"/>
  <c r="G73" i="20"/>
  <c r="G69" i="20"/>
  <c r="G65" i="20"/>
  <c r="G63" i="20"/>
  <c r="G99" i="20"/>
  <c r="G95" i="20"/>
  <c r="G91" i="20"/>
  <c r="G87" i="20"/>
  <c r="G83" i="20"/>
  <c r="G79" i="20"/>
  <c r="G75" i="20"/>
  <c r="G71" i="20"/>
  <c r="G67" i="20"/>
  <c r="F99" i="20"/>
  <c r="F97" i="20"/>
  <c r="F91" i="20"/>
  <c r="F89" i="20"/>
  <c r="F83" i="20"/>
  <c r="F79" i="20"/>
  <c r="F75" i="20"/>
  <c r="F71" i="20"/>
  <c r="F67" i="20"/>
  <c r="G100" i="20"/>
  <c r="G92" i="20"/>
  <c r="G84" i="20"/>
  <c r="G80" i="20"/>
  <c r="G76" i="20"/>
  <c r="G72" i="20"/>
  <c r="G68" i="20"/>
  <c r="F50" i="20"/>
  <c r="P50" i="29"/>
  <c r="P71" i="29" s="1"/>
  <c r="P92" i="29" s="1"/>
  <c r="P113" i="29" s="1"/>
  <c r="P134" i="29" s="1"/>
  <c r="I11" i="20"/>
  <c r="J11" i="20" s="1"/>
  <c r="I7" i="20"/>
  <c r="J7" i="20" s="1"/>
  <c r="G31" i="20"/>
  <c r="G39" i="20"/>
  <c r="I29" i="20"/>
  <c r="J29" i="20" s="1"/>
  <c r="G47" i="20"/>
  <c r="I17" i="20"/>
  <c r="J17" i="20" s="1"/>
  <c r="K325" i="29"/>
  <c r="E325" i="29"/>
  <c r="I325" i="29"/>
  <c r="H325" i="29"/>
  <c r="J325" i="29"/>
  <c r="T10" i="29"/>
  <c r="I10" i="29" s="1"/>
  <c r="R2" i="29"/>
  <c r="T41" i="33"/>
  <c r="K94" i="29"/>
  <c r="G94" i="29"/>
  <c r="I94" i="29"/>
  <c r="J94" i="29"/>
  <c r="H94" i="29"/>
  <c r="E94" i="29"/>
  <c r="F94" i="29"/>
  <c r="G51" i="20"/>
  <c r="G29" i="20"/>
  <c r="G17" i="20"/>
  <c r="I31" i="20"/>
  <c r="J31" i="20" s="1"/>
  <c r="G19" i="20"/>
  <c r="G27" i="20"/>
  <c r="K262" i="29"/>
  <c r="E262" i="29"/>
  <c r="J262" i="29"/>
  <c r="H262" i="29"/>
  <c r="F262" i="29"/>
  <c r="I262" i="29"/>
  <c r="G262" i="29"/>
  <c r="H136" i="29"/>
  <c r="I136" i="29"/>
  <c r="E136" i="29"/>
  <c r="J136" i="29"/>
  <c r="K136" i="29"/>
  <c r="G136" i="29"/>
  <c r="F136" i="29"/>
  <c r="F220" i="29"/>
  <c r="K220" i="29"/>
  <c r="G220" i="29"/>
  <c r="I220" i="29"/>
  <c r="E220" i="29"/>
  <c r="J220" i="29"/>
  <c r="H220" i="29"/>
  <c r="J304" i="29"/>
  <c r="E304" i="29"/>
  <c r="F304" i="29"/>
  <c r="K304" i="29"/>
  <c r="G304" i="29"/>
  <c r="H304" i="29"/>
  <c r="I304" i="29"/>
  <c r="E178" i="29"/>
  <c r="J178" i="29"/>
  <c r="F178" i="29"/>
  <c r="G178" i="29"/>
  <c r="K178" i="29"/>
  <c r="H178" i="29"/>
  <c r="I178" i="29"/>
  <c r="H52" i="29"/>
  <c r="K52" i="29"/>
  <c r="G52" i="29"/>
  <c r="I52" i="29"/>
  <c r="E52" i="29"/>
  <c r="J52" i="29"/>
  <c r="F52" i="29"/>
  <c r="I12" i="20"/>
  <c r="J12" i="20" s="1"/>
  <c r="I73" i="29"/>
  <c r="E73" i="29"/>
  <c r="J73" i="29"/>
  <c r="F73" i="29"/>
  <c r="K73" i="29"/>
  <c r="G73" i="29"/>
  <c r="H73" i="29"/>
  <c r="I241" i="29"/>
  <c r="E241" i="29"/>
  <c r="J241" i="29"/>
  <c r="F241" i="29"/>
  <c r="K241" i="29"/>
  <c r="G241" i="29"/>
  <c r="H241" i="29"/>
  <c r="G31" i="29"/>
  <c r="H31" i="29"/>
  <c r="I31" i="29"/>
  <c r="E31" i="29"/>
  <c r="J31" i="29"/>
  <c r="K31" i="29"/>
  <c r="F31" i="29"/>
  <c r="G199" i="29"/>
  <c r="H199" i="29"/>
  <c r="I199" i="29"/>
  <c r="E199" i="29"/>
  <c r="J199" i="29"/>
  <c r="F199" i="29"/>
  <c r="K199" i="29"/>
  <c r="F157" i="29"/>
  <c r="K157" i="29"/>
  <c r="G157" i="29"/>
  <c r="H157" i="29"/>
  <c r="I157" i="29"/>
  <c r="E157" i="29"/>
  <c r="J157" i="29"/>
  <c r="J115" i="29"/>
  <c r="F115" i="29"/>
  <c r="K115" i="29"/>
  <c r="G115" i="29"/>
  <c r="H115" i="29"/>
  <c r="I115" i="29"/>
  <c r="E115" i="29"/>
  <c r="J283" i="29"/>
  <c r="F283" i="29"/>
  <c r="K283" i="29"/>
  <c r="G283" i="29"/>
  <c r="H283" i="29"/>
  <c r="E283" i="29"/>
  <c r="I283" i="29"/>
  <c r="G5" i="20"/>
  <c r="G4" i="20"/>
  <c r="G13" i="20"/>
  <c r="F52" i="20"/>
  <c r="F40" i="20"/>
  <c r="I33" i="20"/>
  <c r="J33" i="20" s="1"/>
  <c r="F33" i="20"/>
  <c r="D33" i="20" s="1"/>
  <c r="Q41" i="33"/>
  <c r="F49" i="20"/>
  <c r="G49" i="20"/>
  <c r="F32" i="20"/>
  <c r="D32" i="20" s="1"/>
  <c r="G32" i="20"/>
  <c r="G41" i="20"/>
  <c r="F41" i="20"/>
  <c r="D36" i="20"/>
  <c r="G36" i="20"/>
  <c r="F2" i="20"/>
  <c r="D2" i="20" s="1"/>
  <c r="F48" i="20"/>
  <c r="G48" i="20"/>
  <c r="G28" i="20"/>
  <c r="I28" i="20"/>
  <c r="J28" i="20" s="1"/>
  <c r="D11" i="20"/>
  <c r="G26" i="20"/>
  <c r="D29" i="20"/>
  <c r="F45" i="20"/>
  <c r="F44" i="20"/>
  <c r="F37" i="20"/>
  <c r="F28" i="20"/>
  <c r="D28" i="20" s="1"/>
  <c r="F25" i="20"/>
  <c r="F24" i="20"/>
  <c r="I21" i="20"/>
  <c r="J21" i="20" s="1"/>
  <c r="F21" i="20"/>
  <c r="D21" i="20" s="1"/>
  <c r="D20" i="20"/>
  <c r="D17" i="20"/>
  <c r="I16" i="20"/>
  <c r="J16" i="20" s="1"/>
  <c r="F12" i="20"/>
  <c r="D12" i="20" s="1"/>
  <c r="F9" i="20"/>
  <c r="F8" i="20"/>
  <c r="I36" i="20"/>
  <c r="J36" i="20" s="1"/>
  <c r="F16" i="20"/>
  <c r="D16" i="20" s="1"/>
  <c r="S75" i="67" l="1"/>
  <c r="F4" i="6"/>
  <c r="E4" i="6"/>
  <c r="D4" i="6"/>
  <c r="G59" i="20"/>
  <c r="G58" i="20"/>
  <c r="I4" i="20"/>
  <c r="J4" i="20" s="1"/>
  <c r="D4" i="20" s="1"/>
  <c r="I5" i="20"/>
  <c r="I9" i="20"/>
  <c r="J9" i="20" s="1"/>
  <c r="I35" i="20"/>
  <c r="J35" i="20" s="1"/>
  <c r="E5" i="42"/>
  <c r="I65" i="20"/>
  <c r="I69" i="20"/>
  <c r="I77" i="20"/>
  <c r="I99" i="20"/>
  <c r="I93" i="20"/>
  <c r="I60" i="20"/>
  <c r="I72" i="20"/>
  <c r="I80" i="20"/>
  <c r="I88" i="20"/>
  <c r="I96" i="20"/>
  <c r="I67" i="20"/>
  <c r="I83" i="20"/>
  <c r="I85" i="20"/>
  <c r="I95" i="20"/>
  <c r="I62" i="20"/>
  <c r="I66" i="20"/>
  <c r="I74" i="20"/>
  <c r="I82" i="20"/>
  <c r="I90" i="20"/>
  <c r="I98" i="20"/>
  <c r="I59" i="20"/>
  <c r="I71" i="20"/>
  <c r="I97" i="20"/>
  <c r="I63" i="20"/>
  <c r="I87" i="20"/>
  <c r="I68" i="20"/>
  <c r="I76" i="20"/>
  <c r="I84" i="20"/>
  <c r="I92" i="20"/>
  <c r="I100" i="20"/>
  <c r="I75" i="20"/>
  <c r="I89" i="20"/>
  <c r="I58" i="20"/>
  <c r="I73" i="20"/>
  <c r="I81" i="20"/>
  <c r="I101" i="20"/>
  <c r="I64" i="20"/>
  <c r="I70" i="20"/>
  <c r="I78" i="20"/>
  <c r="I86" i="20"/>
  <c r="I94" i="20"/>
  <c r="I79" i="20"/>
  <c r="I91" i="20"/>
  <c r="I14" i="20"/>
  <c r="J14" i="20" s="1"/>
  <c r="D14" i="20" s="1"/>
  <c r="I24" i="20"/>
  <c r="I25" i="20"/>
  <c r="J25" i="20" s="1"/>
  <c r="I18" i="20"/>
  <c r="J18" i="20" s="1"/>
  <c r="I23" i="20"/>
  <c r="H10" i="29"/>
  <c r="F10" i="29"/>
  <c r="K10" i="29"/>
  <c r="E10" i="29"/>
  <c r="G10" i="29"/>
  <c r="J10" i="29"/>
  <c r="I30" i="20"/>
  <c r="J30" i="20" s="1"/>
  <c r="I45" i="20"/>
  <c r="J45" i="20" s="1"/>
  <c r="I8" i="20"/>
  <c r="J8" i="20" s="1"/>
  <c r="D8" i="20" s="1"/>
  <c r="I19" i="20"/>
  <c r="I22" i="20"/>
  <c r="I27" i="20"/>
  <c r="J27" i="20" s="1"/>
  <c r="I41" i="20"/>
  <c r="D41" i="20" s="1"/>
  <c r="I43" i="20"/>
  <c r="D43" i="20" s="1"/>
  <c r="I15" i="20"/>
  <c r="I40" i="20"/>
  <c r="J40" i="20" s="1"/>
  <c r="I52" i="20"/>
  <c r="I48" i="20"/>
  <c r="I46" i="20"/>
  <c r="I51" i="20"/>
  <c r="I39" i="20"/>
  <c r="J39" i="20" s="1"/>
  <c r="D39" i="20" s="1"/>
  <c r="I37" i="20"/>
  <c r="J37" i="20" s="1"/>
  <c r="I42" i="20"/>
  <c r="I50" i="20"/>
  <c r="I44" i="20"/>
  <c r="J44" i="20" s="1"/>
  <c r="I47" i="20"/>
  <c r="I49" i="20"/>
  <c r="D35" i="20"/>
  <c r="P155" i="29"/>
  <c r="P176" i="29" s="1"/>
  <c r="P197" i="29" s="1"/>
  <c r="P218" i="29" s="1"/>
  <c r="I4" i="6" l="1"/>
  <c r="B75" i="67" s="1"/>
  <c r="AI8" i="67"/>
  <c r="J5" i="20"/>
  <c r="D5" i="20" s="1"/>
  <c r="D25" i="20"/>
  <c r="F7" i="6"/>
  <c r="E7" i="6"/>
  <c r="I7" i="6" s="1"/>
  <c r="D7" i="6"/>
  <c r="D40" i="20"/>
  <c r="D45" i="20"/>
  <c r="F6" i="6"/>
  <c r="E6" i="6"/>
  <c r="I6" i="6" s="1"/>
  <c r="D6" i="6"/>
  <c r="D9" i="20"/>
  <c r="D18" i="20"/>
  <c r="D30" i="20"/>
  <c r="J46" i="20"/>
  <c r="D46" i="20" s="1"/>
  <c r="J43" i="20"/>
  <c r="J41" i="20"/>
  <c r="D27" i="20"/>
  <c r="J42" i="20"/>
  <c r="D42" i="20" s="1"/>
  <c r="J19" i="20"/>
  <c r="D19" i="20" s="1"/>
  <c r="D22" i="20"/>
  <c r="J22" i="20"/>
  <c r="J23" i="20"/>
  <c r="D37" i="20"/>
  <c r="D15" i="20"/>
  <c r="J15" i="20"/>
  <c r="D44" i="20"/>
  <c r="P239" i="29"/>
  <c r="P260" i="29" s="1"/>
  <c r="P281" i="29" s="1"/>
  <c r="P302" i="29" s="1"/>
  <c r="O75" i="67" l="1"/>
  <c r="K75" i="67"/>
  <c r="T6" i="67"/>
  <c r="T3" i="67"/>
  <c r="F6" i="67"/>
  <c r="A1" i="67"/>
  <c r="F3" i="67"/>
  <c r="Y3" i="67" s="1"/>
  <c r="F5" i="6"/>
  <c r="D5" i="6"/>
  <c r="E5" i="6"/>
  <c r="I5" i="6" s="1"/>
  <c r="J47" i="20"/>
  <c r="J48" i="20" s="1"/>
  <c r="D48" i="20" s="1"/>
  <c r="D9" i="6"/>
  <c r="T5" i="67" s="1"/>
  <c r="E9" i="6"/>
  <c r="I9" i="6" s="1"/>
  <c r="F9" i="6"/>
  <c r="E5" i="33"/>
  <c r="D23" i="20"/>
  <c r="J24" i="20"/>
  <c r="D24" i="20" s="1"/>
  <c r="P323" i="29"/>
  <c r="U4" i="29" s="1" a="1"/>
  <c r="U4" i="29" s="1"/>
  <c r="C8" i="29"/>
  <c r="F75" i="67" l="1"/>
  <c r="X75" i="67"/>
  <c r="F5" i="67" s="1"/>
  <c r="AK75" i="67"/>
  <c r="J49" i="20"/>
  <c r="D47" i="20"/>
  <c r="A13" i="33"/>
  <c r="D27" i="30"/>
  <c r="M281" i="29"/>
  <c r="E56" i="20"/>
  <c r="G56" i="20" s="1"/>
  <c r="K49" i="33"/>
  <c r="K50" i="33" s="1"/>
  <c r="K51" i="33" s="1"/>
  <c r="K52" i="33" s="1"/>
  <c r="K53" i="33" s="1"/>
  <c r="K54" i="33" s="1"/>
  <c r="K55" i="33" s="1"/>
  <c r="K56" i="33" s="1"/>
  <c r="K57" i="33" s="1"/>
  <c r="K58" i="33" s="1"/>
  <c r="E55" i="20"/>
  <c r="F55" i="20" s="1"/>
  <c r="J58" i="20"/>
  <c r="D58" i="20"/>
  <c r="J59" i="20"/>
  <c r="U3" i="29" a="1"/>
  <c r="U3" i="29" s="1"/>
  <c r="P344" i="29"/>
  <c r="P365" i="29" s="1"/>
  <c r="C365" i="29" s="1"/>
  <c r="U2" i="29"/>
  <c r="M155" i="29"/>
  <c r="M218" i="29"/>
  <c r="M176" i="29"/>
  <c r="M92" i="29"/>
  <c r="M113" i="29"/>
  <c r="M29" i="29"/>
  <c r="M365" i="29"/>
  <c r="M197" i="29"/>
  <c r="M344" i="29"/>
  <c r="M239" i="29"/>
  <c r="M302" i="29"/>
  <c r="M323" i="29"/>
  <c r="M260" i="29"/>
  <c r="M134" i="29"/>
  <c r="M50" i="29"/>
  <c r="M71" i="29"/>
  <c r="D49" i="20"/>
  <c r="J50" i="20"/>
  <c r="G55" i="33"/>
  <c r="AI55" i="33" s="1"/>
  <c r="G56" i="33"/>
  <c r="AI56" i="33" s="1"/>
  <c r="G58" i="33"/>
  <c r="AI58" i="33" s="1"/>
  <c r="G57" i="33"/>
  <c r="AI57" i="33" s="1"/>
  <c r="G54" i="33"/>
  <c r="AI54" i="33" s="1"/>
  <c r="A10" i="33" l="1"/>
  <c r="A10" i="42"/>
  <c r="I20" i="42" s="1"/>
  <c r="F56" i="20"/>
  <c r="C344" i="29"/>
  <c r="G55" i="20"/>
  <c r="J60" i="20"/>
  <c r="D50" i="20"/>
  <c r="J51" i="20"/>
  <c r="I29" i="42" l="1"/>
  <c r="I19" i="42"/>
  <c r="I24" i="42"/>
  <c r="I31" i="42"/>
  <c r="I36" i="42"/>
  <c r="I21" i="42"/>
  <c r="I28" i="42"/>
  <c r="I34" i="42"/>
  <c r="I25" i="42"/>
  <c r="I22" i="42"/>
  <c r="I26" i="42"/>
  <c r="I27" i="42"/>
  <c r="I30" i="42"/>
  <c r="I32" i="42"/>
  <c r="I33" i="42"/>
  <c r="I23" i="42"/>
  <c r="I35" i="42"/>
  <c r="E57" i="20"/>
  <c r="AQ17" i="33"/>
  <c r="D27" i="32"/>
  <c r="J19" i="33"/>
  <c r="D42" i="33" s="1"/>
  <c r="C239" i="29"/>
  <c r="D60" i="20"/>
  <c r="R35" i="33"/>
  <c r="J34" i="33"/>
  <c r="R32" i="33"/>
  <c r="J31" i="33"/>
  <c r="J29" i="33"/>
  <c r="R27" i="33"/>
  <c r="J26" i="33"/>
  <c r="R24" i="33"/>
  <c r="R21" i="33"/>
  <c r="R19" i="33"/>
  <c r="R36" i="33"/>
  <c r="J35" i="33"/>
  <c r="R33" i="33"/>
  <c r="J32" i="33"/>
  <c r="R30" i="33"/>
  <c r="J27" i="33"/>
  <c r="R25" i="33"/>
  <c r="J24" i="33"/>
  <c r="R22" i="33"/>
  <c r="J21" i="33"/>
  <c r="J36" i="33"/>
  <c r="J33" i="33"/>
  <c r="J30" i="33"/>
  <c r="H42" i="33" s="1"/>
  <c r="R28" i="33"/>
  <c r="J25" i="33"/>
  <c r="R23" i="33"/>
  <c r="J22" i="33"/>
  <c r="R20" i="33"/>
  <c r="R34" i="33"/>
  <c r="R31" i="33"/>
  <c r="R29" i="33"/>
  <c r="J28" i="33"/>
  <c r="R26" i="33"/>
  <c r="J23" i="33"/>
  <c r="J20" i="33"/>
  <c r="C92" i="29"/>
  <c r="D51" i="20"/>
  <c r="J52" i="20"/>
  <c r="D52" i="20" s="1"/>
  <c r="C176" i="29"/>
  <c r="F57" i="20" l="1"/>
  <c r="G57" i="20"/>
  <c r="W5" i="33"/>
  <c r="AQ21" i="33"/>
  <c r="AR26" i="33"/>
  <c r="AS31" i="33"/>
  <c r="AS18" i="33"/>
  <c r="K38" i="33" s="1"/>
  <c r="AS24" i="33"/>
  <c r="AQ30" i="33"/>
  <c r="AR35" i="33"/>
  <c r="AS21" i="33"/>
  <c r="AQ27" i="33"/>
  <c r="AR32" i="33"/>
  <c r="AR19" i="33"/>
  <c r="AQ24" i="33"/>
  <c r="AR29" i="33"/>
  <c r="AS34" i="33"/>
  <c r="A9" i="33"/>
  <c r="AR22" i="33"/>
  <c r="AS27" i="33"/>
  <c r="AQ33" i="33"/>
  <c r="AS20" i="33"/>
  <c r="AQ26" i="33"/>
  <c r="AR31" i="33"/>
  <c r="AS36" i="33"/>
  <c r="AQ23" i="33"/>
  <c r="AR28" i="33"/>
  <c r="AS33" i="33"/>
  <c r="AQ20" i="33"/>
  <c r="AR25" i="33"/>
  <c r="AS30" i="33"/>
  <c r="AQ36" i="33"/>
  <c r="A11" i="33"/>
  <c r="AS23" i="33"/>
  <c r="AQ29" i="33"/>
  <c r="AR34" i="33"/>
  <c r="AQ22" i="33"/>
  <c r="AR27" i="33"/>
  <c r="AS32" i="33"/>
  <c r="AQ19" i="33"/>
  <c r="AR24" i="33"/>
  <c r="AS29" i="33"/>
  <c r="AQ35" i="33"/>
  <c r="AR21" i="33"/>
  <c r="AS26" i="33"/>
  <c r="AQ32" i="33"/>
  <c r="AS19" i="33"/>
  <c r="AQ25" i="33"/>
  <c r="AR30" i="33"/>
  <c r="AS35" i="33"/>
  <c r="AR23" i="33"/>
  <c r="AS28" i="33"/>
  <c r="AQ34" i="33"/>
  <c r="AR20" i="33"/>
  <c r="AS25" i="33"/>
  <c r="AQ31" i="33"/>
  <c r="AR36" i="33"/>
  <c r="AS22" i="33"/>
  <c r="AQ28" i="33"/>
  <c r="AR33" i="33"/>
  <c r="W5" i="42"/>
  <c r="D41" i="33"/>
  <c r="H40" i="33"/>
  <c r="H41" i="33"/>
  <c r="H38" i="33"/>
  <c r="D38" i="33"/>
  <c r="D40" i="33"/>
  <c r="H39" i="33"/>
  <c r="D39" i="33"/>
  <c r="J62" i="20"/>
  <c r="C113" i="29"/>
  <c r="D62" i="20" l="1"/>
  <c r="J63" i="20"/>
  <c r="E54" i="20"/>
  <c r="E53" i="20"/>
  <c r="F53" i="20" s="1"/>
  <c r="J64" i="20" l="1"/>
  <c r="D63" i="20"/>
  <c r="G54" i="20"/>
  <c r="F54" i="20"/>
  <c r="G53" i="20"/>
  <c r="I53" i="20"/>
  <c r="J53" i="20" s="1"/>
  <c r="I61" i="20" l="1"/>
  <c r="J61" i="20" s="1"/>
  <c r="I56" i="20"/>
  <c r="I57" i="20"/>
  <c r="I54" i="20"/>
  <c r="J54" i="20" s="1"/>
  <c r="D54" i="20" s="1"/>
  <c r="I55" i="20"/>
  <c r="D64" i="20"/>
  <c r="AD10" i="67" s="1"/>
  <c r="J65" i="20"/>
  <c r="D53" i="20"/>
  <c r="D61" i="20" l="1"/>
  <c r="J55" i="20"/>
  <c r="D55" i="20" s="1"/>
  <c r="D65" i="20"/>
  <c r="J66" i="20"/>
  <c r="J56" i="20" l="1"/>
  <c r="J67" i="20"/>
  <c r="D66" i="20"/>
  <c r="D56" i="20" l="1"/>
  <c r="J57" i="20"/>
  <c r="D57" i="20" s="1"/>
  <c r="D67" i="20"/>
  <c r="J68" i="20"/>
  <c r="J69" i="20" l="1"/>
  <c r="D68" i="20"/>
  <c r="D69" i="20" l="1"/>
  <c r="J70" i="20"/>
  <c r="D70" i="20" l="1"/>
  <c r="J71" i="20"/>
  <c r="C155" i="29"/>
  <c r="C323" i="29"/>
  <c r="Z10" i="42" l="1"/>
  <c r="Z10" i="33"/>
  <c r="B10" i="33" s="1"/>
  <c r="J72" i="20"/>
  <c r="D71" i="20"/>
  <c r="A13" i="42" l="1"/>
  <c r="AQ17" i="42"/>
  <c r="Z36" i="42"/>
  <c r="Z24" i="42"/>
  <c r="Z33" i="42"/>
  <c r="Z35" i="42"/>
  <c r="Z21" i="42"/>
  <c r="Z25" i="42"/>
  <c r="Z29" i="42"/>
  <c r="Z22" i="42"/>
  <c r="B10" i="42"/>
  <c r="Z28" i="42"/>
  <c r="Z26" i="42"/>
  <c r="Z30" i="42"/>
  <c r="Z34" i="42"/>
  <c r="Z32" i="42"/>
  <c r="Z19" i="42"/>
  <c r="Z23" i="42"/>
  <c r="Z27" i="42"/>
  <c r="Z31" i="42"/>
  <c r="Z20" i="42"/>
  <c r="N49" i="33"/>
  <c r="N50" i="33" s="1"/>
  <c r="N51" i="33" s="1"/>
  <c r="N52" i="33" s="1"/>
  <c r="N53" i="33" s="1"/>
  <c r="N54" i="33" s="1"/>
  <c r="N55" i="33" s="1"/>
  <c r="N56" i="33" s="1"/>
  <c r="N57" i="33" s="1"/>
  <c r="N58" i="33" s="1"/>
  <c r="D72" i="20"/>
  <c r="J73" i="20"/>
  <c r="D27" i="41" l="1"/>
  <c r="AS36" i="42"/>
  <c r="AR30" i="42"/>
  <c r="AQ29" i="42"/>
  <c r="AS26" i="42"/>
  <c r="A9" i="42"/>
  <c r="AQ27" i="42"/>
  <c r="AR36" i="42"/>
  <c r="AR20" i="42"/>
  <c r="AS19" i="42"/>
  <c r="AS27" i="42"/>
  <c r="AQ22" i="42"/>
  <c r="AQ30" i="42"/>
  <c r="AR19" i="42"/>
  <c r="AR27" i="42"/>
  <c r="AS35" i="42"/>
  <c r="AQ31" i="42"/>
  <c r="AR32" i="42"/>
  <c r="AS28" i="42"/>
  <c r="AQ19" i="42"/>
  <c r="AS25" i="42"/>
  <c r="AQ28" i="42"/>
  <c r="AR25" i="42"/>
  <c r="AQ35" i="42"/>
  <c r="AS24" i="42"/>
  <c r="AQ21" i="42"/>
  <c r="AQ25" i="42"/>
  <c r="AR35" i="42"/>
  <c r="AR26" i="42"/>
  <c r="AS34" i="42"/>
  <c r="AS18" i="42"/>
  <c r="K38" i="42" s="1"/>
  <c r="AS21" i="42"/>
  <c r="AS29" i="42"/>
  <c r="AQ24" i="42"/>
  <c r="AQ32" i="42"/>
  <c r="AR21" i="42"/>
  <c r="AR29" i="42"/>
  <c r="AS32" i="42"/>
  <c r="AQ23" i="42"/>
  <c r="AQ33" i="42"/>
  <c r="AR24" i="42"/>
  <c r="AS30" i="42"/>
  <c r="AS20" i="42"/>
  <c r="AR28" i="42"/>
  <c r="AQ34" i="42"/>
  <c r="AS23" i="42"/>
  <c r="AS31" i="42"/>
  <c r="AQ26" i="42"/>
  <c r="AR34" i="42"/>
  <c r="AR23" i="42"/>
  <c r="AR31" i="42"/>
  <c r="AR22" i="42"/>
  <c r="A11" i="42"/>
  <c r="AS22" i="42"/>
  <c r="AQ36" i="42"/>
  <c r="AQ20" i="42"/>
  <c r="AS33" i="42"/>
  <c r="AR33" i="42"/>
  <c r="J74" i="20"/>
  <c r="D73" i="20"/>
  <c r="C218" i="29" l="1"/>
  <c r="C29" i="29"/>
  <c r="J75" i="20"/>
  <c r="D74" i="20"/>
  <c r="C302" i="29"/>
  <c r="D75" i="20" l="1"/>
  <c r="J76" i="20"/>
  <c r="J77" i="20" l="1"/>
  <c r="D76" i="20"/>
  <c r="D27" i="31" l="1"/>
  <c r="D29" i="30"/>
  <c r="Z13" i="33"/>
  <c r="C281" i="29"/>
  <c r="D77" i="20"/>
  <c r="J78" i="20"/>
  <c r="C71" i="29"/>
  <c r="D29" i="31" l="1"/>
  <c r="D29" i="32"/>
  <c r="AU17" i="33"/>
  <c r="C260" i="29"/>
  <c r="C197" i="29"/>
  <c r="J79" i="20"/>
  <c r="D78" i="20"/>
  <c r="Z13" i="42" l="1"/>
  <c r="AU21" i="33"/>
  <c r="AW31" i="33"/>
  <c r="AW24" i="33"/>
  <c r="AV35" i="33"/>
  <c r="AU27" i="33"/>
  <c r="AU19" i="33"/>
  <c r="AV29" i="33"/>
  <c r="Z9" i="33"/>
  <c r="AV30" i="33"/>
  <c r="AV23" i="33"/>
  <c r="AU34" i="33"/>
  <c r="AW25" i="33"/>
  <c r="AV36" i="33"/>
  <c r="AU28" i="33"/>
  <c r="Z11" i="33"/>
  <c r="AW23" i="33"/>
  <c r="AV34" i="33"/>
  <c r="AV27" i="33"/>
  <c r="AW18" i="33"/>
  <c r="S38" i="33" s="1"/>
  <c r="AW29" i="33"/>
  <c r="AV21" i="33"/>
  <c r="AU32" i="33"/>
  <c r="AV22" i="33"/>
  <c r="AU33" i="33"/>
  <c r="AU26" i="33"/>
  <c r="AW36" i="33"/>
  <c r="AV28" i="33"/>
  <c r="AU20" i="33"/>
  <c r="AW30" i="33"/>
  <c r="AV26" i="33"/>
  <c r="AW19" i="33"/>
  <c r="AU30" i="33"/>
  <c r="AW21" i="33"/>
  <c r="AV32" i="33"/>
  <c r="AU24" i="33"/>
  <c r="AW34" i="33"/>
  <c r="AU25" i="33"/>
  <c r="AW35" i="33"/>
  <c r="AW28" i="33"/>
  <c r="AV20" i="33"/>
  <c r="AU31" i="33"/>
  <c r="AW22" i="33"/>
  <c r="AV33" i="33"/>
  <c r="AU29" i="33"/>
  <c r="AU22" i="33"/>
  <c r="AW32" i="33"/>
  <c r="AV24" i="33"/>
  <c r="AU35" i="33"/>
  <c r="AW26" i="33"/>
  <c r="AV19" i="33"/>
  <c r="AW27" i="33"/>
  <c r="AW20" i="33"/>
  <c r="AV31" i="33"/>
  <c r="AU23" i="33"/>
  <c r="AW33" i="33"/>
  <c r="AV25" i="33"/>
  <c r="AU36" i="33"/>
  <c r="J80" i="20"/>
  <c r="D79" i="20"/>
  <c r="D29" i="41" l="1"/>
  <c r="AU17" i="42"/>
  <c r="U23" i="33"/>
  <c r="U21" i="33"/>
  <c r="S26" i="33"/>
  <c r="S27" i="33"/>
  <c r="S30" i="33"/>
  <c r="S28" i="33"/>
  <c r="S31" i="33"/>
  <c r="U33" i="33"/>
  <c r="S19" i="33"/>
  <c r="U25" i="33"/>
  <c r="S36" i="33"/>
  <c r="U20" i="33"/>
  <c r="U35" i="33"/>
  <c r="U19" i="33"/>
  <c r="S24" i="33"/>
  <c r="S25" i="33"/>
  <c r="S23" i="33"/>
  <c r="U27" i="33"/>
  <c r="U30" i="33"/>
  <c r="U29" i="33"/>
  <c r="G51" i="33" s="1"/>
  <c r="AI51" i="33" s="1"/>
  <c r="U32" i="33"/>
  <c r="S21" i="33"/>
  <c r="S20" i="33"/>
  <c r="U28" i="33"/>
  <c r="U26" i="33"/>
  <c r="G50" i="33" s="1"/>
  <c r="AI50" i="33" s="1"/>
  <c r="S29" i="33"/>
  <c r="S32" i="33"/>
  <c r="S33" i="33"/>
  <c r="U34" i="33"/>
  <c r="S34" i="33"/>
  <c r="U36" i="33"/>
  <c r="U22" i="33"/>
  <c r="U31" i="33"/>
  <c r="S35" i="33"/>
  <c r="S22" i="33"/>
  <c r="U24" i="33"/>
  <c r="D80" i="20"/>
  <c r="J81" i="20"/>
  <c r="AW28" i="42" l="1"/>
  <c r="AU26" i="42"/>
  <c r="AU25" i="42"/>
  <c r="AU22" i="42"/>
  <c r="AW33" i="42"/>
  <c r="AV24" i="42"/>
  <c r="AW36" i="42"/>
  <c r="Z11" i="42"/>
  <c r="AW27" i="42"/>
  <c r="AU34" i="42"/>
  <c r="AW20" i="42"/>
  <c r="AV21" i="42"/>
  <c r="AU28" i="42"/>
  <c r="AV19" i="42"/>
  <c r="AV30" i="42"/>
  <c r="AV34" i="42"/>
  <c r="AW26" i="42"/>
  <c r="AW21" i="42"/>
  <c r="AU19" i="42"/>
  <c r="AV27" i="42"/>
  <c r="AV28" i="42"/>
  <c r="AW31" i="42"/>
  <c r="AV31" i="42"/>
  <c r="AW35" i="42"/>
  <c r="AV33" i="42"/>
  <c r="AW25" i="42"/>
  <c r="AW30" i="42"/>
  <c r="Z9" i="42"/>
  <c r="AV29" i="42"/>
  <c r="AW34" i="42"/>
  <c r="AV20" i="42"/>
  <c r="AU32" i="42"/>
  <c r="AU35" i="42"/>
  <c r="AU31" i="42"/>
  <c r="AU30" i="42"/>
  <c r="AW22" i="42"/>
  <c r="AW19" i="42"/>
  <c r="AW24" i="42"/>
  <c r="AU33" i="42"/>
  <c r="AU23" i="42"/>
  <c r="AU20" i="42"/>
  <c r="AV36" i="42"/>
  <c r="AV22" i="42"/>
  <c r="AU21" i="42"/>
  <c r="AV32" i="42"/>
  <c r="AV25" i="42"/>
  <c r="AW29" i="42"/>
  <c r="AV23" i="42"/>
  <c r="AW32" i="42"/>
  <c r="AW23" i="42"/>
  <c r="AV35" i="42"/>
  <c r="AU29" i="42"/>
  <c r="AU24" i="42"/>
  <c r="AV26" i="42"/>
  <c r="AW18" i="42"/>
  <c r="S38" i="42" s="1"/>
  <c r="AU36" i="42"/>
  <c r="AU27" i="42"/>
  <c r="G49" i="33"/>
  <c r="AI49" i="33" s="1"/>
  <c r="G53" i="33"/>
  <c r="AI53" i="33" s="1"/>
  <c r="G52" i="33"/>
  <c r="AI52" i="33" s="1"/>
  <c r="AB38" i="33"/>
  <c r="AF38" i="33"/>
  <c r="AF39" i="33"/>
  <c r="AB39" i="33"/>
  <c r="D81" i="20"/>
  <c r="J82" i="20"/>
  <c r="Z25" i="33" l="1"/>
  <c r="Z29" i="33"/>
  <c r="Z20" i="33"/>
  <c r="Z31" i="33"/>
  <c r="Z23" i="33"/>
  <c r="Z34" i="33"/>
  <c r="Z26" i="33"/>
  <c r="Z21" i="33"/>
  <c r="Z28" i="33"/>
  <c r="Z19" i="33"/>
  <c r="Z22" i="33"/>
  <c r="Z24" i="33"/>
  <c r="Z33" i="33"/>
  <c r="Z35" i="33"/>
  <c r="Z27" i="33"/>
  <c r="Z30" i="33"/>
  <c r="Z32" i="33"/>
  <c r="I20" i="33"/>
  <c r="I28" i="33"/>
  <c r="I21" i="33"/>
  <c r="I26" i="33"/>
  <c r="I24" i="33"/>
  <c r="I35" i="33"/>
  <c r="I22" i="33"/>
  <c r="I25" i="33"/>
  <c r="I23" i="33"/>
  <c r="I30" i="33"/>
  <c r="I34" i="33"/>
  <c r="I36" i="33"/>
  <c r="I19" i="33"/>
  <c r="I31" i="33"/>
  <c r="I33" i="33"/>
  <c r="I32" i="33"/>
  <c r="I29" i="33"/>
  <c r="I27" i="33"/>
  <c r="Z36" i="33"/>
  <c r="D82" i="20"/>
  <c r="J83" i="20"/>
  <c r="J84" i="20" l="1"/>
  <c r="D83" i="20"/>
  <c r="J85" i="20" l="1"/>
  <c r="D84" i="20"/>
  <c r="J86" i="20" l="1"/>
  <c r="D85" i="20"/>
  <c r="J87" i="20" l="1"/>
  <c r="D86" i="20"/>
  <c r="D87" i="20" l="1"/>
  <c r="J88" i="20"/>
  <c r="D88" i="20" l="1"/>
  <c r="J89" i="20"/>
  <c r="D89" i="20" l="1"/>
  <c r="J90" i="20"/>
  <c r="D90" i="20" l="1"/>
  <c r="J91" i="20"/>
  <c r="D91" i="20" l="1"/>
  <c r="J92" i="20"/>
  <c r="J93" i="20" l="1"/>
  <c r="D92" i="20"/>
  <c r="J94" i="20" l="1"/>
  <c r="D93" i="20"/>
  <c r="D94" i="20" l="1"/>
  <c r="J95" i="20"/>
  <c r="D95" i="20" l="1"/>
  <c r="J96" i="20"/>
  <c r="D96" i="20" l="1"/>
  <c r="J97" i="20"/>
  <c r="J98" i="20" l="1"/>
  <c r="D97" i="20"/>
  <c r="D98" i="20" l="1"/>
  <c r="J99" i="20"/>
  <c r="D99" i="20" l="1"/>
  <c r="J100" i="20"/>
  <c r="D100" i="20" l="1"/>
  <c r="J101" i="20"/>
  <c r="D101" i="20" s="1"/>
  <c r="E10" i="6" l="1"/>
  <c r="I10" i="6" s="1"/>
  <c r="D10" i="6"/>
  <c r="T4" i="67" s="1"/>
  <c r="F10" i="6"/>
  <c r="C134" i="29" l="1"/>
  <c r="C50" i="29"/>
  <c r="AB75" i="67" l="1"/>
  <c r="F4" i="67" s="1"/>
  <c r="Y4" i="67" s="1"/>
</calcChain>
</file>

<file path=xl/sharedStrings.xml><?xml version="1.0" encoding="utf-8"?>
<sst xmlns="http://schemas.openxmlformats.org/spreadsheetml/2006/main" count="1923" uniqueCount="672">
  <si>
    <t>北加賀ブロック</t>
    <rPh sb="0" eb="1">
      <t>キタ</t>
    </rPh>
    <rPh sb="1" eb="3">
      <t>カガ</t>
    </rPh>
    <phoneticPr fontId="2"/>
  </si>
  <si>
    <t>南加賀ブロック</t>
    <rPh sb="0" eb="1">
      <t>ナン</t>
    </rPh>
    <rPh sb="1" eb="3">
      <t>カガ</t>
    </rPh>
    <phoneticPr fontId="2"/>
  </si>
  <si>
    <t>くじ引き</t>
    <rPh sb="2" eb="3">
      <t>ビ</t>
    </rPh>
    <phoneticPr fontId="2"/>
  </si>
  <si>
    <t>学校名</t>
    <rPh sb="0" eb="3">
      <t>ガッコウメイ</t>
    </rPh>
    <phoneticPr fontId="2"/>
  </si>
  <si>
    <t>郡市名</t>
    <rPh sb="0" eb="1">
      <t>グン</t>
    </rPh>
    <rPh sb="1" eb="2">
      <t>シ</t>
    </rPh>
    <rPh sb="2" eb="3">
      <t>メイ</t>
    </rPh>
    <phoneticPr fontId="2"/>
  </si>
  <si>
    <t>～立など</t>
    <rPh sb="1" eb="2">
      <t>リツ</t>
    </rPh>
    <phoneticPr fontId="2"/>
  </si>
  <si>
    <t>泉</t>
    <rPh sb="0" eb="1">
      <t>イズミ</t>
    </rPh>
    <phoneticPr fontId="2"/>
  </si>
  <si>
    <t>金沢市</t>
    <rPh sb="0" eb="3">
      <t>カナザワシ</t>
    </rPh>
    <phoneticPr fontId="2"/>
  </si>
  <si>
    <t>丸内</t>
    <rPh sb="0" eb="2">
      <t>マルノウチ</t>
    </rPh>
    <phoneticPr fontId="2"/>
  </si>
  <si>
    <t>小松市</t>
    <rPh sb="0" eb="3">
      <t>コマツシ</t>
    </rPh>
    <phoneticPr fontId="2"/>
  </si>
  <si>
    <t>野田</t>
    <rPh sb="0" eb="2">
      <t>ノダ</t>
    </rPh>
    <phoneticPr fontId="2"/>
  </si>
  <si>
    <t>松陽</t>
    <rPh sb="0" eb="2">
      <t>ショウヨウ</t>
    </rPh>
    <phoneticPr fontId="2"/>
  </si>
  <si>
    <t>城南</t>
    <rPh sb="0" eb="2">
      <t>ジョウナン</t>
    </rPh>
    <phoneticPr fontId="2"/>
  </si>
  <si>
    <t>南部</t>
    <rPh sb="0" eb="2">
      <t>ナンブ</t>
    </rPh>
    <phoneticPr fontId="2"/>
  </si>
  <si>
    <t>紫錦台</t>
    <rPh sb="0" eb="1">
      <t>シ</t>
    </rPh>
    <rPh sb="1" eb="2">
      <t>キン</t>
    </rPh>
    <rPh sb="2" eb="3">
      <t>ダイ</t>
    </rPh>
    <phoneticPr fontId="2"/>
  </si>
  <si>
    <t>兼六</t>
    <rPh sb="0" eb="2">
      <t>ケンロク</t>
    </rPh>
    <phoneticPr fontId="2"/>
  </si>
  <si>
    <t>高岡</t>
    <rPh sb="0" eb="2">
      <t>タカオカ</t>
    </rPh>
    <phoneticPr fontId="2"/>
  </si>
  <si>
    <t>美川</t>
    <rPh sb="0" eb="2">
      <t>ミカワ</t>
    </rPh>
    <phoneticPr fontId="2"/>
  </si>
  <si>
    <t>白山市</t>
    <rPh sb="0" eb="3">
      <t>ハクサンシ</t>
    </rPh>
    <phoneticPr fontId="2"/>
  </si>
  <si>
    <t>長田</t>
    <rPh sb="0" eb="2">
      <t>ナガタ</t>
    </rPh>
    <phoneticPr fontId="2"/>
  </si>
  <si>
    <t>笠間</t>
    <rPh sb="0" eb="2">
      <t>カサマ</t>
    </rPh>
    <phoneticPr fontId="2"/>
  </si>
  <si>
    <t>浅野川</t>
    <rPh sb="0" eb="2">
      <t>アサノ</t>
    </rPh>
    <rPh sb="2" eb="3">
      <t>ガワ</t>
    </rPh>
    <phoneticPr fontId="2"/>
  </si>
  <si>
    <t>北星</t>
    <rPh sb="0" eb="2">
      <t>ホクセイ</t>
    </rPh>
    <phoneticPr fontId="2"/>
  </si>
  <si>
    <t>金石</t>
    <rPh sb="0" eb="1">
      <t>キン</t>
    </rPh>
    <rPh sb="1" eb="2">
      <t>イシ</t>
    </rPh>
    <phoneticPr fontId="2"/>
  </si>
  <si>
    <t>松任</t>
    <rPh sb="0" eb="2">
      <t>マットウ</t>
    </rPh>
    <phoneticPr fontId="2"/>
  </si>
  <si>
    <t>西南部</t>
    <rPh sb="0" eb="3">
      <t>セイナンブ</t>
    </rPh>
    <phoneticPr fontId="2"/>
  </si>
  <si>
    <t>光野</t>
    <rPh sb="0" eb="1">
      <t>ヒカリ</t>
    </rPh>
    <rPh sb="1" eb="2">
      <t>ノ</t>
    </rPh>
    <phoneticPr fontId="2"/>
  </si>
  <si>
    <t>森本</t>
    <rPh sb="0" eb="2">
      <t>モリモト</t>
    </rPh>
    <phoneticPr fontId="2"/>
  </si>
  <si>
    <t>北辰</t>
    <rPh sb="0" eb="2">
      <t>ホクシン</t>
    </rPh>
    <phoneticPr fontId="2"/>
  </si>
  <si>
    <t>野々市</t>
    <rPh sb="0" eb="3">
      <t>ノノイチ</t>
    </rPh>
    <phoneticPr fontId="2"/>
  </si>
  <si>
    <t>野々市市</t>
    <rPh sb="0" eb="3">
      <t>ノノイチ</t>
    </rPh>
    <rPh sb="3" eb="4">
      <t>シ</t>
    </rPh>
    <phoneticPr fontId="2"/>
  </si>
  <si>
    <t>高尾台</t>
    <rPh sb="0" eb="3">
      <t>タカオダイ</t>
    </rPh>
    <phoneticPr fontId="2"/>
  </si>
  <si>
    <t>布水</t>
    <rPh sb="0" eb="2">
      <t>フスイ</t>
    </rPh>
    <phoneticPr fontId="2"/>
  </si>
  <si>
    <t>緑</t>
    <rPh sb="0" eb="1">
      <t>ミドリ</t>
    </rPh>
    <phoneticPr fontId="2"/>
  </si>
  <si>
    <t>港</t>
    <rPh sb="0" eb="1">
      <t>ミナト</t>
    </rPh>
    <phoneticPr fontId="2"/>
  </si>
  <si>
    <t>北鳴</t>
    <rPh sb="0" eb="1">
      <t>ホク</t>
    </rPh>
    <rPh sb="1" eb="2">
      <t>メイ</t>
    </rPh>
    <phoneticPr fontId="2"/>
  </si>
  <si>
    <t>大徳</t>
    <rPh sb="0" eb="2">
      <t>ダイトク</t>
    </rPh>
    <phoneticPr fontId="2"/>
  </si>
  <si>
    <t>能登ブロック</t>
    <rPh sb="0" eb="2">
      <t>ノト</t>
    </rPh>
    <phoneticPr fontId="2"/>
  </si>
  <si>
    <t>清泉</t>
    <rPh sb="0" eb="1">
      <t>キヨシ</t>
    </rPh>
    <rPh sb="1" eb="2">
      <t>イズミ</t>
    </rPh>
    <phoneticPr fontId="2"/>
  </si>
  <si>
    <t>金大附属</t>
    <rPh sb="0" eb="2">
      <t>キンダイ</t>
    </rPh>
    <rPh sb="2" eb="4">
      <t>フゾク</t>
    </rPh>
    <phoneticPr fontId="2"/>
  </si>
  <si>
    <t>金沢大学人間社会学域学校教育学類</t>
    <rPh sb="0" eb="2">
      <t>カナザワ</t>
    </rPh>
    <rPh sb="2" eb="4">
      <t>ダイガク</t>
    </rPh>
    <rPh sb="4" eb="6">
      <t>ニンゲン</t>
    </rPh>
    <rPh sb="6" eb="9">
      <t>シャカイガク</t>
    </rPh>
    <rPh sb="9" eb="10">
      <t>イキ</t>
    </rPh>
    <rPh sb="10" eb="12">
      <t>ガッコウ</t>
    </rPh>
    <rPh sb="12" eb="15">
      <t>キョウイクガク</t>
    </rPh>
    <rPh sb="15" eb="16">
      <t>タグイ</t>
    </rPh>
    <phoneticPr fontId="2"/>
  </si>
  <si>
    <t>羽咋郡</t>
    <rPh sb="0" eb="3">
      <t>ハクイグン</t>
    </rPh>
    <phoneticPr fontId="2"/>
  </si>
  <si>
    <t>星稜</t>
    <rPh sb="0" eb="1">
      <t>セイ</t>
    </rPh>
    <rPh sb="1" eb="2">
      <t>リョウ</t>
    </rPh>
    <phoneticPr fontId="2"/>
  </si>
  <si>
    <t>志賀</t>
    <rPh sb="0" eb="2">
      <t>シガ</t>
    </rPh>
    <phoneticPr fontId="2"/>
  </si>
  <si>
    <t>志賀町</t>
    <rPh sb="0" eb="3">
      <t>シカマチ</t>
    </rPh>
    <phoneticPr fontId="2"/>
  </si>
  <si>
    <t>金沢錦丘</t>
    <rPh sb="0" eb="2">
      <t>カナザワ</t>
    </rPh>
    <rPh sb="2" eb="3">
      <t>ニシキ</t>
    </rPh>
    <rPh sb="3" eb="4">
      <t>オカ</t>
    </rPh>
    <phoneticPr fontId="2"/>
  </si>
  <si>
    <t>石川県</t>
    <rPh sb="0" eb="3">
      <t>イシカワケン</t>
    </rPh>
    <phoneticPr fontId="2"/>
  </si>
  <si>
    <t>中能登</t>
    <rPh sb="0" eb="3">
      <t>ナカノト</t>
    </rPh>
    <phoneticPr fontId="2"/>
  </si>
  <si>
    <t>鹿島郡</t>
    <rPh sb="0" eb="3">
      <t>カシマグン</t>
    </rPh>
    <phoneticPr fontId="2"/>
  </si>
  <si>
    <t>中能登町</t>
    <rPh sb="0" eb="1">
      <t>ナカ</t>
    </rPh>
    <rPh sb="1" eb="4">
      <t>ノトチョウ</t>
    </rPh>
    <phoneticPr fontId="2"/>
  </si>
  <si>
    <t>七尾東部</t>
    <rPh sb="0" eb="2">
      <t>ナナオ</t>
    </rPh>
    <rPh sb="2" eb="4">
      <t>トウブ</t>
    </rPh>
    <phoneticPr fontId="2"/>
  </si>
  <si>
    <t>七尾市</t>
    <rPh sb="0" eb="3">
      <t>ナナオシ</t>
    </rPh>
    <phoneticPr fontId="2"/>
  </si>
  <si>
    <t>学院附属</t>
    <rPh sb="0" eb="2">
      <t>ガクイン</t>
    </rPh>
    <rPh sb="2" eb="4">
      <t>フゾク</t>
    </rPh>
    <phoneticPr fontId="2"/>
  </si>
  <si>
    <t>七尾</t>
    <rPh sb="0" eb="2">
      <t>ナナオ</t>
    </rPh>
    <phoneticPr fontId="2"/>
  </si>
  <si>
    <t>高松</t>
    <rPh sb="0" eb="2">
      <t>タカマツ</t>
    </rPh>
    <phoneticPr fontId="2"/>
  </si>
  <si>
    <t>内灘</t>
    <rPh sb="0" eb="2">
      <t>ウチナダ</t>
    </rPh>
    <phoneticPr fontId="2"/>
  </si>
  <si>
    <t>河北郡</t>
    <rPh sb="0" eb="3">
      <t>カホクグン</t>
    </rPh>
    <phoneticPr fontId="2"/>
  </si>
  <si>
    <t>内灘町</t>
    <rPh sb="0" eb="3">
      <t>ウチナダマチ</t>
    </rPh>
    <phoneticPr fontId="2"/>
  </si>
  <si>
    <t>輪島</t>
    <rPh sb="0" eb="2">
      <t>ワジマ</t>
    </rPh>
    <phoneticPr fontId="2"/>
  </si>
  <si>
    <t>輪島市</t>
    <rPh sb="0" eb="3">
      <t>ワジマシ</t>
    </rPh>
    <phoneticPr fontId="2"/>
  </si>
  <si>
    <t>津幡</t>
    <rPh sb="0" eb="2">
      <t>ツバタ</t>
    </rPh>
    <phoneticPr fontId="2"/>
  </si>
  <si>
    <t>津幡町</t>
    <rPh sb="0" eb="3">
      <t>ツバタマチ</t>
    </rPh>
    <phoneticPr fontId="2"/>
  </si>
  <si>
    <t>津幡南</t>
    <rPh sb="0" eb="2">
      <t>ツバタ</t>
    </rPh>
    <rPh sb="2" eb="3">
      <t>ミナミ</t>
    </rPh>
    <phoneticPr fontId="2"/>
  </si>
  <si>
    <t>1位</t>
    <rPh sb="1" eb="2">
      <t>イ</t>
    </rPh>
    <phoneticPr fontId="2"/>
  </si>
  <si>
    <t>【代表】</t>
    <rPh sb="1" eb="3">
      <t>ダイヒョウ</t>
    </rPh>
    <phoneticPr fontId="2"/>
  </si>
  <si>
    <t>2位</t>
    <rPh sb="1" eb="2">
      <t>イ</t>
    </rPh>
    <phoneticPr fontId="2"/>
  </si>
  <si>
    <t>3位</t>
    <rPh sb="1" eb="2">
      <t>イ</t>
    </rPh>
    <phoneticPr fontId="2"/>
  </si>
  <si>
    <t>日</t>
    <rPh sb="0" eb="1">
      <t>ニチ</t>
    </rPh>
    <phoneticPr fontId="2"/>
  </si>
  <si>
    <t>勝点</t>
    <rPh sb="0" eb="1">
      <t>カ</t>
    </rPh>
    <rPh sb="1" eb="2">
      <t>テン</t>
    </rPh>
    <phoneticPr fontId="2"/>
  </si>
  <si>
    <t>得失
点差</t>
    <rPh sb="0" eb="2">
      <t>トクシツ</t>
    </rPh>
    <rPh sb="3" eb="4">
      <t>テン</t>
    </rPh>
    <rPh sb="4" eb="5">
      <t>サ</t>
    </rPh>
    <phoneticPr fontId="2"/>
  </si>
  <si>
    <t>得点</t>
    <rPh sb="0" eb="2">
      <t>トクテン</t>
    </rPh>
    <phoneticPr fontId="2"/>
  </si>
  <si>
    <t>順位</t>
    <rPh sb="0" eb="2">
      <t>ジュンイ</t>
    </rPh>
    <phoneticPr fontId="2"/>
  </si>
  <si>
    <t>－</t>
    <phoneticPr fontId="2"/>
  </si>
  <si>
    <t>優勝：</t>
    <rPh sb="0" eb="2">
      <t>ユウショウ</t>
    </rPh>
    <phoneticPr fontId="2"/>
  </si>
  <si>
    <t>１位</t>
    <rPh sb="1" eb="2">
      <t>イ</t>
    </rPh>
    <phoneticPr fontId="2"/>
  </si>
  <si>
    <t>代表</t>
    <rPh sb="0" eb="2">
      <t>ダイヒョウ</t>
    </rPh>
    <phoneticPr fontId="2"/>
  </si>
  <si>
    <t>２位</t>
    <rPh sb="1" eb="2">
      <t>イ</t>
    </rPh>
    <phoneticPr fontId="2"/>
  </si>
  <si>
    <t>３位</t>
    <rPh sb="1" eb="2">
      <t>イ</t>
    </rPh>
    <phoneticPr fontId="2"/>
  </si>
  <si>
    <t>優勝:</t>
    <rPh sb="0" eb="2">
      <t>ユウショウ</t>
    </rPh>
    <phoneticPr fontId="2"/>
  </si>
  <si>
    <t>第3代表決定戦</t>
    <rPh sb="0" eb="1">
      <t>ダイ</t>
    </rPh>
    <rPh sb="2" eb="4">
      <t>ダイヒョウ</t>
    </rPh>
    <rPh sb="4" eb="7">
      <t>ケッテイセン</t>
    </rPh>
    <phoneticPr fontId="2"/>
  </si>
  <si>
    <t>－</t>
  </si>
  <si>
    <t>内灘町サッカー場</t>
    <rPh sb="0" eb="3">
      <t>ウチナダマチ</t>
    </rPh>
    <rPh sb="7" eb="8">
      <t>ジョウ</t>
    </rPh>
    <phoneticPr fontId="2"/>
  </si>
  <si>
    <t>ア</t>
    <phoneticPr fontId="2"/>
  </si>
  <si>
    <t>イ</t>
    <phoneticPr fontId="2"/>
  </si>
  <si>
    <t>ウ</t>
    <phoneticPr fontId="2"/>
  </si>
  <si>
    <t>エ</t>
    <phoneticPr fontId="2"/>
  </si>
  <si>
    <t>市営</t>
    <rPh sb="0" eb="2">
      <t>シエイ</t>
    </rPh>
    <phoneticPr fontId="2"/>
  </si>
  <si>
    <t>日</t>
  </si>
  <si>
    <t>⑩</t>
    <phoneticPr fontId="2"/>
  </si>
  <si>
    <t>⑧</t>
    <phoneticPr fontId="2"/>
  </si>
  <si>
    <t>②</t>
    <phoneticPr fontId="2"/>
  </si>
  <si>
    <t>⑦</t>
    <phoneticPr fontId="2"/>
  </si>
  <si>
    <t>④</t>
    <phoneticPr fontId="2"/>
  </si>
  <si>
    <t>①</t>
    <phoneticPr fontId="2"/>
  </si>
  <si>
    <t>③</t>
    <phoneticPr fontId="2"/>
  </si>
  <si>
    <t>⑤</t>
    <phoneticPr fontId="2"/>
  </si>
  <si>
    <t>⑥</t>
    <phoneticPr fontId="2"/>
  </si>
  <si>
    <t>⑨</t>
    <phoneticPr fontId="2"/>
  </si>
  <si>
    <t>9:00</t>
    <phoneticPr fontId="2"/>
  </si>
  <si>
    <t>10:15</t>
    <phoneticPr fontId="2"/>
  </si>
  <si>
    <t>11:30</t>
    <phoneticPr fontId="2"/>
  </si>
  <si>
    <t>14:00</t>
    <phoneticPr fontId="2"/>
  </si>
  <si>
    <t>12:45</t>
    <phoneticPr fontId="2"/>
  </si>
  <si>
    <t>ブロック</t>
    <phoneticPr fontId="2"/>
  </si>
  <si>
    <t>北加賀</t>
    <rPh sb="0" eb="1">
      <t>キタ</t>
    </rPh>
    <rPh sb="1" eb="3">
      <t>カガ</t>
    </rPh>
    <phoneticPr fontId="2"/>
  </si>
  <si>
    <t>南加賀</t>
    <rPh sb="0" eb="1">
      <t>ミナミ</t>
    </rPh>
    <rPh sb="1" eb="3">
      <t>カガ</t>
    </rPh>
    <phoneticPr fontId="2"/>
  </si>
  <si>
    <t>能登地区</t>
    <rPh sb="0" eb="2">
      <t>ノト</t>
    </rPh>
    <rPh sb="2" eb="4">
      <t>チク</t>
    </rPh>
    <phoneticPr fontId="2"/>
  </si>
  <si>
    <t>第１位</t>
    <rPh sb="0" eb="1">
      <t>ダイ</t>
    </rPh>
    <rPh sb="2" eb="3">
      <t>イ</t>
    </rPh>
    <phoneticPr fontId="2"/>
  </si>
  <si>
    <t>第２位</t>
    <rPh sb="0" eb="1">
      <t>ダイ</t>
    </rPh>
    <rPh sb="2" eb="3">
      <t>イ</t>
    </rPh>
    <phoneticPr fontId="2"/>
  </si>
  <si>
    <t>第３位</t>
    <rPh sb="0" eb="1">
      <t>ダイ</t>
    </rPh>
    <rPh sb="2" eb="3">
      <t>イ</t>
    </rPh>
    <phoneticPr fontId="2"/>
  </si>
  <si>
    <t>3日目</t>
    <rPh sb="1" eb="3">
      <t>ニチメ</t>
    </rPh>
    <phoneticPr fontId="2"/>
  </si>
  <si>
    <t>2日目</t>
    <rPh sb="1" eb="3">
      <t>ニチメ</t>
    </rPh>
    <phoneticPr fontId="2"/>
  </si>
  <si>
    <t>1日目</t>
    <rPh sb="1" eb="3">
      <t>ニチメ</t>
    </rPh>
    <phoneticPr fontId="2"/>
  </si>
  <si>
    <t>B</t>
    <phoneticPr fontId="2"/>
  </si>
  <si>
    <t>回</t>
    <rPh sb="0" eb="1">
      <t>カイ</t>
    </rPh>
    <phoneticPr fontId="2"/>
  </si>
  <si>
    <t>郡市名</t>
    <rPh sb="0" eb="2">
      <t>グンシ</t>
    </rPh>
    <rPh sb="2" eb="3">
      <t>メイ</t>
    </rPh>
    <phoneticPr fontId="2"/>
  </si>
  <si>
    <t>芦城</t>
    <rPh sb="0" eb="1">
      <t>ロ</t>
    </rPh>
    <rPh sb="1" eb="2">
      <t>ジョウ</t>
    </rPh>
    <phoneticPr fontId="2"/>
  </si>
  <si>
    <t>小松</t>
    <rPh sb="0" eb="2">
      <t>コマツ</t>
    </rPh>
    <phoneticPr fontId="2"/>
  </si>
  <si>
    <t>国府</t>
    <rPh sb="0" eb="2">
      <t>コクフ</t>
    </rPh>
    <phoneticPr fontId="2"/>
  </si>
  <si>
    <t>金沢</t>
    <rPh sb="0" eb="2">
      <t>カナザワ</t>
    </rPh>
    <phoneticPr fontId="2"/>
  </si>
  <si>
    <t>芦城</t>
    <rPh sb="0" eb="2">
      <t>ロジョウ</t>
    </rPh>
    <phoneticPr fontId="2"/>
  </si>
  <si>
    <t>金石</t>
    <rPh sb="0" eb="2">
      <t>カナイワ</t>
    </rPh>
    <phoneticPr fontId="2"/>
  </si>
  <si>
    <t>押水</t>
    <rPh sb="0" eb="2">
      <t>オシミズ</t>
    </rPh>
    <phoneticPr fontId="2"/>
  </si>
  <si>
    <t>小将町</t>
    <rPh sb="0" eb="3">
      <t>コショウマチ</t>
    </rPh>
    <phoneticPr fontId="2"/>
  </si>
  <si>
    <t>河北</t>
    <rPh sb="0" eb="2">
      <t>カホク</t>
    </rPh>
    <phoneticPr fontId="2"/>
  </si>
  <si>
    <t>石川</t>
    <rPh sb="0" eb="2">
      <t>イシカワ</t>
    </rPh>
    <phoneticPr fontId="2"/>
  </si>
  <si>
    <t>星稜</t>
    <rPh sb="0" eb="2">
      <t>セイリョウ</t>
    </rPh>
    <phoneticPr fontId="2"/>
  </si>
  <si>
    <t>星稜</t>
  </si>
  <si>
    <t>なし</t>
    <phoneticPr fontId="2"/>
  </si>
  <si>
    <t>大会中止のため</t>
    <rPh sb="0" eb="2">
      <t>タイカイ</t>
    </rPh>
    <rPh sb="2" eb="4">
      <t>チュウシ</t>
    </rPh>
    <phoneticPr fontId="2"/>
  </si>
  <si>
    <t>円／冊</t>
    <rPh sb="0" eb="1">
      <t>エン</t>
    </rPh>
    <rPh sb="2" eb="3">
      <t>サツ</t>
    </rPh>
    <phoneticPr fontId="2"/>
  </si>
  <si>
    <t>A</t>
    <phoneticPr fontId="2"/>
  </si>
  <si>
    <t>領　収　証</t>
    <rPh sb="0" eb="1">
      <t>リョウ</t>
    </rPh>
    <rPh sb="2" eb="3">
      <t>オサム</t>
    </rPh>
    <rPh sb="4" eb="5">
      <t>ショウ</t>
    </rPh>
    <phoneticPr fontId="2"/>
  </si>
  <si>
    <t>金額</t>
    <rPh sb="0" eb="2">
      <t>キンガク</t>
    </rPh>
    <phoneticPr fontId="2"/>
  </si>
  <si>
    <t>円</t>
    <rPh sb="0" eb="1">
      <t>エン</t>
    </rPh>
    <phoneticPr fontId="2"/>
  </si>
  <si>
    <t>冊</t>
    <rPh sb="0" eb="1">
      <t>サツ</t>
    </rPh>
    <phoneticPr fontId="2"/>
  </si>
  <si>
    <t>但し</t>
    <rPh sb="0" eb="1">
      <t>タダ</t>
    </rPh>
    <phoneticPr fontId="2"/>
  </si>
  <si>
    <t>上記のとおり領収いたしました。</t>
    <rPh sb="0" eb="2">
      <t>ジョウキ</t>
    </rPh>
    <rPh sb="6" eb="8">
      <t>リョウシュウ</t>
    </rPh>
    <phoneticPr fontId="2"/>
  </si>
  <si>
    <t>石川県中体連サッカー競技部</t>
    <rPh sb="0" eb="3">
      <t>イシカワケン</t>
    </rPh>
    <rPh sb="3" eb="6">
      <t>チュウタイレン</t>
    </rPh>
    <rPh sb="10" eb="12">
      <t>キョウギ</t>
    </rPh>
    <rPh sb="12" eb="13">
      <t>ブ</t>
    </rPh>
    <phoneticPr fontId="2"/>
  </si>
  <si>
    <t>専門委員長</t>
    <rPh sb="0" eb="2">
      <t>センモン</t>
    </rPh>
    <rPh sb="2" eb="4">
      <t>イイン</t>
    </rPh>
    <rPh sb="4" eb="5">
      <t>ナガ</t>
    </rPh>
    <phoneticPr fontId="2"/>
  </si>
  <si>
    <t>マッチコミッショナー報告書</t>
    <rPh sb="10" eb="13">
      <t>ホウコクショ</t>
    </rPh>
    <phoneticPr fontId="2"/>
  </si>
  <si>
    <t>マッチコミッショナー名</t>
    <rPh sb="10" eb="11">
      <t>メイ</t>
    </rPh>
    <phoneticPr fontId="2"/>
  </si>
  <si>
    <t>大　会　名　：</t>
    <rPh sb="0" eb="1">
      <t>ダイ</t>
    </rPh>
    <rPh sb="2" eb="3">
      <t>カイ</t>
    </rPh>
    <rPh sb="4" eb="5">
      <t>ナ</t>
    </rPh>
    <phoneticPr fontId="2"/>
  </si>
  <si>
    <t>【準決勝】</t>
    <rPh sb="1" eb="4">
      <t>ジュンケッショウ</t>
    </rPh>
    <phoneticPr fontId="2"/>
  </si>
  <si>
    <t>１．対象試合</t>
    <rPh sb="2" eb="4">
      <t>タイショウ</t>
    </rPh>
    <rPh sb="4" eb="6">
      <t>ジアイ</t>
    </rPh>
    <phoneticPr fontId="2"/>
  </si>
  <si>
    <t>開催日</t>
    <rPh sb="0" eb="3">
      <t>カイサイビ</t>
    </rPh>
    <phoneticPr fontId="2"/>
  </si>
  <si>
    <t>キックオフ</t>
    <phoneticPr fontId="2"/>
  </si>
  <si>
    <t>対　戦</t>
    <rPh sb="0" eb="1">
      <t>タイ</t>
    </rPh>
    <rPh sb="2" eb="3">
      <t>イクサ</t>
    </rPh>
    <phoneticPr fontId="2"/>
  </si>
  <si>
    <t>チーム名</t>
    <rPh sb="3" eb="4">
      <t>メイ</t>
    </rPh>
    <phoneticPr fontId="2"/>
  </si>
  <si>
    <t>（Ａ）</t>
    <phoneticPr fontId="2"/>
  </si>
  <si>
    <t>vs</t>
    <phoneticPr fontId="2"/>
  </si>
  <si>
    <t>（Ｂ）</t>
    <phoneticPr fontId="2"/>
  </si>
  <si>
    <t>結　果</t>
    <rPh sb="0" eb="1">
      <t>ケッ</t>
    </rPh>
    <rPh sb="2" eb="3">
      <t>カ</t>
    </rPh>
    <phoneticPr fontId="2"/>
  </si>
  <si>
    <t>前半</t>
    <rPh sb="0" eb="2">
      <t>ゼンハン</t>
    </rPh>
    <phoneticPr fontId="2"/>
  </si>
  <si>
    <t>後半</t>
    <rPh sb="0" eb="2">
      <t>コウハン</t>
    </rPh>
    <phoneticPr fontId="2"/>
  </si>
  <si>
    <t>延長前半</t>
    <rPh sb="0" eb="2">
      <t>エンチョウ</t>
    </rPh>
    <rPh sb="2" eb="4">
      <t>ゼンハン</t>
    </rPh>
    <phoneticPr fontId="2"/>
  </si>
  <si>
    <t>延長後半</t>
    <rPh sb="0" eb="2">
      <t>エンチョウ</t>
    </rPh>
    <rPh sb="2" eb="4">
      <t>コウハン</t>
    </rPh>
    <phoneticPr fontId="2"/>
  </si>
  <si>
    <t>ＰＫ</t>
    <phoneticPr fontId="2"/>
  </si>
  <si>
    <t>会場名</t>
    <rPh sb="0" eb="2">
      <t>カイジョウ</t>
    </rPh>
    <rPh sb="2" eb="3">
      <t>メイ</t>
    </rPh>
    <phoneticPr fontId="2"/>
  </si>
  <si>
    <t>２．試合運営について</t>
    <rPh sb="2" eb="4">
      <t>シアイ</t>
    </rPh>
    <rPh sb="4" eb="6">
      <t>ウンエイ</t>
    </rPh>
    <phoneticPr fontId="2"/>
  </si>
  <si>
    <t>運営全般</t>
    <rPh sb="0" eb="2">
      <t>ウンエイ</t>
    </rPh>
    <rPh sb="2" eb="4">
      <t>ゼンパン</t>
    </rPh>
    <phoneticPr fontId="2"/>
  </si>
  <si>
    <t>１．非常に良い　　　　２．問題ない　　　　３．やや問題あり　　　　４．問題あり</t>
    <rPh sb="2" eb="4">
      <t>ヒジョウ</t>
    </rPh>
    <rPh sb="5" eb="6">
      <t>ヨ</t>
    </rPh>
    <rPh sb="13" eb="15">
      <t>モンダイ</t>
    </rPh>
    <rPh sb="25" eb="27">
      <t>モンダイ</t>
    </rPh>
    <rPh sb="35" eb="37">
      <t>モンダイ</t>
    </rPh>
    <phoneticPr fontId="2"/>
  </si>
  <si>
    <t>芝生（ピッチ）</t>
    <rPh sb="0" eb="2">
      <t>シバフ</t>
    </rPh>
    <phoneticPr fontId="2"/>
  </si>
  <si>
    <r>
      <t>諸室</t>
    </r>
    <r>
      <rPr>
        <sz val="8"/>
        <rFont val="ＭＳ Ｐゴシック"/>
        <family val="3"/>
        <charset val="128"/>
      </rPr>
      <t>（ロッカーを含む）</t>
    </r>
    <rPh sb="0" eb="1">
      <t>ショ</t>
    </rPh>
    <rPh sb="1" eb="2">
      <t>シツ</t>
    </rPh>
    <rPh sb="8" eb="9">
      <t>フク</t>
    </rPh>
    <phoneticPr fontId="2"/>
  </si>
  <si>
    <t>警備体制</t>
    <rPh sb="0" eb="2">
      <t>ケイビ</t>
    </rPh>
    <rPh sb="2" eb="4">
      <t>タイセイ</t>
    </rPh>
    <phoneticPr fontId="2"/>
  </si>
  <si>
    <t>メディアサービス</t>
    <phoneticPr fontId="2"/>
  </si>
  <si>
    <t>チームの態度</t>
    <rPh sb="4" eb="6">
      <t>タイド</t>
    </rPh>
    <phoneticPr fontId="2"/>
  </si>
  <si>
    <t>Ａチーム（</t>
    <phoneticPr fontId="2"/>
  </si>
  <si>
    <t>）</t>
    <phoneticPr fontId="2"/>
  </si>
  <si>
    <t>Ｂチーム（</t>
    <phoneticPr fontId="2"/>
  </si>
  <si>
    <t>上記で３・４に○をした理由</t>
    <rPh sb="0" eb="2">
      <t>ジョウキ</t>
    </rPh>
    <rPh sb="11" eb="13">
      <t>リユウ</t>
    </rPh>
    <phoneticPr fontId="2"/>
  </si>
  <si>
    <t>３．審判について</t>
    <rPh sb="2" eb="4">
      <t>シンパン</t>
    </rPh>
    <phoneticPr fontId="2"/>
  </si>
  <si>
    <t>総　評</t>
    <rPh sb="0" eb="1">
      <t>ソウ</t>
    </rPh>
    <rPh sb="2" eb="3">
      <t>ヒョウ</t>
    </rPh>
    <phoneticPr fontId="2"/>
  </si>
  <si>
    <t>※試合運営において緊急を要する場合（試合中断・延期・会場トラブルなどは『マッチコミッショナー緊急報告書』にて報告をして下さい。</t>
    <rPh sb="1" eb="3">
      <t>シアイ</t>
    </rPh>
    <rPh sb="3" eb="5">
      <t>ウンエイ</t>
    </rPh>
    <rPh sb="9" eb="11">
      <t>キンキュウ</t>
    </rPh>
    <rPh sb="12" eb="13">
      <t>ヨウ</t>
    </rPh>
    <rPh sb="15" eb="17">
      <t>バアイ</t>
    </rPh>
    <rPh sb="18" eb="20">
      <t>シアイ</t>
    </rPh>
    <rPh sb="20" eb="22">
      <t>チュウダン</t>
    </rPh>
    <rPh sb="23" eb="25">
      <t>エンキ</t>
    </rPh>
    <rPh sb="26" eb="28">
      <t>カイジョウ</t>
    </rPh>
    <rPh sb="46" eb="48">
      <t>キンキュウ</t>
    </rPh>
    <rPh sb="48" eb="51">
      <t>ホウコクショ</t>
    </rPh>
    <rPh sb="54" eb="56">
      <t>ホウコク</t>
    </rPh>
    <rPh sb="59" eb="60">
      <t>クダ</t>
    </rPh>
    <phoneticPr fontId="2"/>
  </si>
  <si>
    <t>本紙郵送の必要はございません。大会事務局で保管願います。</t>
    <rPh sb="0" eb="2">
      <t>ホンシ</t>
    </rPh>
    <rPh sb="2" eb="4">
      <t>ユウソウ</t>
    </rPh>
    <rPh sb="5" eb="7">
      <t>ヒツヨウ</t>
    </rPh>
    <rPh sb="15" eb="17">
      <t>タイカイ</t>
    </rPh>
    <rPh sb="17" eb="20">
      <t>ジムキョク</t>
    </rPh>
    <rPh sb="21" eb="23">
      <t>ホカン</t>
    </rPh>
    <rPh sb="23" eb="24">
      <t>ネガ</t>
    </rPh>
    <phoneticPr fontId="2"/>
  </si>
  <si>
    <t>【決勝】</t>
    <rPh sb="1" eb="3">
      <t>ケッショウ</t>
    </rPh>
    <phoneticPr fontId="2"/>
  </si>
  <si>
    <t>再延長前半</t>
    <rPh sb="0" eb="3">
      <t>サイエンチョウ</t>
    </rPh>
    <rPh sb="3" eb="5">
      <t>ゼンハン</t>
    </rPh>
    <phoneticPr fontId="2"/>
  </si>
  <si>
    <t>再延長後半</t>
    <rPh sb="0" eb="3">
      <t>サイエンチョウ</t>
    </rPh>
    <rPh sb="3" eb="5">
      <t>コウハン</t>
    </rPh>
    <phoneticPr fontId="2"/>
  </si>
  <si>
    <t>【第3代表決定戦】</t>
    <rPh sb="1" eb="2">
      <t>ダイ</t>
    </rPh>
    <rPh sb="3" eb="5">
      <t>ダイヒョウ</t>
    </rPh>
    <rPh sb="5" eb="8">
      <t>ケッテイセン</t>
    </rPh>
    <phoneticPr fontId="2"/>
  </si>
  <si>
    <t>（一社）石川県サッカー協会</t>
    <rPh sb="1" eb="2">
      <t>1</t>
    </rPh>
    <rPh sb="2" eb="3">
      <t>シャ</t>
    </rPh>
    <phoneticPr fontId="2"/>
  </si>
  <si>
    <t>マッチコミッショナー</t>
  </si>
  <si>
    <t>主　審</t>
  </si>
  <si>
    <t>審判員</t>
    <rPh sb="0" eb="3">
      <t>シンパンイン</t>
    </rPh>
    <phoneticPr fontId="2"/>
  </si>
  <si>
    <t>マッチ</t>
    <phoneticPr fontId="2"/>
  </si>
  <si>
    <t>記録</t>
    <rPh sb="0" eb="2">
      <t>キロク</t>
    </rPh>
    <phoneticPr fontId="2"/>
  </si>
  <si>
    <t>ピッチ</t>
    <phoneticPr fontId="2"/>
  </si>
  <si>
    <t>天候</t>
    <rPh sb="0" eb="2">
      <t>テンコウ</t>
    </rPh>
    <phoneticPr fontId="2"/>
  </si>
  <si>
    <t>湿度</t>
    <rPh sb="0" eb="2">
      <t>シツド</t>
    </rPh>
    <phoneticPr fontId="2"/>
  </si>
  <si>
    <t>気温</t>
    <rPh sb="0" eb="2">
      <t>キオン</t>
    </rPh>
    <phoneticPr fontId="2"/>
  </si>
  <si>
    <t>風</t>
    <rPh sb="0" eb="1">
      <t>カゼ</t>
    </rPh>
    <phoneticPr fontId="2"/>
  </si>
  <si>
    <t>山辺　雅司</t>
    <rPh sb="0" eb="2">
      <t>ヤマベ</t>
    </rPh>
    <rPh sb="3" eb="4">
      <t>ミヤビ</t>
    </rPh>
    <rPh sb="4" eb="5">
      <t>ツカサ</t>
    </rPh>
    <phoneticPr fontId="4"/>
  </si>
  <si>
    <t>大島　哲史</t>
    <rPh sb="0" eb="2">
      <t>オオシマ</t>
    </rPh>
    <rPh sb="3" eb="5">
      <t>サトシ</t>
    </rPh>
    <phoneticPr fontId="4"/>
  </si>
  <si>
    <t>岡﨑 剛平</t>
    <rPh sb="0" eb="2">
      <t>オカザキ</t>
    </rPh>
    <rPh sb="3" eb="5">
      <t>ゴウヘイ</t>
    </rPh>
    <phoneticPr fontId="2"/>
  </si>
  <si>
    <t>全面良芝</t>
  </si>
  <si>
    <t>乾燥</t>
    <rPh sb="0" eb="2">
      <t>カンソウ</t>
    </rPh>
    <phoneticPr fontId="2"/>
  </si>
  <si>
    <t>晴れ</t>
    <rPh sb="0" eb="1">
      <t>ハ</t>
    </rPh>
    <phoneticPr fontId="2"/>
  </si>
  <si>
    <t>強風</t>
    <rPh sb="0" eb="2">
      <t>キョウフウ</t>
    </rPh>
    <phoneticPr fontId="2"/>
  </si>
  <si>
    <t>原　崇史</t>
    <rPh sb="0" eb="1">
      <t>ハラ</t>
    </rPh>
    <rPh sb="2" eb="3">
      <t>タカシ</t>
    </rPh>
    <rPh sb="3" eb="4">
      <t>フミ</t>
    </rPh>
    <phoneticPr fontId="4"/>
  </si>
  <si>
    <t>木元 正樹</t>
    <rPh sb="0" eb="2">
      <t>キモト</t>
    </rPh>
    <rPh sb="3" eb="5">
      <t>マサキ</t>
    </rPh>
    <phoneticPr fontId="4"/>
  </si>
  <si>
    <t>斉田 正春</t>
    <rPh sb="0" eb="2">
      <t>サイダ</t>
    </rPh>
    <rPh sb="3" eb="5">
      <t>マサハル</t>
    </rPh>
    <phoneticPr fontId="2"/>
  </si>
  <si>
    <t>中央剥がれ</t>
    <rPh sb="0" eb="2">
      <t>チュウオウ</t>
    </rPh>
    <rPh sb="2" eb="3">
      <t>ハ</t>
    </rPh>
    <phoneticPr fontId="2"/>
  </si>
  <si>
    <t>ウエット</t>
  </si>
  <si>
    <t>曇り</t>
    <rPh sb="0" eb="1">
      <t>クモ</t>
    </rPh>
    <phoneticPr fontId="2"/>
  </si>
  <si>
    <t>弱風</t>
    <rPh sb="0" eb="2">
      <t>ジャクフウ</t>
    </rPh>
    <phoneticPr fontId="2"/>
  </si>
  <si>
    <t>　</t>
    <phoneticPr fontId="2"/>
  </si>
  <si>
    <t>干場　清伸</t>
    <rPh sb="0" eb="2">
      <t>ホシバ</t>
    </rPh>
    <rPh sb="3" eb="5">
      <t>セイシン</t>
    </rPh>
    <phoneticPr fontId="4"/>
  </si>
  <si>
    <t>廣澤 健吾</t>
    <rPh sb="0" eb="2">
      <t>ヒロサワ</t>
    </rPh>
    <rPh sb="3" eb="5">
      <t>ケンゴ</t>
    </rPh>
    <phoneticPr fontId="4"/>
  </si>
  <si>
    <t>昔農 徳行</t>
    <rPh sb="0" eb="1">
      <t>セキ</t>
    </rPh>
    <rPh sb="1" eb="2">
      <t>ノウ</t>
    </rPh>
    <rPh sb="3" eb="5">
      <t>トクユ</t>
    </rPh>
    <phoneticPr fontId="2"/>
  </si>
  <si>
    <t>霧</t>
    <rPh sb="0" eb="1">
      <t>キリ</t>
    </rPh>
    <phoneticPr fontId="2"/>
  </si>
  <si>
    <t>微風</t>
    <rPh sb="0" eb="2">
      <t>ビフウ</t>
    </rPh>
    <phoneticPr fontId="2"/>
  </si>
  <si>
    <t>日　時</t>
  </si>
  <si>
    <t>試合形式</t>
  </si>
  <si>
    <t>60分（延長10分）</t>
    <rPh sb="2" eb="3">
      <t>フン</t>
    </rPh>
    <rPh sb="4" eb="6">
      <t>エンチョウ</t>
    </rPh>
    <rPh sb="8" eb="9">
      <t>フン</t>
    </rPh>
    <phoneticPr fontId="2"/>
  </si>
  <si>
    <t>会場名</t>
  </si>
  <si>
    <t>小畠　悠大</t>
    <rPh sb="0" eb="2">
      <t>コバタケ</t>
    </rPh>
    <rPh sb="3" eb="5">
      <t>ユウダイ</t>
    </rPh>
    <phoneticPr fontId="4"/>
  </si>
  <si>
    <t>島野 知宏</t>
    <rPh sb="0" eb="2">
      <t>シマノ</t>
    </rPh>
    <rPh sb="3" eb="5">
      <t>トモヒロ</t>
    </rPh>
    <phoneticPr fontId="4"/>
  </si>
  <si>
    <t>高橋 明裕</t>
    <rPh sb="0" eb="2">
      <t>タカハシ</t>
    </rPh>
    <rPh sb="3" eb="5">
      <t>アキヒロ</t>
    </rPh>
    <phoneticPr fontId="2"/>
  </si>
  <si>
    <t>少雨</t>
    <rPh sb="0" eb="2">
      <t>ショウウ</t>
    </rPh>
    <phoneticPr fontId="2"/>
  </si>
  <si>
    <t>天　候</t>
  </si>
  <si>
    <t>気　温</t>
  </si>
  <si>
    <t>湿　度</t>
  </si>
  <si>
    <t>風</t>
    <phoneticPr fontId="2"/>
  </si>
  <si>
    <t>ピッチ状態</t>
  </si>
  <si>
    <t>観衆数</t>
  </si>
  <si>
    <t>長谷川　克也</t>
    <phoneticPr fontId="4"/>
  </si>
  <si>
    <t>出原 知哉</t>
    <rPh sb="0" eb="2">
      <t>デハラ</t>
    </rPh>
    <rPh sb="3" eb="5">
      <t>トモヤ</t>
    </rPh>
    <phoneticPr fontId="2"/>
  </si>
  <si>
    <t>豪雨</t>
    <rPh sb="0" eb="2">
      <t>ゴウウ</t>
    </rPh>
    <phoneticPr fontId="2"/>
  </si>
  <si>
    <t>副 審１</t>
    <phoneticPr fontId="2"/>
  </si>
  <si>
    <t>第4の審判員</t>
    <rPh sb="0" eb="1">
      <t>ダイ</t>
    </rPh>
    <phoneticPr fontId="2"/>
  </si>
  <si>
    <t>芝</t>
  </si>
  <si>
    <t>佐野　英治</t>
    <rPh sb="0" eb="2">
      <t>サノ</t>
    </rPh>
    <rPh sb="3" eb="5">
      <t>エイジ</t>
    </rPh>
    <phoneticPr fontId="2"/>
  </si>
  <si>
    <t>中川　欣哉</t>
    <rPh sb="0" eb="2">
      <t>ナカガワ</t>
    </rPh>
    <rPh sb="3" eb="5">
      <t>キンヤ</t>
    </rPh>
    <phoneticPr fontId="2"/>
  </si>
  <si>
    <t>雪</t>
    <rPh sb="0" eb="1">
      <t>ユキ</t>
    </rPh>
    <phoneticPr fontId="2"/>
  </si>
  <si>
    <t>副 審２</t>
    <phoneticPr fontId="2"/>
  </si>
  <si>
    <t>記録担当</t>
  </si>
  <si>
    <t>表面</t>
  </si>
  <si>
    <t>今崎　槙胡</t>
    <phoneticPr fontId="4"/>
  </si>
  <si>
    <t>中川 欣哉</t>
    <rPh sb="0" eb="2">
      <t>ナカガワ</t>
    </rPh>
    <rPh sb="3" eb="5">
      <t>キンヤ</t>
    </rPh>
    <phoneticPr fontId="2"/>
  </si>
  <si>
    <t>安井 英輔</t>
    <rPh sb="0" eb="2">
      <t>ヤスイ</t>
    </rPh>
    <rPh sb="3" eb="5">
      <t>エイスケ</t>
    </rPh>
    <phoneticPr fontId="2"/>
  </si>
  <si>
    <t>前　半</t>
    <phoneticPr fontId="2"/>
  </si>
  <si>
    <t>神林　理</t>
    <rPh sb="0" eb="2">
      <t>カンバヤシ</t>
    </rPh>
    <rPh sb="3" eb="4">
      <t>リ</t>
    </rPh>
    <phoneticPr fontId="4"/>
  </si>
  <si>
    <t>杉谷　靖史</t>
    <rPh sb="0" eb="2">
      <t>スギタニ</t>
    </rPh>
    <rPh sb="3" eb="5">
      <t>ヤスシ</t>
    </rPh>
    <phoneticPr fontId="2"/>
  </si>
  <si>
    <t>竹村 健亮</t>
    <rPh sb="0" eb="2">
      <t>タケムラ</t>
    </rPh>
    <rPh sb="3" eb="4">
      <t>ケン</t>
    </rPh>
    <rPh sb="4" eb="5">
      <t>リョウ</t>
    </rPh>
    <phoneticPr fontId="4"/>
  </si>
  <si>
    <t>後　半</t>
    <phoneticPr fontId="2"/>
  </si>
  <si>
    <t>井田　恭右</t>
    <phoneticPr fontId="4"/>
  </si>
  <si>
    <t>長谷川 慎</t>
    <rPh sb="0" eb="3">
      <t>ハセガワ</t>
    </rPh>
    <rPh sb="4" eb="5">
      <t>シン</t>
    </rPh>
    <phoneticPr fontId="4"/>
  </si>
  <si>
    <t>古市 大和</t>
    <rPh sb="0" eb="2">
      <t>フルイチ</t>
    </rPh>
    <rPh sb="3" eb="5">
      <t>ヤマト</t>
    </rPh>
    <phoneticPr fontId="4"/>
  </si>
  <si>
    <t>堀 圭佑</t>
    <rPh sb="0" eb="1">
      <t>ホリ</t>
    </rPh>
    <rPh sb="2" eb="4">
      <t>ケイスケ</t>
    </rPh>
    <phoneticPr fontId="4"/>
  </si>
  <si>
    <t>kickoff</t>
    <phoneticPr fontId="2"/>
  </si>
  <si>
    <t>松本　隆志</t>
    <rPh sb="0" eb="2">
      <t>マツモト</t>
    </rPh>
    <rPh sb="3" eb="4">
      <t>タカシ</t>
    </rPh>
    <rPh sb="4" eb="5">
      <t>シ</t>
    </rPh>
    <phoneticPr fontId="4"/>
  </si>
  <si>
    <t>宮下 智康</t>
    <rPh sb="0" eb="2">
      <t>ミヤシタ</t>
    </rPh>
    <rPh sb="3" eb="5">
      <t>トモヤス</t>
    </rPh>
    <phoneticPr fontId="4"/>
  </si>
  <si>
    <t>退場</t>
    <rPh sb="0" eb="2">
      <t>タイジョウ</t>
    </rPh>
    <phoneticPr fontId="2"/>
  </si>
  <si>
    <t>警告</t>
    <rPh sb="0" eb="2">
      <t>ケイコク</t>
    </rPh>
    <phoneticPr fontId="2"/>
  </si>
  <si>
    <t>シュート</t>
  </si>
  <si>
    <t>得点</t>
  </si>
  <si>
    <t>選 手 名</t>
    <phoneticPr fontId="2"/>
  </si>
  <si>
    <t>番号</t>
    <rPh sb="0" eb="2">
      <t>バンゴウ</t>
    </rPh>
    <phoneticPr fontId="2"/>
  </si>
  <si>
    <t>位置</t>
    <rPh sb="0" eb="2">
      <t>イチ</t>
    </rPh>
    <phoneticPr fontId="2"/>
  </si>
  <si>
    <t>矢部 喜一</t>
    <rPh sb="0" eb="2">
      <t>ヤベ</t>
    </rPh>
    <rPh sb="3" eb="5">
      <t>キイチ</t>
    </rPh>
    <phoneticPr fontId="4"/>
  </si>
  <si>
    <t>後</t>
  </si>
  <si>
    <t>前</t>
  </si>
  <si>
    <t>計</t>
  </si>
  <si>
    <t>監督</t>
    <rPh sb="0" eb="2">
      <t>カントク</t>
    </rPh>
    <phoneticPr fontId="2"/>
  </si>
  <si>
    <t>山本 宰</t>
    <rPh sb="0" eb="2">
      <t>ヤマモト</t>
    </rPh>
    <rPh sb="3" eb="4">
      <t>ツカサ</t>
    </rPh>
    <phoneticPr fontId="4"/>
  </si>
  <si>
    <t>青森　泰樹</t>
    <rPh sb="0" eb="2">
      <t>アオモリ</t>
    </rPh>
    <rPh sb="3" eb="5">
      <t>ヤスキ</t>
    </rPh>
    <phoneticPr fontId="2"/>
  </si>
  <si>
    <t>交代時間</t>
    <rPh sb="0" eb="2">
      <t>コウタイ</t>
    </rPh>
    <rPh sb="2" eb="4">
      <t>ジカン</t>
    </rPh>
    <phoneticPr fontId="2"/>
  </si>
  <si>
    <t>OUT選手</t>
    <rPh sb="3" eb="5">
      <t>センシュ</t>
    </rPh>
    <phoneticPr fontId="2"/>
  </si>
  <si>
    <t>IN選手</t>
    <rPh sb="2" eb="4">
      <t>センシュ</t>
    </rPh>
    <phoneticPr fontId="2"/>
  </si>
  <si>
    <t>監督</t>
  </si>
  <si>
    <t>氏名</t>
    <rPh sb="0" eb="2">
      <t>シメイ</t>
    </rPh>
    <phoneticPr fontId="2"/>
  </si>
  <si>
    <t>チーム合計</t>
    <phoneticPr fontId="2"/>
  </si>
  <si>
    <t>ＧＫ</t>
  </si>
  <si>
    <t>ＣＫ</t>
  </si>
  <si>
    <t>直接ＦＫ</t>
  </si>
  <si>
    <t>間接ＦＫ</t>
  </si>
  <si>
    <t>(ｵﾌｻｲﾄﾞ)</t>
  </si>
  <si>
    <t>ＰＫ</t>
  </si>
  <si>
    <t>得点時間</t>
  </si>
  <si>
    <t>得点チーム</t>
  </si>
  <si>
    <t>No.</t>
  </si>
  <si>
    <t>得点者</t>
  </si>
  <si>
    <t>スコア</t>
  </si>
  <si>
    <t>得点経過 記録例： ～:ドリブル　→:ゴロパス　∩:浮き球パス　×:混戦　Ｓ:シュート　Ｈ:ヘディング</t>
    <phoneticPr fontId="2"/>
  </si>
  <si>
    <t>ＰＫ戦の経過</t>
  </si>
  <si>
    <t>[試合時間]</t>
    <phoneticPr fontId="2"/>
  </si>
  <si>
    <t>[備考]</t>
  </si>
  <si>
    <t>[警告理由] C1：反スポーツ的行為，C2：ラフプレー，C3：異議，C4：繰り返し違反，C5：遅延行為，C6：距離不足，C7：無許可入，C8：無許可去</t>
    <phoneticPr fontId="2"/>
  </si>
  <si>
    <t>[退場理由] S1：著しく不正なプレー，S2：乱暴な行為，S3：つば吐き，S4：得点機会阻止(ハンド)，S5：得点機会阻止(他)，S6：侮辱的発言，CS：警告2回による退場</t>
    <rPh sb="42" eb="44">
      <t>キカイ</t>
    </rPh>
    <rPh sb="57" eb="59">
      <t>キカイ</t>
    </rPh>
    <rPh sb="62" eb="63">
      <t>ホカ</t>
    </rPh>
    <phoneticPr fontId="2"/>
  </si>
  <si>
    <t>【選評】</t>
    <phoneticPr fontId="2"/>
  </si>
  <si>
    <t>荒井 啓臣</t>
    <rPh sb="0" eb="2">
      <t>アライ</t>
    </rPh>
    <rPh sb="3" eb="4">
      <t>ケイ</t>
    </rPh>
    <rPh sb="4" eb="5">
      <t>シン</t>
    </rPh>
    <phoneticPr fontId="4"/>
  </si>
  <si>
    <t>大島 哲史</t>
    <rPh sb="0" eb="2">
      <t>オオシマ</t>
    </rPh>
    <rPh sb="3" eb="5">
      <t>サトシ</t>
    </rPh>
    <phoneticPr fontId="4"/>
  </si>
  <si>
    <t>伊藤 岳彦</t>
    <rPh sb="0" eb="2">
      <t>イトウ</t>
    </rPh>
    <rPh sb="3" eb="5">
      <t>タケヒコ</t>
    </rPh>
    <phoneticPr fontId="4"/>
  </si>
  <si>
    <t>川上 辰朗</t>
    <rPh sb="0" eb="2">
      <t>カワカミ</t>
    </rPh>
    <rPh sb="3" eb="5">
      <t>タツロウ</t>
    </rPh>
    <phoneticPr fontId="4"/>
  </si>
  <si>
    <t>北村 秀</t>
    <rPh sb="0" eb="2">
      <t>キタムラ</t>
    </rPh>
    <rPh sb="3" eb="4">
      <t>シゲル</t>
    </rPh>
    <phoneticPr fontId="4"/>
  </si>
  <si>
    <t>木下 弥寿夫</t>
    <rPh sb="0" eb="2">
      <t>キノシタ</t>
    </rPh>
    <rPh sb="3" eb="4">
      <t>ヤ</t>
    </rPh>
    <rPh sb="4" eb="5">
      <t>コトブキ</t>
    </rPh>
    <rPh sb="5" eb="6">
      <t>オ</t>
    </rPh>
    <phoneticPr fontId="4"/>
  </si>
  <si>
    <t>紺多 学</t>
    <rPh sb="0" eb="2">
      <t>コンタ</t>
    </rPh>
    <rPh sb="3" eb="4">
      <t>マナブ</t>
    </rPh>
    <phoneticPr fontId="4"/>
  </si>
  <si>
    <t>志村 信幸</t>
    <rPh sb="0" eb="2">
      <t>シムラ</t>
    </rPh>
    <rPh sb="3" eb="5">
      <t>ノブユキ</t>
    </rPh>
    <phoneticPr fontId="4"/>
  </si>
  <si>
    <t>高橋 英樹</t>
    <rPh sb="0" eb="2">
      <t>タカハシ</t>
    </rPh>
    <rPh sb="3" eb="5">
      <t>ヒデキ</t>
    </rPh>
    <phoneticPr fontId="4"/>
  </si>
  <si>
    <t>中村 秀人</t>
    <rPh sb="0" eb="2">
      <t>ナカムラ</t>
    </rPh>
    <rPh sb="3" eb="5">
      <t>ヒデト</t>
    </rPh>
    <phoneticPr fontId="4"/>
  </si>
  <si>
    <t>松本 隆志</t>
    <rPh sb="0" eb="2">
      <t>マツモト</t>
    </rPh>
    <rPh sb="3" eb="4">
      <t>タカシ</t>
    </rPh>
    <rPh sb="4" eb="5">
      <t>シ</t>
    </rPh>
    <phoneticPr fontId="4"/>
  </si>
  <si>
    <r>
      <t>石川県中学校サッカー大会（およびブロック予選）</t>
    </r>
    <r>
      <rPr>
        <b/>
        <i/>
        <u/>
        <sz val="14"/>
        <color rgb="FFFF0000"/>
        <rFont val="ＭＳ Ｐゴシック"/>
        <family val="3"/>
        <charset val="128"/>
      </rPr>
      <t xml:space="preserve">・北信越大会 </t>
    </r>
    <r>
      <rPr>
        <b/>
        <i/>
        <u/>
        <sz val="14"/>
        <color indexed="9"/>
        <rFont val="ＭＳ Ｐゴシック"/>
        <family val="3"/>
        <charset val="128"/>
      </rPr>
      <t xml:space="preserve">
申込書作成ファイル</t>
    </r>
    <rPh sb="0" eb="3">
      <t>イシカワケン</t>
    </rPh>
    <rPh sb="3" eb="6">
      <t>チュウガッコウ</t>
    </rPh>
    <rPh sb="10" eb="12">
      <t>タイカイ</t>
    </rPh>
    <rPh sb="20" eb="22">
      <t>ヨセン</t>
    </rPh>
    <rPh sb="24" eb="27">
      <t>ホクシンエツ</t>
    </rPh>
    <rPh sb="27" eb="29">
      <t>タイカイ</t>
    </rPh>
    <rPh sb="31" eb="34">
      <t>モウシコミショ</t>
    </rPh>
    <rPh sb="34" eb="36">
      <t>サクセイ</t>
    </rPh>
    <phoneticPr fontId="2"/>
  </si>
  <si>
    <t>出身少年団の入力もお忘れ無く</t>
    <rPh sb="0" eb="2">
      <t>シュッシン</t>
    </rPh>
    <rPh sb="2" eb="5">
      <t>ショウネンダン</t>
    </rPh>
    <rPh sb="6" eb="8">
      <t>ニュウリョク</t>
    </rPh>
    <rPh sb="10" eb="11">
      <t>ワス</t>
    </rPh>
    <rPh sb="12" eb="13">
      <t>ナ</t>
    </rPh>
    <phoneticPr fontId="2"/>
  </si>
  <si>
    <t>誕生日
(北信越用)</t>
    <rPh sb="0" eb="3">
      <t>タンジョウビ</t>
    </rPh>
    <rPh sb="5" eb="6">
      <t>ホク</t>
    </rPh>
    <rPh sb="6" eb="8">
      <t>シンエツ</t>
    </rPh>
    <rPh sb="8" eb="9">
      <t>ヨウ</t>
    </rPh>
    <phoneticPr fontId="2"/>
  </si>
  <si>
    <t>県体出場時</t>
    <rPh sb="0" eb="2">
      <t>ケンタイ</t>
    </rPh>
    <rPh sb="2" eb="4">
      <t>シュツジョウ</t>
    </rPh>
    <rPh sb="4" eb="5">
      <t>ジ</t>
    </rPh>
    <phoneticPr fontId="2"/>
  </si>
  <si>
    <t>予選大会</t>
    <rPh sb="0" eb="2">
      <t>ヨセン</t>
    </rPh>
    <rPh sb="2" eb="4">
      <t>タイカイ</t>
    </rPh>
    <phoneticPr fontId="2"/>
  </si>
  <si>
    <t>北加賀</t>
  </si>
  <si>
    <t>県</t>
    <rPh sb="0" eb="1">
      <t>ケン</t>
    </rPh>
    <phoneticPr fontId="2"/>
  </si>
  <si>
    <t>選手氏名</t>
  </si>
  <si>
    <t>ふりがな（全角）</t>
    <rPh sb="5" eb="7">
      <t>ゼンカク</t>
    </rPh>
    <phoneticPr fontId="2"/>
  </si>
  <si>
    <t>学年</t>
  </si>
  <si>
    <t>身長</t>
  </si>
  <si>
    <t>体重</t>
  </si>
  <si>
    <t>月</t>
    <rPh sb="0" eb="1">
      <t>ツキ</t>
    </rPh>
    <phoneticPr fontId="2"/>
  </si>
  <si>
    <t>主将に
「１」
を入力</t>
    <phoneticPr fontId="2"/>
  </si>
  <si>
    <t>出身少年団</t>
    <rPh sb="0" eb="2">
      <t>シュッシン</t>
    </rPh>
    <rPh sb="2" eb="5">
      <t>ショウネンダン</t>
    </rPh>
    <phoneticPr fontId="2"/>
  </si>
  <si>
    <t>県体予選順位</t>
    <rPh sb="0" eb="2">
      <t>ケンタイ</t>
    </rPh>
    <rPh sb="2" eb="4">
      <t>ヨセン</t>
    </rPh>
    <phoneticPr fontId="2"/>
  </si>
  <si>
    <t>位　（県体出場時に入力して下さい）</t>
    <rPh sb="3" eb="5">
      <t>ケンタイ</t>
    </rPh>
    <rPh sb="5" eb="7">
      <t>シュツジョウ</t>
    </rPh>
    <rPh sb="7" eb="8">
      <t>ジ</t>
    </rPh>
    <rPh sb="9" eb="11">
      <t>ニュウリョク</t>
    </rPh>
    <rPh sb="13" eb="14">
      <t>クダ</t>
    </rPh>
    <phoneticPr fontId="2"/>
  </si>
  <si>
    <t>GK</t>
  </si>
  <si>
    <t>西野　敬穂</t>
    <rPh sb="0" eb="2">
      <t>ニシノ</t>
    </rPh>
    <rPh sb="3" eb="4">
      <t>ケイ</t>
    </rPh>
    <rPh sb="4" eb="5">
      <t>ホ</t>
    </rPh>
    <phoneticPr fontId="2"/>
  </si>
  <si>
    <t>にしの　たかほ</t>
  </si>
  <si>
    <t>額</t>
    <rPh sb="0" eb="1">
      <t>ヒタイ</t>
    </rPh>
    <phoneticPr fontId="2"/>
  </si>
  <si>
    <t>県体順位</t>
    <rPh sb="0" eb="2">
      <t>ケンタイ</t>
    </rPh>
    <rPh sb="2" eb="4">
      <t>ジュンイ</t>
    </rPh>
    <phoneticPr fontId="2"/>
  </si>
  <si>
    <t>位　（北信越出場時に入力して下さい）</t>
    <rPh sb="3" eb="6">
      <t>ホクシンエツ</t>
    </rPh>
    <rPh sb="6" eb="8">
      <t>シュツジョウ</t>
    </rPh>
    <rPh sb="8" eb="9">
      <t>ジ</t>
    </rPh>
    <rPh sb="10" eb="12">
      <t>ニュウリョク</t>
    </rPh>
    <rPh sb="14" eb="15">
      <t>クダ</t>
    </rPh>
    <phoneticPr fontId="2"/>
  </si>
  <si>
    <t>DF</t>
  </si>
  <si>
    <t>宮﨑　凌真</t>
    <rPh sb="0" eb="2">
      <t>ミヤザキ</t>
    </rPh>
    <rPh sb="3" eb="4">
      <t>リョウ</t>
    </rPh>
    <rPh sb="4" eb="5">
      <t>マ</t>
    </rPh>
    <phoneticPr fontId="2"/>
  </si>
  <si>
    <t>みやざき　りょうま</t>
  </si>
  <si>
    <t>仲よし</t>
    <rPh sb="0" eb="1">
      <t>ナカ</t>
    </rPh>
    <phoneticPr fontId="2"/>
  </si>
  <si>
    <t>ふりがな</t>
    <phoneticPr fontId="2"/>
  </si>
  <si>
    <t>せいりょう</t>
    <phoneticPr fontId="2"/>
  </si>
  <si>
    <t>ちゅうがっこう</t>
    <phoneticPr fontId="2"/>
  </si>
  <si>
    <t>岡野　隼弥</t>
    <rPh sb="0" eb="2">
      <t>オカノ</t>
    </rPh>
    <rPh sb="3" eb="4">
      <t>シュン</t>
    </rPh>
    <rPh sb="4" eb="5">
      <t>ヤ</t>
    </rPh>
    <phoneticPr fontId="2"/>
  </si>
  <si>
    <t>おかの　しゅんや</t>
  </si>
  <si>
    <t>小松北FC</t>
    <rPh sb="0" eb="2">
      <t>コマツ</t>
    </rPh>
    <rPh sb="2" eb="3">
      <t>キタ</t>
    </rPh>
    <phoneticPr fontId="2"/>
  </si>
  <si>
    <t>学校名</t>
  </si>
  <si>
    <t>中学校</t>
    <rPh sb="0" eb="3">
      <t>チュウガッコウ</t>
    </rPh>
    <phoneticPr fontId="2"/>
  </si>
  <si>
    <t>市川　透也</t>
    <rPh sb="0" eb="2">
      <t>イチカワ</t>
    </rPh>
    <rPh sb="3" eb="4">
      <t>トオ</t>
    </rPh>
    <rPh sb="4" eb="5">
      <t>ヤ</t>
    </rPh>
    <phoneticPr fontId="2"/>
  </si>
  <si>
    <t>いちかわ　とうや</t>
  </si>
  <si>
    <t>押野</t>
    <rPh sb="0" eb="2">
      <t>オシノ</t>
    </rPh>
    <phoneticPr fontId="2"/>
  </si>
  <si>
    <t>ＴＥＬ</t>
  </si>
  <si>
    <t>076</t>
    <phoneticPr fontId="2"/>
  </si>
  <si>
    <t>-</t>
  </si>
  <si>
    <t>252</t>
    <phoneticPr fontId="2"/>
  </si>
  <si>
    <t>2237</t>
    <phoneticPr fontId="2"/>
  </si>
  <si>
    <t>坂本　琉杏</t>
    <rPh sb="0" eb="2">
      <t>サカモト</t>
    </rPh>
    <rPh sb="3" eb="4">
      <t>ル</t>
    </rPh>
    <rPh sb="4" eb="5">
      <t>アン</t>
    </rPh>
    <phoneticPr fontId="2"/>
  </si>
  <si>
    <t>さかもと　るあん</t>
  </si>
  <si>
    <t>明石FC</t>
    <rPh sb="0" eb="2">
      <t>アカシ</t>
    </rPh>
    <phoneticPr fontId="2"/>
  </si>
  <si>
    <t>ＦＡＸ</t>
  </si>
  <si>
    <t>9988</t>
    <phoneticPr fontId="2"/>
  </si>
  <si>
    <t>竹内　一馬</t>
    <rPh sb="0" eb="2">
      <t>タケウチ</t>
    </rPh>
    <rPh sb="3" eb="5">
      <t>カズマ</t>
    </rPh>
    <phoneticPr fontId="2"/>
  </si>
  <si>
    <t>たけうち　かずま</t>
  </si>
  <si>
    <t>星稜Jr</t>
    <rPh sb="0" eb="2">
      <t>セイリョウ</t>
    </rPh>
    <phoneticPr fontId="2"/>
  </si>
  <si>
    <t>郵便番号</t>
  </si>
  <si>
    <t>920</t>
    <phoneticPr fontId="2"/>
  </si>
  <si>
    <t>0811</t>
    <phoneticPr fontId="2"/>
  </si>
  <si>
    <t>MF</t>
  </si>
  <si>
    <t>前出　悠杜</t>
    <rPh sb="0" eb="2">
      <t>マエデ</t>
    </rPh>
    <rPh sb="3" eb="4">
      <t>ユウ</t>
    </rPh>
    <rPh sb="4" eb="5">
      <t>ト</t>
    </rPh>
    <phoneticPr fontId="2"/>
  </si>
  <si>
    <t>まえで　ゆうと</t>
  </si>
  <si>
    <t>安宅</t>
    <rPh sb="0" eb="2">
      <t>アタカ</t>
    </rPh>
    <phoneticPr fontId="2"/>
  </si>
  <si>
    <t>学校住所</t>
  </si>
  <si>
    <t>金沢市小坂町南206番地</t>
    <rPh sb="0" eb="3">
      <t>カナザワシ</t>
    </rPh>
    <rPh sb="3" eb="5">
      <t>コサカ</t>
    </rPh>
    <rPh sb="5" eb="6">
      <t>マチ</t>
    </rPh>
    <rPh sb="6" eb="7">
      <t>ミナミ</t>
    </rPh>
    <rPh sb="10" eb="12">
      <t>バンチ</t>
    </rPh>
    <phoneticPr fontId="2"/>
  </si>
  <si>
    <t>中川　小哲</t>
    <rPh sb="0" eb="2">
      <t>ナカガワ</t>
    </rPh>
    <rPh sb="3" eb="4">
      <t>コ</t>
    </rPh>
    <rPh sb="4" eb="5">
      <t>テツ</t>
    </rPh>
    <phoneticPr fontId="2"/>
  </si>
  <si>
    <t>なかがわ　こてつ</t>
  </si>
  <si>
    <t>フェンテFC</t>
  </si>
  <si>
    <t>校長氏名</t>
    <rPh sb="2" eb="4">
      <t>シメイ</t>
    </rPh>
    <phoneticPr fontId="2"/>
  </si>
  <si>
    <t>鍋谷　正二</t>
    <rPh sb="0" eb="2">
      <t>ナベタニ</t>
    </rPh>
    <rPh sb="3" eb="5">
      <t>ショウジ</t>
    </rPh>
    <phoneticPr fontId="2"/>
  </si>
  <si>
    <t>FW</t>
  </si>
  <si>
    <t>堀　　結輝</t>
    <rPh sb="0" eb="1">
      <t>ホリ</t>
    </rPh>
    <rPh sb="3" eb="4">
      <t>ケツ</t>
    </rPh>
    <rPh sb="4" eb="5">
      <t>テル</t>
    </rPh>
    <phoneticPr fontId="2"/>
  </si>
  <si>
    <t>ほり　ゆうき</t>
    <phoneticPr fontId="2"/>
  </si>
  <si>
    <t>菊川FC</t>
    <rPh sb="0" eb="2">
      <t>キクガワ</t>
    </rPh>
    <phoneticPr fontId="2"/>
  </si>
  <si>
    <t>引率責任者氏名</t>
    <rPh sb="5" eb="7">
      <t>シメイ</t>
    </rPh>
    <phoneticPr fontId="2"/>
  </si>
  <si>
    <t>小松　　豊</t>
    <rPh sb="0" eb="2">
      <t>コマツ</t>
    </rPh>
    <rPh sb="4" eb="5">
      <t>ユタカ</t>
    </rPh>
    <phoneticPr fontId="2"/>
  </si>
  <si>
    <t>西尾　友希</t>
    <rPh sb="0" eb="2">
      <t>ニシオ</t>
    </rPh>
    <rPh sb="3" eb="4">
      <t>ユウ</t>
    </rPh>
    <rPh sb="4" eb="5">
      <t>キ</t>
    </rPh>
    <phoneticPr fontId="2"/>
  </si>
  <si>
    <t>にしお　ゆうき</t>
  </si>
  <si>
    <t>監督氏名</t>
    <rPh sb="2" eb="4">
      <t>シメイ</t>
    </rPh>
    <phoneticPr fontId="2"/>
  </si>
  <si>
    <t>河合　伸幸</t>
    <rPh sb="0" eb="2">
      <t>カワイ</t>
    </rPh>
    <rPh sb="3" eb="5">
      <t>ノブユキ</t>
    </rPh>
    <phoneticPr fontId="2"/>
  </si>
  <si>
    <t>橋本　莞汰</t>
    <rPh sb="0" eb="2">
      <t>ハシモト</t>
    </rPh>
    <rPh sb="3" eb="4">
      <t>カン</t>
    </rPh>
    <rPh sb="4" eb="5">
      <t>タ</t>
    </rPh>
    <phoneticPr fontId="2"/>
  </si>
  <si>
    <t>はしもと　かんた</t>
  </si>
  <si>
    <t>コーチ氏名</t>
    <rPh sb="3" eb="5">
      <t>シメイ</t>
    </rPh>
    <phoneticPr fontId="2"/>
  </si>
  <si>
    <t>高橋　隆太</t>
    <rPh sb="0" eb="2">
      <t>タカハシ</t>
    </rPh>
    <rPh sb="3" eb="5">
      <t>リュウタ</t>
    </rPh>
    <phoneticPr fontId="2"/>
  </si>
  <si>
    <t>承認</t>
  </si>
  <si>
    <t>（教員、承認コーチの別）</t>
    <phoneticPr fontId="2"/>
  </si>
  <si>
    <t>清水　新志</t>
    <rPh sb="0" eb="2">
      <t>シミズ</t>
    </rPh>
    <rPh sb="3" eb="4">
      <t>シン</t>
    </rPh>
    <rPh sb="4" eb="5">
      <t>シ</t>
    </rPh>
    <phoneticPr fontId="2"/>
  </si>
  <si>
    <t>しみず　あらし</t>
    <phoneticPr fontId="2"/>
  </si>
  <si>
    <t>松任中央</t>
    <rPh sb="0" eb="2">
      <t>マットウ</t>
    </rPh>
    <rPh sb="2" eb="4">
      <t>チュウオウ</t>
    </rPh>
    <phoneticPr fontId="2"/>
  </si>
  <si>
    <t>マネージャー氏名</t>
    <rPh sb="6" eb="8">
      <t>シメイ</t>
    </rPh>
    <phoneticPr fontId="2"/>
  </si>
  <si>
    <t>河二　　尊</t>
    <rPh sb="0" eb="1">
      <t>カワ</t>
    </rPh>
    <rPh sb="1" eb="2">
      <t>ニ</t>
    </rPh>
    <rPh sb="4" eb="5">
      <t>ソン</t>
    </rPh>
    <phoneticPr fontId="2"/>
  </si>
  <si>
    <t>教員</t>
  </si>
  <si>
    <t>（教員、生徒の別）</t>
    <phoneticPr fontId="2"/>
  </si>
  <si>
    <t>水野　　蓮</t>
    <rPh sb="0" eb="2">
      <t>ミズノ</t>
    </rPh>
    <rPh sb="4" eb="5">
      <t>レン</t>
    </rPh>
    <phoneticPr fontId="2"/>
  </si>
  <si>
    <t>みずの　れん</t>
  </si>
  <si>
    <t>FP正</t>
    <rPh sb="2" eb="3">
      <t>セイ</t>
    </rPh>
    <phoneticPr fontId="2"/>
  </si>
  <si>
    <t>FP副</t>
    <rPh sb="2" eb="3">
      <t>フク</t>
    </rPh>
    <phoneticPr fontId="2"/>
  </si>
  <si>
    <t>GK正</t>
    <rPh sb="2" eb="3">
      <t>セイ</t>
    </rPh>
    <phoneticPr fontId="2"/>
  </si>
  <si>
    <t>GK副</t>
    <rPh sb="2" eb="3">
      <t>フク</t>
    </rPh>
    <phoneticPr fontId="2"/>
  </si>
  <si>
    <t>伊藤　大雅</t>
    <rPh sb="0" eb="2">
      <t>イトウ</t>
    </rPh>
    <rPh sb="3" eb="4">
      <t>ダイ</t>
    </rPh>
    <rPh sb="4" eb="5">
      <t>ミヤビ</t>
    </rPh>
    <phoneticPr fontId="2"/>
  </si>
  <si>
    <t>いとう　たいが</t>
  </si>
  <si>
    <t>福井中央FC</t>
    <rPh sb="0" eb="2">
      <t>フクイ</t>
    </rPh>
    <rPh sb="2" eb="4">
      <t>チュウオウ</t>
    </rPh>
    <phoneticPr fontId="2"/>
  </si>
  <si>
    <t>シャツの色</t>
    <rPh sb="4" eb="5">
      <t>イロ</t>
    </rPh>
    <phoneticPr fontId="2"/>
  </si>
  <si>
    <t>黄</t>
    <rPh sb="0" eb="1">
      <t>キ</t>
    </rPh>
    <phoneticPr fontId="2"/>
  </si>
  <si>
    <t>白</t>
    <rPh sb="0" eb="1">
      <t>シロ</t>
    </rPh>
    <phoneticPr fontId="2"/>
  </si>
  <si>
    <t>ブルー</t>
    <phoneticPr fontId="2"/>
  </si>
  <si>
    <t>オレンジ</t>
    <phoneticPr fontId="2"/>
  </si>
  <si>
    <t>佐々木　真之介</t>
    <rPh sb="0" eb="3">
      <t>ササキ</t>
    </rPh>
    <rPh sb="4" eb="7">
      <t>シンノスケ</t>
    </rPh>
    <phoneticPr fontId="2"/>
  </si>
  <si>
    <t>ささき　しんのすけ</t>
  </si>
  <si>
    <t>太田東FC</t>
    <rPh sb="0" eb="2">
      <t>オオタ</t>
    </rPh>
    <rPh sb="2" eb="3">
      <t>ヒガシ</t>
    </rPh>
    <phoneticPr fontId="2"/>
  </si>
  <si>
    <t>ショーツの色</t>
    <rPh sb="5" eb="6">
      <t>イロ</t>
    </rPh>
    <phoneticPr fontId="2"/>
  </si>
  <si>
    <t>ブラウン</t>
    <phoneticPr fontId="2"/>
  </si>
  <si>
    <t>山田　凌平</t>
    <rPh sb="0" eb="2">
      <t>ヤマダ</t>
    </rPh>
    <rPh sb="3" eb="5">
      <t>リョウヘイ</t>
    </rPh>
    <phoneticPr fontId="2"/>
  </si>
  <si>
    <t>やまだ　りょうへい</t>
  </si>
  <si>
    <t>大谷</t>
    <rPh sb="0" eb="2">
      <t>オオタニ</t>
    </rPh>
    <phoneticPr fontId="2"/>
  </si>
  <si>
    <t>ソックスの色</t>
    <rPh sb="5" eb="6">
      <t>イロ</t>
    </rPh>
    <phoneticPr fontId="2"/>
  </si>
  <si>
    <t>山岸　　光</t>
    <rPh sb="0" eb="2">
      <t>ヤマギシ</t>
    </rPh>
    <rPh sb="4" eb="5">
      <t>ヒカ</t>
    </rPh>
    <phoneticPr fontId="2"/>
  </si>
  <si>
    <t>やまぎし　ひかる</t>
  </si>
  <si>
    <t>中谷　拓斗</t>
    <rPh sb="0" eb="2">
      <t>ナカタニ</t>
    </rPh>
    <rPh sb="3" eb="4">
      <t>タク</t>
    </rPh>
    <rPh sb="4" eb="5">
      <t>ト</t>
    </rPh>
    <phoneticPr fontId="2"/>
  </si>
  <si>
    <t>なかたに　たくと</t>
  </si>
  <si>
    <t>羽咋FC</t>
    <rPh sb="0" eb="2">
      <t>ハクイ</t>
    </rPh>
    <phoneticPr fontId="2"/>
  </si>
  <si>
    <t>チーム紹介
（プログラム用）</t>
    <rPh sb="12" eb="13">
      <t>ヨウ</t>
    </rPh>
    <phoneticPr fontId="2"/>
  </si>
  <si>
    <t>一戦一戦全力で戦い、優勝を目指します。</t>
    <rPh sb="0" eb="2">
      <t>イッセン</t>
    </rPh>
    <rPh sb="2" eb="4">
      <t>イッセン</t>
    </rPh>
    <rPh sb="4" eb="6">
      <t>ゼンリョク</t>
    </rPh>
    <rPh sb="7" eb="8">
      <t>タタカ</t>
    </rPh>
    <rPh sb="10" eb="12">
      <t>ユウショウ</t>
    </rPh>
    <rPh sb="13" eb="15">
      <t>メザ</t>
    </rPh>
    <phoneticPr fontId="2"/>
  </si>
  <si>
    <t>南加賀</t>
  </si>
  <si>
    <t>石川</t>
  </si>
  <si>
    <t>村本　遼</t>
    <rPh sb="0" eb="2">
      <t>ムラモト</t>
    </rPh>
    <rPh sb="3" eb="4">
      <t>リョウ</t>
    </rPh>
    <phoneticPr fontId="2"/>
  </si>
  <si>
    <t>むらもと　りょう</t>
    <phoneticPr fontId="2"/>
  </si>
  <si>
    <t>白山ＦＣ</t>
    <rPh sb="0" eb="2">
      <t>ハクサン</t>
    </rPh>
    <phoneticPr fontId="2"/>
  </si>
  <si>
    <t>奥田　脩十</t>
    <rPh sb="0" eb="2">
      <t>オクダ</t>
    </rPh>
    <rPh sb="3" eb="4">
      <t>シュウ</t>
    </rPh>
    <rPh sb="4" eb="5">
      <t>ジュウ</t>
    </rPh>
    <phoneticPr fontId="2"/>
  </si>
  <si>
    <t>おくだ　しゅうと</t>
    <phoneticPr fontId="2"/>
  </si>
  <si>
    <t>はくさんしりつほくしん</t>
    <phoneticPr fontId="2"/>
  </si>
  <si>
    <t>坂井　音哉</t>
    <rPh sb="0" eb="2">
      <t>サカイ</t>
    </rPh>
    <rPh sb="3" eb="4">
      <t>オト</t>
    </rPh>
    <rPh sb="4" eb="5">
      <t>ヤ</t>
    </rPh>
    <phoneticPr fontId="2"/>
  </si>
  <si>
    <t>さかい　おとや</t>
  </si>
  <si>
    <t>白山市立北辰</t>
    <rPh sb="0" eb="4">
      <t>ハクサンシリツ</t>
    </rPh>
    <rPh sb="4" eb="6">
      <t>ホクシン</t>
    </rPh>
    <phoneticPr fontId="2"/>
  </si>
  <si>
    <t>山﨑　一輝</t>
    <rPh sb="0" eb="2">
      <t>ヤマサキ</t>
    </rPh>
    <rPh sb="3" eb="5">
      <t>カズキ</t>
    </rPh>
    <phoneticPr fontId="2"/>
  </si>
  <si>
    <t>やまさき　かずき</t>
    <phoneticPr fontId="2"/>
  </si>
  <si>
    <t xml:space="preserve">  076 </t>
    <phoneticPr fontId="2"/>
  </si>
  <si>
    <t>273</t>
    <phoneticPr fontId="2"/>
  </si>
  <si>
    <t>2611</t>
    <phoneticPr fontId="2"/>
  </si>
  <si>
    <t>金平　宏陽</t>
    <rPh sb="0" eb="2">
      <t>カナヒラ</t>
    </rPh>
    <rPh sb="3" eb="4">
      <t>ヒロシ</t>
    </rPh>
    <rPh sb="4" eb="5">
      <t>ヨウ</t>
    </rPh>
    <phoneticPr fontId="2"/>
  </si>
  <si>
    <t>かなひら　ひろあき</t>
    <phoneticPr fontId="2"/>
  </si>
  <si>
    <t>2612</t>
    <phoneticPr fontId="2"/>
  </si>
  <si>
    <t>山本　将義</t>
    <rPh sb="0" eb="2">
      <t>ヤマモト</t>
    </rPh>
    <rPh sb="3" eb="5">
      <t>マサヨシ</t>
    </rPh>
    <phoneticPr fontId="2"/>
  </si>
  <si>
    <t>やまもと　まさよし</t>
    <phoneticPr fontId="2"/>
  </si>
  <si>
    <t>2146</t>
    <phoneticPr fontId="2"/>
  </si>
  <si>
    <t>末田　裕大</t>
    <rPh sb="0" eb="2">
      <t>スエダ</t>
    </rPh>
    <rPh sb="3" eb="5">
      <t>ユウダイ</t>
    </rPh>
    <phoneticPr fontId="2"/>
  </si>
  <si>
    <t>すえだ　ゆうだい</t>
    <phoneticPr fontId="2"/>
  </si>
  <si>
    <t>白山市日向町ロ２４－２</t>
    <rPh sb="0" eb="3">
      <t>ハクサンシ</t>
    </rPh>
    <rPh sb="3" eb="6">
      <t>ヒュウガマチ</t>
    </rPh>
    <phoneticPr fontId="2"/>
  </si>
  <si>
    <t>炭田　健太郎</t>
    <rPh sb="0" eb="2">
      <t>スミタ</t>
    </rPh>
    <rPh sb="3" eb="6">
      <t>ケンタロウ</t>
    </rPh>
    <phoneticPr fontId="2"/>
  </si>
  <si>
    <t>すみた　けんたろう</t>
    <phoneticPr fontId="2"/>
  </si>
  <si>
    <t>久司　由利子</t>
    <rPh sb="0" eb="2">
      <t>キュウジ</t>
    </rPh>
    <rPh sb="3" eb="6">
      <t>ユリコ</t>
    </rPh>
    <phoneticPr fontId="2"/>
  </si>
  <si>
    <t>上甲　健太</t>
    <rPh sb="0" eb="2">
      <t>ジョウコウ</t>
    </rPh>
    <rPh sb="3" eb="5">
      <t>ケンタ</t>
    </rPh>
    <phoneticPr fontId="2"/>
  </si>
  <si>
    <t>じょうこう　けんた</t>
  </si>
  <si>
    <t>河島 統志</t>
    <rPh sb="0" eb="2">
      <t>カワシマ</t>
    </rPh>
    <rPh sb="3" eb="4">
      <t>オサム</t>
    </rPh>
    <rPh sb="4" eb="5">
      <t>シ</t>
    </rPh>
    <phoneticPr fontId="2"/>
  </si>
  <si>
    <t>林　怜史</t>
    <rPh sb="0" eb="1">
      <t>ハヤシ</t>
    </rPh>
    <rPh sb="2" eb="3">
      <t>レイ</t>
    </rPh>
    <rPh sb="3" eb="4">
      <t>フミ</t>
    </rPh>
    <phoneticPr fontId="2"/>
  </si>
  <si>
    <t>はやし　さとし</t>
    <phoneticPr fontId="2"/>
  </si>
  <si>
    <t>茂森　丈瑠</t>
    <rPh sb="0" eb="2">
      <t>シゲモリ</t>
    </rPh>
    <rPh sb="3" eb="5">
      <t>タケル</t>
    </rPh>
    <phoneticPr fontId="2"/>
  </si>
  <si>
    <t>しげもり　たける</t>
    <phoneticPr fontId="2"/>
  </si>
  <si>
    <t>長谷川　知子</t>
    <rPh sb="0" eb="3">
      <t>ハセガワ</t>
    </rPh>
    <rPh sb="4" eb="6">
      <t>トモコ</t>
    </rPh>
    <phoneticPr fontId="2"/>
  </si>
  <si>
    <t>中山　結都</t>
    <rPh sb="0" eb="2">
      <t>ナカヤマ</t>
    </rPh>
    <rPh sb="3" eb="4">
      <t>ユ</t>
    </rPh>
    <rPh sb="4" eb="5">
      <t>ト</t>
    </rPh>
    <phoneticPr fontId="2"/>
  </si>
  <si>
    <t>なかやま　ゆいと</t>
  </si>
  <si>
    <t>長田　悠吾</t>
    <rPh sb="0" eb="2">
      <t>ナガタ</t>
    </rPh>
    <rPh sb="3" eb="5">
      <t>ユウゴ</t>
    </rPh>
    <phoneticPr fontId="2"/>
  </si>
  <si>
    <t>生徒</t>
  </si>
  <si>
    <t>DF</t>
    <phoneticPr fontId="2"/>
  </si>
  <si>
    <t>宮田　陽輝</t>
    <rPh sb="0" eb="2">
      <t>ミヤダ</t>
    </rPh>
    <rPh sb="3" eb="4">
      <t>ヨウ</t>
    </rPh>
    <rPh sb="4" eb="5">
      <t>キ</t>
    </rPh>
    <phoneticPr fontId="2"/>
  </si>
  <si>
    <t>みやだ　はるき</t>
    <phoneticPr fontId="2"/>
  </si>
  <si>
    <t>ＦＰ正</t>
  </si>
  <si>
    <t>ＦＰ副</t>
  </si>
  <si>
    <t>ＧＫ正</t>
  </si>
  <si>
    <t>ＧＫ副</t>
  </si>
  <si>
    <t>松尾　瑞紀</t>
    <rPh sb="0" eb="1">
      <t>マツ</t>
    </rPh>
    <rPh sb="1" eb="2">
      <t>オ</t>
    </rPh>
    <rPh sb="3" eb="5">
      <t>ミズキ</t>
    </rPh>
    <phoneticPr fontId="2"/>
  </si>
  <si>
    <t>まつお　みずき</t>
    <phoneticPr fontId="2"/>
  </si>
  <si>
    <t>赤</t>
    <rPh sb="0" eb="1">
      <t>アカ</t>
    </rPh>
    <phoneticPr fontId="2"/>
  </si>
  <si>
    <t>グレー</t>
  </si>
  <si>
    <t>MF</t>
    <phoneticPr fontId="2"/>
  </si>
  <si>
    <t>横山　裕亮</t>
    <rPh sb="0" eb="2">
      <t>ヨコヤマ</t>
    </rPh>
    <rPh sb="3" eb="4">
      <t>ヒロシ</t>
    </rPh>
    <rPh sb="4" eb="5">
      <t>リョウ</t>
    </rPh>
    <phoneticPr fontId="2"/>
  </si>
  <si>
    <t>よこやま　ゆうすけ</t>
    <phoneticPr fontId="2"/>
  </si>
  <si>
    <t>青</t>
    <rPh sb="0" eb="1">
      <t>アオ</t>
    </rPh>
    <phoneticPr fontId="2"/>
  </si>
  <si>
    <t>藤田　倖輝</t>
    <rPh sb="0" eb="2">
      <t>フジタ</t>
    </rPh>
    <rPh sb="3" eb="4">
      <t>シアワ</t>
    </rPh>
    <rPh sb="4" eb="5">
      <t>キ</t>
    </rPh>
    <phoneticPr fontId="2"/>
  </si>
  <si>
    <t>ふじた　こうき</t>
    <phoneticPr fontId="2"/>
  </si>
  <si>
    <t>長坂　昇星</t>
    <rPh sb="0" eb="2">
      <t>ナガサカ</t>
    </rPh>
    <rPh sb="3" eb="4">
      <t>ノボル</t>
    </rPh>
    <rPh sb="4" eb="5">
      <t>ホシ</t>
    </rPh>
    <phoneticPr fontId="2"/>
  </si>
  <si>
    <t>ながさか　しょうせい</t>
  </si>
  <si>
    <t>GK</t>
    <phoneticPr fontId="2"/>
  </si>
  <si>
    <t>北本　竜也</t>
    <rPh sb="0" eb="2">
      <t>キタモト</t>
    </rPh>
    <rPh sb="3" eb="5">
      <t>タツヤ</t>
    </rPh>
    <phoneticPr fontId="2"/>
  </si>
  <si>
    <t>きたもと　たつや</t>
    <phoneticPr fontId="2"/>
  </si>
  <si>
    <t>１年生１２名、２年生１８名、３年生２５名の計５５名で活動しています。
  大会ではここまで自分たちを育てていただいた全ての方々への感謝の気持ちをプレーで表現していきたいと思います。</t>
    <phoneticPr fontId="2"/>
  </si>
  <si>
    <t>宮西　大樹</t>
    <rPh sb="0" eb="2">
      <t>ミヤニシ</t>
    </rPh>
    <rPh sb="3" eb="5">
      <t>ダイキ</t>
    </rPh>
    <phoneticPr fontId="2"/>
  </si>
  <si>
    <t>みやにし　だいき</t>
  </si>
  <si>
    <t>符津</t>
    <rPh sb="0" eb="2">
      <t>フツ</t>
    </rPh>
    <phoneticPr fontId="2"/>
  </si>
  <si>
    <t>島田　遥輝</t>
    <rPh sb="0" eb="2">
      <t>シマダ</t>
    </rPh>
    <rPh sb="3" eb="4">
      <t>ハル</t>
    </rPh>
    <rPh sb="4" eb="5">
      <t>カガヤ</t>
    </rPh>
    <phoneticPr fontId="2"/>
  </si>
  <si>
    <t>しまだ　はるき</t>
  </si>
  <si>
    <t>こまつしりつなんぶ</t>
    <phoneticPr fontId="2"/>
  </si>
  <si>
    <t>下野　滉太</t>
    <rPh sb="0" eb="2">
      <t>シモノ</t>
    </rPh>
    <rPh sb="3" eb="4">
      <t>コウ</t>
    </rPh>
    <rPh sb="4" eb="5">
      <t>タ</t>
    </rPh>
    <phoneticPr fontId="2"/>
  </si>
  <si>
    <t>しもの　こうた</t>
  </si>
  <si>
    <t>小松市立南部</t>
    <rPh sb="0" eb="4">
      <t>コマツシリツ</t>
    </rPh>
    <rPh sb="4" eb="6">
      <t>ナンブ</t>
    </rPh>
    <phoneticPr fontId="2"/>
  </si>
  <si>
    <t>北村　灯梧</t>
    <rPh sb="0" eb="2">
      <t>キタムラ</t>
    </rPh>
    <rPh sb="3" eb="4">
      <t>トモシビ</t>
    </rPh>
    <rPh sb="4" eb="5">
      <t>ゴ</t>
    </rPh>
    <phoneticPr fontId="2"/>
  </si>
  <si>
    <t>きたむら　とうご</t>
  </si>
  <si>
    <t>小松南部</t>
    <rPh sb="0" eb="2">
      <t>コマツ</t>
    </rPh>
    <rPh sb="2" eb="4">
      <t>ナンブ</t>
    </rPh>
    <phoneticPr fontId="2"/>
  </si>
  <si>
    <t>0761</t>
    <phoneticPr fontId="2"/>
  </si>
  <si>
    <t>44</t>
    <phoneticPr fontId="2"/>
  </si>
  <si>
    <t>2560</t>
    <phoneticPr fontId="2"/>
  </si>
  <si>
    <t>橋本　健吾</t>
    <rPh sb="0" eb="2">
      <t>ハシモト</t>
    </rPh>
    <rPh sb="3" eb="5">
      <t>ケンゴ</t>
    </rPh>
    <phoneticPr fontId="2"/>
  </si>
  <si>
    <t>はしもと　けんご</t>
  </si>
  <si>
    <t>8160</t>
    <phoneticPr fontId="2"/>
  </si>
  <si>
    <t>猪辺　稜斗</t>
    <rPh sb="0" eb="2">
      <t>イノシシヘン</t>
    </rPh>
    <rPh sb="3" eb="4">
      <t>リョウ</t>
    </rPh>
    <rPh sb="4" eb="5">
      <t>ト</t>
    </rPh>
    <phoneticPr fontId="2"/>
  </si>
  <si>
    <t>いのべ　りょうと</t>
  </si>
  <si>
    <t>923</t>
    <phoneticPr fontId="2"/>
  </si>
  <si>
    <t>0303</t>
    <phoneticPr fontId="2"/>
  </si>
  <si>
    <t>澤本　凌佑</t>
    <rPh sb="0" eb="2">
      <t>サワモト</t>
    </rPh>
    <rPh sb="3" eb="4">
      <t>リョウ</t>
    </rPh>
    <rPh sb="4" eb="5">
      <t>スケ</t>
    </rPh>
    <phoneticPr fontId="2"/>
  </si>
  <si>
    <t>さわもと　りょうすけ</t>
  </si>
  <si>
    <t>小松市島町ヌ43番地</t>
    <rPh sb="0" eb="2">
      <t>コマツ</t>
    </rPh>
    <rPh sb="2" eb="3">
      <t>シ</t>
    </rPh>
    <rPh sb="3" eb="5">
      <t>シママチ</t>
    </rPh>
    <rPh sb="8" eb="10">
      <t>バンチ</t>
    </rPh>
    <phoneticPr fontId="2"/>
  </si>
  <si>
    <t>北村　丞梧</t>
    <rPh sb="0" eb="2">
      <t>キタムラ</t>
    </rPh>
    <rPh sb="3" eb="4">
      <t>ジョウ</t>
    </rPh>
    <rPh sb="4" eb="5">
      <t>ゴ</t>
    </rPh>
    <phoneticPr fontId="2"/>
  </si>
  <si>
    <t>きたむら　しょうご</t>
  </si>
  <si>
    <t>室山　勝信</t>
    <rPh sb="0" eb="2">
      <t>ムロヤマ</t>
    </rPh>
    <rPh sb="3" eb="5">
      <t>カツノブ</t>
    </rPh>
    <phoneticPr fontId="2"/>
  </si>
  <si>
    <t>FW</t>
    <phoneticPr fontId="2"/>
  </si>
  <si>
    <t>西田　響</t>
    <rPh sb="0" eb="2">
      <t>ニシタ</t>
    </rPh>
    <rPh sb="3" eb="4">
      <t>ヒビキ</t>
    </rPh>
    <phoneticPr fontId="2"/>
  </si>
  <si>
    <t>にしだ　ひびき</t>
  </si>
  <si>
    <t>串</t>
    <rPh sb="0" eb="1">
      <t>クシ</t>
    </rPh>
    <phoneticPr fontId="2"/>
  </si>
  <si>
    <t>大島　哲史</t>
    <rPh sb="0" eb="2">
      <t>オオシマ</t>
    </rPh>
    <rPh sb="3" eb="5">
      <t>サトシ</t>
    </rPh>
    <phoneticPr fontId="2"/>
  </si>
  <si>
    <t>濱岡　駿太郎</t>
    <rPh sb="0" eb="2">
      <t>ハマオカ</t>
    </rPh>
    <rPh sb="3" eb="6">
      <t>シュンタロウ</t>
    </rPh>
    <phoneticPr fontId="2"/>
  </si>
  <si>
    <t>はまおか　しゅんたろう</t>
  </si>
  <si>
    <t>農田　蓮</t>
    <rPh sb="0" eb="1">
      <t>ノウ</t>
    </rPh>
    <rPh sb="1" eb="2">
      <t>タ</t>
    </rPh>
    <rPh sb="3" eb="4">
      <t>レン</t>
    </rPh>
    <phoneticPr fontId="2"/>
  </si>
  <si>
    <t>のうだ　れん</t>
  </si>
  <si>
    <t>水口　昌彦</t>
    <rPh sb="0" eb="2">
      <t>ミズグチ</t>
    </rPh>
    <rPh sb="3" eb="5">
      <t>マサヒコ</t>
    </rPh>
    <phoneticPr fontId="2"/>
  </si>
  <si>
    <t>承認</t>
    <rPh sb="0" eb="2">
      <t>ショウニン</t>
    </rPh>
    <phoneticPr fontId="2"/>
  </si>
  <si>
    <t>清水　悠生</t>
    <rPh sb="0" eb="2">
      <t>シミズ</t>
    </rPh>
    <rPh sb="3" eb="4">
      <t>ユウ</t>
    </rPh>
    <rPh sb="4" eb="5">
      <t>イ</t>
    </rPh>
    <phoneticPr fontId="2"/>
  </si>
  <si>
    <t>しみず　はるき</t>
  </si>
  <si>
    <t>中村　史織</t>
    <rPh sb="0" eb="2">
      <t>ナカムラ</t>
    </rPh>
    <rPh sb="3" eb="5">
      <t>シオリ</t>
    </rPh>
    <phoneticPr fontId="2"/>
  </si>
  <si>
    <t>教員</t>
    <rPh sb="0" eb="2">
      <t>キョウイン</t>
    </rPh>
    <phoneticPr fontId="2"/>
  </si>
  <si>
    <t>戸田　亘</t>
    <rPh sb="0" eb="2">
      <t>トダ</t>
    </rPh>
    <rPh sb="3" eb="4">
      <t>ワタル</t>
    </rPh>
    <phoneticPr fontId="2"/>
  </si>
  <si>
    <t>とだ　わたる</t>
  </si>
  <si>
    <t>宮野　裕生</t>
    <rPh sb="0" eb="2">
      <t>ミヤノ</t>
    </rPh>
    <rPh sb="3" eb="4">
      <t>ユウ</t>
    </rPh>
    <rPh sb="4" eb="5">
      <t>イ</t>
    </rPh>
    <phoneticPr fontId="2"/>
  </si>
  <si>
    <t>みやの　ひろき</t>
  </si>
  <si>
    <t>藤田　永遠</t>
    <rPh sb="0" eb="2">
      <t>フジタ</t>
    </rPh>
    <rPh sb="3" eb="5">
      <t>エイエン</t>
    </rPh>
    <phoneticPr fontId="2"/>
  </si>
  <si>
    <t>ふじた　とわ</t>
  </si>
  <si>
    <t>寺田　恵太朗</t>
    <rPh sb="0" eb="2">
      <t>テラダ</t>
    </rPh>
    <rPh sb="3" eb="4">
      <t>ケイ</t>
    </rPh>
    <rPh sb="4" eb="6">
      <t>タロウ</t>
    </rPh>
    <phoneticPr fontId="2"/>
  </si>
  <si>
    <t>てらだ　けいたろう</t>
    <phoneticPr fontId="2"/>
  </si>
  <si>
    <t>原田　飛翔</t>
    <rPh sb="0" eb="2">
      <t>ハラダ</t>
    </rPh>
    <rPh sb="3" eb="5">
      <t>ヒショウ</t>
    </rPh>
    <phoneticPr fontId="2"/>
  </si>
  <si>
    <t>はらだ　ひかる</t>
    <phoneticPr fontId="2"/>
  </si>
  <si>
    <t>吉野　心晟</t>
    <rPh sb="0" eb="2">
      <t>ヨシノ</t>
    </rPh>
    <rPh sb="3" eb="4">
      <t>ココロ</t>
    </rPh>
    <rPh sb="4" eb="5">
      <t>セイ</t>
    </rPh>
    <phoneticPr fontId="2"/>
  </si>
  <si>
    <t>よしの　しんせい</t>
  </si>
  <si>
    <t>ピッチでは最後まで走りぬき，戦い抜くことのできるチームをめざしています。</t>
    <rPh sb="5" eb="7">
      <t>サイゴ</t>
    </rPh>
    <rPh sb="9" eb="10">
      <t>ハシ</t>
    </rPh>
    <rPh sb="14" eb="15">
      <t>タタカ</t>
    </rPh>
    <rPh sb="16" eb="17">
      <t>ヌ</t>
    </rPh>
    <phoneticPr fontId="2"/>
  </si>
  <si>
    <t>松井　佑靜</t>
  </si>
  <si>
    <t>まつい　ゆうせい</t>
  </si>
  <si>
    <t>ビバーチェ</t>
    <phoneticPr fontId="2"/>
  </si>
  <si>
    <t>松本　優士</t>
  </si>
  <si>
    <t>まつもとゆうし</t>
  </si>
  <si>
    <t>三和</t>
    <rPh sb="0" eb="2">
      <t>ミワ</t>
    </rPh>
    <phoneticPr fontId="2"/>
  </si>
  <si>
    <t>かなざわしりつせいなんぶ</t>
    <phoneticPr fontId="2"/>
  </si>
  <si>
    <t>諸田　恭佑</t>
  </si>
  <si>
    <t>もろだ　きょうすけ</t>
  </si>
  <si>
    <t>金沢市立西南部</t>
    <rPh sb="0" eb="2">
      <t>カナザワ</t>
    </rPh>
    <rPh sb="2" eb="4">
      <t>シリツ</t>
    </rPh>
    <rPh sb="4" eb="7">
      <t>セイナンブ</t>
    </rPh>
    <phoneticPr fontId="2"/>
  </si>
  <si>
    <t>濱本　恒汰</t>
  </si>
  <si>
    <t>はまもと　こうた</t>
  </si>
  <si>
    <t>249</t>
    <phoneticPr fontId="2"/>
  </si>
  <si>
    <t>2317</t>
    <phoneticPr fontId="2"/>
  </si>
  <si>
    <t>陽本　健太</t>
  </si>
  <si>
    <t>ようもと　けんた</t>
  </si>
  <si>
    <t>2538</t>
    <phoneticPr fontId="2"/>
  </si>
  <si>
    <t>釣　輝昂</t>
  </si>
  <si>
    <t>つり　てるあき</t>
  </si>
  <si>
    <t>921</t>
    <phoneticPr fontId="2"/>
  </si>
  <si>
    <t>8062</t>
    <phoneticPr fontId="2"/>
  </si>
  <si>
    <t>中農　響</t>
  </si>
  <si>
    <t>なかの　ひびき</t>
    <phoneticPr fontId="2"/>
  </si>
  <si>
    <t>金沢市新保本1丁目149番地</t>
    <rPh sb="0" eb="3">
      <t>カナザワシ</t>
    </rPh>
    <rPh sb="3" eb="5">
      <t>シンボ</t>
    </rPh>
    <rPh sb="5" eb="6">
      <t>ホン</t>
    </rPh>
    <rPh sb="7" eb="9">
      <t>チョウメ</t>
    </rPh>
    <rPh sb="12" eb="14">
      <t>バンチ</t>
    </rPh>
    <phoneticPr fontId="2"/>
  </si>
  <si>
    <t>松永　涼雅</t>
    <rPh sb="0" eb="2">
      <t>マツナガ</t>
    </rPh>
    <rPh sb="3" eb="4">
      <t>リョウ</t>
    </rPh>
    <rPh sb="4" eb="5">
      <t>ガ</t>
    </rPh>
    <phoneticPr fontId="6"/>
  </si>
  <si>
    <t>まつなが　りょうが</t>
  </si>
  <si>
    <t>Blue Lagoon</t>
    <phoneticPr fontId="2"/>
  </si>
  <si>
    <t>近本　嘉治</t>
    <rPh sb="0" eb="2">
      <t>チカモト</t>
    </rPh>
    <rPh sb="3" eb="5">
      <t>ヨシハル</t>
    </rPh>
    <phoneticPr fontId="2"/>
  </si>
  <si>
    <t>上馬　大知</t>
  </si>
  <si>
    <t>じょうば　だいち</t>
  </si>
  <si>
    <t>千木　良介</t>
    <rPh sb="0" eb="1">
      <t>セン</t>
    </rPh>
    <rPh sb="1" eb="2">
      <t>キ</t>
    </rPh>
    <rPh sb="3" eb="5">
      <t>リョウスケ</t>
    </rPh>
    <phoneticPr fontId="2"/>
  </si>
  <si>
    <t>須﨑　由尊</t>
  </si>
  <si>
    <t>すさき　ゆたか</t>
  </si>
  <si>
    <t>押野ＦＣ</t>
    <rPh sb="0" eb="2">
      <t>オシノ</t>
    </rPh>
    <phoneticPr fontId="2"/>
  </si>
  <si>
    <t>杉山　真啓</t>
  </si>
  <si>
    <t>すぎやま　まさひろ</t>
  </si>
  <si>
    <t>橋本　佑磨</t>
    <rPh sb="0" eb="2">
      <t>ハシモト</t>
    </rPh>
    <rPh sb="3" eb="4">
      <t>ユウ</t>
    </rPh>
    <rPh sb="4" eb="5">
      <t>マ</t>
    </rPh>
    <phoneticPr fontId="2"/>
  </si>
  <si>
    <t>村上　天馬</t>
  </si>
  <si>
    <t>むらかみ　てんま</t>
  </si>
  <si>
    <t>赤丸　太一</t>
  </si>
  <si>
    <t>あかまる　たいち</t>
  </si>
  <si>
    <t>山﨑　壮</t>
    <rPh sb="0" eb="2">
      <t>ヤマザキ</t>
    </rPh>
    <rPh sb="3" eb="4">
      <t>ソウ</t>
    </rPh>
    <phoneticPr fontId="2"/>
  </si>
  <si>
    <t>やまざき　そう</t>
  </si>
  <si>
    <t>灰</t>
    <rPh sb="0" eb="1">
      <t>ハイ</t>
    </rPh>
    <phoneticPr fontId="2"/>
  </si>
  <si>
    <t>吉田　京矢</t>
  </si>
  <si>
    <t>よしだ　きょうや</t>
  </si>
  <si>
    <t>竹内　慎之助</t>
    <rPh sb="0" eb="2">
      <t>タケウチ</t>
    </rPh>
    <rPh sb="3" eb="6">
      <t>シンノスケ</t>
    </rPh>
    <phoneticPr fontId="2"/>
  </si>
  <si>
    <t>たけうち　しんのすけ</t>
  </si>
  <si>
    <t>小林　昂純</t>
  </si>
  <si>
    <t>こばやし　こうじゅん</t>
  </si>
  <si>
    <t>松井　大輝</t>
  </si>
  <si>
    <t>まつい　だいき</t>
  </si>
  <si>
    <t>1戦1戦、全力で戦います。</t>
    <rPh sb="1" eb="2">
      <t>セン</t>
    </rPh>
    <rPh sb="3" eb="4">
      <t>セン</t>
    </rPh>
    <rPh sb="5" eb="7">
      <t>ゼンリョク</t>
    </rPh>
    <rPh sb="8" eb="9">
      <t>タタカ</t>
    </rPh>
    <phoneticPr fontId="2"/>
  </si>
  <si>
    <t>内灘</t>
    <rPh sb="0" eb="2">
      <t>ウチナダ</t>
    </rPh>
    <phoneticPr fontId="2"/>
  </si>
  <si>
    <t>E</t>
    <phoneticPr fontId="2"/>
  </si>
  <si>
    <t>金沢市スポーツ交流広場</t>
    <rPh sb="0" eb="3">
      <t>カナザワシ</t>
    </rPh>
    <rPh sb="7" eb="9">
      <t>コウリュウ</t>
    </rPh>
    <rPh sb="9" eb="11">
      <t>ヒロバ</t>
    </rPh>
    <phoneticPr fontId="2"/>
  </si>
  <si>
    <t>(土)</t>
    <phoneticPr fontId="2"/>
  </si>
  <si>
    <t>～立と表記しない学校のみ入力</t>
    <rPh sb="1" eb="2">
      <t>リツ</t>
    </rPh>
    <rPh sb="3" eb="5">
      <t>ヒョウキ</t>
    </rPh>
    <rPh sb="8" eb="10">
      <t>ガッコウ</t>
    </rPh>
    <rPh sb="12" eb="14">
      <t>ニュウリョク</t>
    </rPh>
    <phoneticPr fontId="2"/>
  </si>
  <si>
    <t>金沢大学附属中学校</t>
    <rPh sb="0" eb="4">
      <t>カナザワダイガク</t>
    </rPh>
    <rPh sb="4" eb="6">
      <t>フゾク</t>
    </rPh>
    <rPh sb="6" eb="9">
      <t>チュウガッコウ</t>
    </rPh>
    <phoneticPr fontId="2"/>
  </si>
  <si>
    <t>星稜中学校</t>
    <rPh sb="0" eb="2">
      <t>セイリョウ</t>
    </rPh>
    <rPh sb="2" eb="5">
      <t>チュウガッコウ</t>
    </rPh>
    <phoneticPr fontId="2"/>
  </si>
  <si>
    <t>金沢学院大学附属中学校</t>
    <rPh sb="0" eb="2">
      <t>カナザワ</t>
    </rPh>
    <rPh sb="2" eb="4">
      <t>ガクイン</t>
    </rPh>
    <rPh sb="4" eb="6">
      <t>ダイガク</t>
    </rPh>
    <rPh sb="6" eb="8">
      <t>フゾク</t>
    </rPh>
    <rPh sb="8" eb="11">
      <t>チュウガッコウ</t>
    </rPh>
    <phoneticPr fontId="2"/>
  </si>
  <si>
    <t>表示用</t>
    <rPh sb="0" eb="3">
      <t>ヒョウジヨウ</t>
    </rPh>
    <phoneticPr fontId="2"/>
  </si>
  <si>
    <t>白山</t>
    <rPh sb="0" eb="2">
      <t>シラヤマ</t>
    </rPh>
    <phoneticPr fontId="2"/>
  </si>
  <si>
    <t>会場：アッピー鹿西芝生広場</t>
    <rPh sb="0" eb="2">
      <t>カイジョウ</t>
    </rPh>
    <rPh sb="7" eb="9">
      <t>ロクセイ</t>
    </rPh>
    <rPh sb="9" eb="13">
      <t>シバフヒロバ</t>
    </rPh>
    <phoneticPr fontId="2"/>
  </si>
  <si>
    <t>【対戦表】</t>
    <rPh sb="1" eb="4">
      <t>タイセンヒョウ</t>
    </rPh>
    <phoneticPr fontId="2"/>
  </si>
  <si>
    <t>【試合開始日時】</t>
    <rPh sb="1" eb="3">
      <t>シアイ</t>
    </rPh>
    <rPh sb="3" eb="5">
      <t>カイシ</t>
    </rPh>
    <rPh sb="5" eb="7">
      <t>ニチジ</t>
    </rPh>
    <phoneticPr fontId="2"/>
  </si>
  <si>
    <t>光野･笠間</t>
    <rPh sb="0" eb="2">
      <t>ヒカリノ</t>
    </rPh>
    <rPh sb="3" eb="5">
      <t>カサマ</t>
    </rPh>
    <phoneticPr fontId="2"/>
  </si>
  <si>
    <t>交流</t>
    <rPh sb="0" eb="2">
      <t>コウリュウ</t>
    </rPh>
    <phoneticPr fontId="2"/>
  </si>
  <si>
    <t>金沢市営球技場</t>
    <rPh sb="0" eb="2">
      <t>カナザワ</t>
    </rPh>
    <rPh sb="2" eb="4">
      <t>シエイ</t>
    </rPh>
    <rPh sb="4" eb="7">
      <t>キュウギジョウ</t>
    </rPh>
    <phoneticPr fontId="2"/>
  </si>
  <si>
    <t>酒 巻　浩 司</t>
    <rPh sb="0" eb="1">
      <t>サケ</t>
    </rPh>
    <rPh sb="2" eb="3">
      <t>カン</t>
    </rPh>
    <rPh sb="4" eb="5">
      <t>ヒロシ</t>
    </rPh>
    <rPh sb="6" eb="7">
      <t>ツカサ</t>
    </rPh>
    <phoneticPr fontId="2"/>
  </si>
  <si>
    <t>スカイパーク Aコート</t>
    <phoneticPr fontId="2"/>
  </si>
  <si>
    <t>スカイパーク Bコート</t>
    <phoneticPr fontId="2"/>
  </si>
  <si>
    <t>小松市民センター</t>
    <phoneticPr fontId="2"/>
  </si>
  <si>
    <t>根上サッカー場</t>
    <phoneticPr fontId="2"/>
  </si>
  <si>
    <t>こまつドームG</t>
    <phoneticPr fontId="2"/>
  </si>
  <si>
    <t>（日）</t>
    <rPh sb="1" eb="2">
      <t>ヒ</t>
    </rPh>
    <phoneticPr fontId="2"/>
  </si>
  <si>
    <t>第5～7代表決定戦</t>
    <rPh sb="0" eb="1">
      <t>ダイ</t>
    </rPh>
    <rPh sb="4" eb="6">
      <t>ダイヒョウ</t>
    </rPh>
    <rPh sb="6" eb="9">
      <t>ケッテイセン</t>
    </rPh>
    <phoneticPr fontId="2"/>
  </si>
  <si>
    <t>優勝：</t>
    <rPh sb="0" eb="2">
      <t>ユウショウ</t>
    </rPh>
    <phoneticPr fontId="2"/>
  </si>
  <si>
    <t>3位決定戦</t>
  </si>
  <si>
    <t>金沢</t>
  </si>
  <si>
    <t>C</t>
    <phoneticPr fontId="2"/>
  </si>
  <si>
    <t>D</t>
    <phoneticPr fontId="2"/>
  </si>
  <si>
    <t>【会場】</t>
    <phoneticPr fontId="2"/>
  </si>
  <si>
    <t>ア 負け</t>
    <rPh sb="2" eb="3">
      <t>マ</t>
    </rPh>
    <phoneticPr fontId="2"/>
  </si>
  <si>
    <t>ウ 負け</t>
    <rPh sb="2" eb="3">
      <t>マ</t>
    </rPh>
    <phoneticPr fontId="2"/>
  </si>
  <si>
    <t>イ 負け</t>
    <rPh sb="2" eb="3">
      <t>マ</t>
    </rPh>
    <phoneticPr fontId="2"/>
  </si>
  <si>
    <t>エ 負け</t>
    <rPh sb="2" eb="3">
      <t>マ</t>
    </rPh>
    <phoneticPr fontId="2"/>
  </si>
  <si>
    <t>金沢市スポーツ交流広場</t>
    <phoneticPr fontId="2"/>
  </si>
  <si>
    <t>会場</t>
    <rPh sb="0" eb="2">
      <t>カイジョウ</t>
    </rPh>
    <phoneticPr fontId="2"/>
  </si>
  <si>
    <t>内灘町サッカー場</t>
  </si>
  <si>
    <t>こまつドームドリームピッチ</t>
    <phoneticPr fontId="2"/>
  </si>
  <si>
    <t>松任総合運動公園グラウンド</t>
    <rPh sb="0" eb="2">
      <t>マットウ</t>
    </rPh>
    <rPh sb="2" eb="4">
      <t>ソウゴウ</t>
    </rPh>
    <rPh sb="4" eb="6">
      <t>ウンドウ</t>
    </rPh>
    <rPh sb="6" eb="8">
      <t>コウエン</t>
    </rPh>
    <phoneticPr fontId="2"/>
  </si>
  <si>
    <t>松任総合運動公園陸上競技場</t>
    <rPh sb="0" eb="2">
      <t>マットウ</t>
    </rPh>
    <rPh sb="2" eb="4">
      <t>ソウゴウ</t>
    </rPh>
    <rPh sb="4" eb="6">
      <t>ウンドウ</t>
    </rPh>
    <rPh sb="6" eb="8">
      <t>コウエン</t>
    </rPh>
    <rPh sb="8" eb="10">
      <t>リクジョウ</t>
    </rPh>
    <rPh sb="10" eb="13">
      <t>キョウギジョウ</t>
    </rPh>
    <phoneticPr fontId="2"/>
  </si>
  <si>
    <t>こまつドーム</t>
  </si>
  <si>
    <t>こまつドーム</t>
    <phoneticPr fontId="2"/>
  </si>
  <si>
    <t>松任グラウンド</t>
    <rPh sb="0" eb="2">
      <t>マットウ</t>
    </rPh>
    <phoneticPr fontId="2"/>
  </si>
  <si>
    <t>松任陸上競技場</t>
    <rPh sb="0" eb="2">
      <t>マットウ</t>
    </rPh>
    <rPh sb="2" eb="4">
      <t>リクジョウ</t>
    </rPh>
    <rPh sb="4" eb="7">
      <t>キョウギジョウ</t>
    </rPh>
    <phoneticPr fontId="2"/>
  </si>
  <si>
    <t>準決勝１</t>
    <rPh sb="0" eb="3">
      <t>ジュンケッショウ</t>
    </rPh>
    <phoneticPr fontId="2"/>
  </si>
  <si>
    <t>準決勝２</t>
    <rPh sb="0" eb="3">
      <t>ジュンケッショウ</t>
    </rPh>
    <phoneticPr fontId="2"/>
  </si>
  <si>
    <t>準決勝１ 負け</t>
    <rPh sb="0" eb="3">
      <t>ジュンケッショウ</t>
    </rPh>
    <rPh sb="5" eb="6">
      <t>マ</t>
    </rPh>
    <phoneticPr fontId="2"/>
  </si>
  <si>
    <t>準決勝２ 負け</t>
    <rPh sb="0" eb="3">
      <t>ジュンケッショウ</t>
    </rPh>
    <rPh sb="5" eb="6">
      <t>マ</t>
    </rPh>
    <phoneticPr fontId="2"/>
  </si>
  <si>
    <t>【１】</t>
    <phoneticPr fontId="2"/>
  </si>
  <si>
    <t>【２】</t>
    <phoneticPr fontId="2"/>
  </si>
  <si>
    <t>【３】</t>
    <phoneticPr fontId="2"/>
  </si>
  <si>
    <t>【４】</t>
    <phoneticPr fontId="2"/>
  </si>
  <si>
    <t>【５】</t>
    <phoneticPr fontId="2"/>
  </si>
  <si>
    <t>【６】</t>
    <phoneticPr fontId="2"/>
  </si>
  <si>
    <t>【７】</t>
    <phoneticPr fontId="2"/>
  </si>
  <si>
    <t>【８】</t>
    <phoneticPr fontId="2"/>
  </si>
  <si>
    <t>【９】</t>
    <phoneticPr fontId="2"/>
  </si>
  <si>
    <t>【１０】</t>
    <phoneticPr fontId="2"/>
  </si>
  <si>
    <t>【１１】</t>
    <phoneticPr fontId="2"/>
  </si>
  <si>
    <t>松陽･丸内</t>
    <rPh sb="0" eb="2">
      <t>ショウヨウ</t>
    </rPh>
    <rPh sb="3" eb="5">
      <t>マルノウチ</t>
    </rPh>
    <phoneticPr fontId="2"/>
  </si>
  <si>
    <t>光野中･笠間中合同チーム</t>
    <rPh sb="0" eb="2">
      <t>ヒカリノ</t>
    </rPh>
    <rPh sb="2" eb="3">
      <t>チュウ</t>
    </rPh>
    <rPh sb="4" eb="6">
      <t>カサマ</t>
    </rPh>
    <rPh sb="6" eb="7">
      <t>チュウ</t>
    </rPh>
    <rPh sb="7" eb="9">
      <t>ゴウドウ</t>
    </rPh>
    <phoneticPr fontId="2"/>
  </si>
  <si>
    <t>松陽中･丸内中合同チーム</t>
    <rPh sb="0" eb="2">
      <t>ショウヨウ</t>
    </rPh>
    <rPh sb="2" eb="3">
      <t>チュウ</t>
    </rPh>
    <rPh sb="4" eb="5">
      <t>マル</t>
    </rPh>
    <rPh sb="5" eb="6">
      <t>ナイ</t>
    </rPh>
    <rPh sb="6" eb="7">
      <t>ナカ</t>
    </rPh>
    <rPh sb="7" eb="9">
      <t>ゴウドウ</t>
    </rPh>
    <phoneticPr fontId="2"/>
  </si>
  <si>
    <t>小松市</t>
    <rPh sb="0" eb="3">
      <t>コマツシ</t>
    </rPh>
    <phoneticPr fontId="2"/>
  </si>
  <si>
    <t>能美市</t>
    <rPh sb="0" eb="3">
      <t>ノミシ</t>
    </rPh>
    <phoneticPr fontId="2"/>
  </si>
  <si>
    <t>七尾市</t>
  </si>
  <si>
    <t>A</t>
  </si>
  <si>
    <t>A</t>
    <phoneticPr fontId="2"/>
  </si>
  <si>
    <t>B</t>
  </si>
  <si>
    <t>B</t>
    <phoneticPr fontId="2"/>
  </si>
  <si>
    <t>C</t>
  </si>
  <si>
    <t>C</t>
    <phoneticPr fontId="2"/>
  </si>
  <si>
    <t>D</t>
  </si>
  <si>
    <t>D</t>
    <phoneticPr fontId="2"/>
  </si>
  <si>
    <t>E</t>
    <phoneticPr fontId="2"/>
  </si>
  <si>
    <t>1日目</t>
    <rPh sb="1" eb="3">
      <t>ニチメ</t>
    </rPh>
    <phoneticPr fontId="2"/>
  </si>
  <si>
    <t>2日目以降</t>
    <rPh sb="1" eb="3">
      <t>ニチメ</t>
    </rPh>
    <rPh sb="3" eb="5">
      <t>イコウ</t>
    </rPh>
    <phoneticPr fontId="2"/>
  </si>
  <si>
    <t>3決を行う</t>
    <rPh sb="1" eb="2">
      <t>ケツ</t>
    </rPh>
    <rPh sb="3" eb="4">
      <t>オコナ</t>
    </rPh>
    <phoneticPr fontId="2"/>
  </si>
  <si>
    <t>初日は？</t>
    <rPh sb="0" eb="2">
      <t>ショニチ</t>
    </rPh>
    <phoneticPr fontId="2"/>
  </si>
  <si>
    <t>9:00</t>
  </si>
  <si>
    <t>13:30</t>
  </si>
  <si>
    <t>能美サッカークラブ</t>
    <rPh sb="0" eb="2">
      <t>ノミ</t>
    </rPh>
    <phoneticPr fontId="2"/>
  </si>
  <si>
    <t>能美ＳＣ</t>
    <rPh sb="0" eb="2">
      <t>ノミ</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</si>
</sst>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e&quot;年&quot;m&quot;月&quot;d&quot;日&quot;;@"/>
    <numFmt numFmtId="177" formatCode="\ 0&quot;℃&quot;"/>
    <numFmt numFmtId="178" formatCode="\ 0&quot;%&quot;"/>
    <numFmt numFmtId="179" formatCode="#,##0&quot;人&quot;"/>
    <numFmt numFmtId="180" formatCode="d&quot;日&quot;"/>
    <numFmt numFmtId="181" formatCode="h:mm;@"/>
  </numFmts>
  <fonts count="56"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0"/>
      <name val="ＭＳ Ｐゴシック"/>
      <family val="3"/>
      <charset val="128"/>
    </font>
    <font>
      <sz val="14"/>
      <name val="ＭＳ Ｐゴシック"/>
      <family val="3"/>
      <charset val="128"/>
    </font>
    <font>
      <sz val="18"/>
      <name val="HG丸ｺﾞｼｯｸM-PRO"/>
      <family val="3"/>
      <charset val="128"/>
    </font>
    <font>
      <sz val="8"/>
      <name val="ＭＳ Ｐゴシック"/>
      <family val="3"/>
      <charset val="128"/>
    </font>
    <font>
      <sz val="9"/>
      <name val="ＭＳ Ｐゴシック"/>
      <family val="3"/>
      <charset val="128"/>
    </font>
    <font>
      <b/>
      <i/>
      <u/>
      <sz val="14"/>
      <color indexed="9"/>
      <name val="ＭＳ Ｐゴシック"/>
      <family val="3"/>
      <charset val="128"/>
    </font>
    <font>
      <b/>
      <i/>
      <u/>
      <sz val="14"/>
      <color rgb="FFFF0000"/>
      <name val="ＭＳ Ｐゴシック"/>
      <family val="3"/>
      <charset val="128"/>
    </font>
    <font>
      <b/>
      <sz val="14"/>
      <name val="ＭＳ Ｐゴシック"/>
      <family val="3"/>
      <charset val="128"/>
    </font>
    <font>
      <b/>
      <sz val="12"/>
      <color indexed="9"/>
      <name val="ＭＳ Ｐゴシック"/>
      <family val="3"/>
      <charset val="128"/>
    </font>
    <font>
      <b/>
      <sz val="12"/>
      <name val="ＭＳ Ｐゴシック"/>
      <family val="3"/>
      <charset val="128"/>
    </font>
    <font>
      <b/>
      <sz val="18"/>
      <name val="ＭＳ Ｐゴシック"/>
      <family val="3"/>
      <charset val="128"/>
    </font>
    <font>
      <b/>
      <sz val="10"/>
      <name val="ＭＳ Ｐゴシック"/>
      <family val="3"/>
      <charset val="128"/>
    </font>
    <font>
      <b/>
      <u/>
      <sz val="10"/>
      <color indexed="10"/>
      <name val="ＭＳ Ｐゴシック"/>
      <family val="3"/>
      <charset val="128"/>
    </font>
    <font>
      <b/>
      <sz val="10"/>
      <color indexed="9"/>
      <name val="ＭＳ Ｐゴシック"/>
      <family val="3"/>
      <charset val="128"/>
    </font>
    <font>
      <b/>
      <sz val="10"/>
      <color rgb="FFFF0000"/>
      <name val="ＭＳ Ｐゴシック"/>
      <family val="3"/>
      <charset val="128"/>
    </font>
    <font>
      <b/>
      <u/>
      <sz val="10"/>
      <name val="ＭＳ Ｐゴシック"/>
      <family val="3"/>
      <charset val="128"/>
    </font>
    <font>
      <b/>
      <u/>
      <sz val="16"/>
      <color indexed="45"/>
      <name val="ＭＳ Ｐゴシック"/>
      <family val="3"/>
      <charset val="128"/>
    </font>
    <font>
      <sz val="11"/>
      <name val="AR丸ゴシック体M"/>
      <family val="3"/>
      <charset val="128"/>
    </font>
    <font>
      <sz val="20"/>
      <name val="AR丸ゴシック体M"/>
      <family val="3"/>
      <charset val="128"/>
    </font>
    <font>
      <sz val="14"/>
      <name val="AR丸ゴシック体M"/>
      <family val="3"/>
      <charset val="128"/>
    </font>
    <font>
      <sz val="14"/>
      <color theme="0"/>
      <name val="AR丸ゴシック体M"/>
      <family val="3"/>
      <charset val="128"/>
    </font>
    <font>
      <sz val="11"/>
      <color theme="0"/>
      <name val="AR丸ゴシック体M"/>
      <family val="3"/>
      <charset val="128"/>
    </font>
    <font>
      <sz val="12"/>
      <color theme="0"/>
      <name val="AR丸ゴシック体M"/>
      <family val="3"/>
      <charset val="128"/>
    </font>
    <font>
      <i/>
      <sz val="11"/>
      <name val="AR丸ゴシック体M"/>
      <family val="3"/>
      <charset val="128"/>
    </font>
    <font>
      <sz val="12"/>
      <name val="AR丸ゴシック体M"/>
      <family val="3"/>
      <charset val="128"/>
    </font>
    <font>
      <sz val="13"/>
      <name val="AR丸ゴシック体M"/>
      <family val="3"/>
      <charset val="128"/>
    </font>
    <font>
      <sz val="16"/>
      <name val="AR丸ゴシック体M"/>
      <family val="3"/>
      <charset val="128"/>
    </font>
    <font>
      <sz val="11"/>
      <color indexed="10"/>
      <name val="AR丸ゴシック体M"/>
      <family val="3"/>
      <charset val="128"/>
    </font>
    <font>
      <sz val="8"/>
      <name val="AR丸ゴシック体M"/>
      <family val="3"/>
      <charset val="128"/>
    </font>
    <font>
      <sz val="11"/>
      <color indexed="9"/>
      <name val="AR丸ゴシック体M"/>
      <family val="3"/>
      <charset val="128"/>
    </font>
    <font>
      <sz val="10"/>
      <name val="AR丸ゴシック体M"/>
      <family val="3"/>
      <charset val="128"/>
    </font>
    <font>
      <sz val="9"/>
      <name val="AR丸ゴシック体M"/>
      <family val="3"/>
      <charset val="128"/>
    </font>
    <font>
      <sz val="8"/>
      <color theme="1"/>
      <name val="AR丸ゴシック体M"/>
      <family val="3"/>
      <charset val="128"/>
    </font>
    <font>
      <sz val="8"/>
      <color indexed="10"/>
      <name val="AR丸ゴシック体M"/>
      <family val="3"/>
      <charset val="128"/>
    </font>
    <font>
      <sz val="6"/>
      <name val="AR丸ゴシック体M"/>
      <family val="3"/>
      <charset val="128"/>
    </font>
    <font>
      <sz val="22"/>
      <name val="AR丸ゴシック体M"/>
      <family val="3"/>
      <charset val="128"/>
    </font>
    <font>
      <sz val="7"/>
      <name val="AR丸ゴシック体M"/>
      <family val="3"/>
      <charset val="128"/>
    </font>
    <font>
      <b/>
      <sz val="12"/>
      <name val="AR丸ゴシック体M"/>
      <family val="3"/>
      <charset val="128"/>
    </font>
    <font>
      <b/>
      <sz val="14"/>
      <name val="AR丸ゴシック体M"/>
      <family val="3"/>
      <charset val="128"/>
    </font>
    <font>
      <b/>
      <sz val="9"/>
      <name val="AR丸ゴシック体M"/>
      <family val="3"/>
      <charset val="128"/>
    </font>
    <font>
      <b/>
      <sz val="18"/>
      <name val="AR丸ゴシック体M"/>
      <family val="3"/>
      <charset val="128"/>
    </font>
    <font>
      <sz val="18"/>
      <name val="AR丸ゴシック体M"/>
      <family val="3"/>
      <charset val="128"/>
    </font>
    <font>
      <b/>
      <sz val="10"/>
      <name val="AR丸ゴシック体M"/>
      <family val="3"/>
      <charset val="128"/>
    </font>
    <font>
      <b/>
      <sz val="7"/>
      <name val="AR丸ゴシック体M"/>
      <family val="3"/>
      <charset val="128"/>
    </font>
    <font>
      <i/>
      <sz val="7"/>
      <name val="AR丸ゴシック体M"/>
      <family val="3"/>
      <charset val="128"/>
    </font>
    <font>
      <sz val="11"/>
      <name val="@AR丸ゴシック体M"/>
      <family val="3"/>
      <charset val="128"/>
    </font>
    <font>
      <sz val="13"/>
      <name val="@AR丸ゴシック体M"/>
      <family val="3"/>
      <charset val="128"/>
    </font>
    <font>
      <sz val="14"/>
      <name val="@AR丸ゴシック体M"/>
      <family val="3"/>
      <charset val="128"/>
    </font>
    <font>
      <sz val="10"/>
      <name val="@AR丸ゴシック体M"/>
      <family val="3"/>
      <charset val="128"/>
    </font>
    <font>
      <sz val="13"/>
      <color theme="0"/>
      <name val="AR丸ゴシック体M"/>
      <family val="3"/>
      <charset val="128"/>
    </font>
    <font>
      <sz val="11"/>
      <color rgb="FFFF0000"/>
      <name val="AR丸ゴシック体M"/>
      <family val="3"/>
      <charset val="128"/>
    </font>
    <font>
      <b/>
      <sz val="11"/>
      <name val="AR丸ゴシック体M"/>
      <family val="3"/>
      <charset val="128"/>
    </font>
  </fonts>
  <fills count="7">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indexed="10"/>
        <bgColor indexed="64"/>
      </patternFill>
    </fill>
    <fill>
      <patternFill patternType="solid">
        <fgColor indexed="12"/>
        <bgColor indexed="64"/>
      </patternFill>
    </fill>
  </fills>
  <borders count="185">
    <border>
      <left/>
      <right/>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bottom/>
      <diagonal/>
    </border>
    <border>
      <left style="double">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medium">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double">
        <color indexed="64"/>
      </top>
      <bottom style="thin">
        <color indexed="64"/>
      </bottom>
      <diagonal/>
    </border>
    <border>
      <left style="medium">
        <color indexed="64"/>
      </left>
      <right style="double">
        <color indexed="64"/>
      </right>
      <top style="thin">
        <color indexed="64"/>
      </top>
      <bottom style="double">
        <color indexed="64"/>
      </bottom>
      <diagonal/>
    </border>
    <border>
      <left style="medium">
        <color indexed="64"/>
      </left>
      <right style="double">
        <color indexed="64"/>
      </right>
      <top style="thin">
        <color indexed="64"/>
      </top>
      <bottom style="medium">
        <color indexed="64"/>
      </bottom>
      <diagonal/>
    </border>
    <border>
      <left style="thin">
        <color indexed="64"/>
      </left>
      <right style="thin">
        <color indexed="64"/>
      </right>
      <top/>
      <bottom style="double">
        <color indexed="64"/>
      </bottom>
      <diagonal/>
    </border>
    <border>
      <left/>
      <right style="thin">
        <color indexed="64"/>
      </right>
      <top/>
      <bottom/>
      <diagonal/>
    </border>
    <border>
      <left/>
      <right/>
      <top/>
      <bottom style="medium">
        <color indexed="64"/>
      </bottom>
      <diagonal/>
    </border>
    <border>
      <left style="thin">
        <color indexed="64"/>
      </left>
      <right/>
      <top/>
      <bottom style="medium">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10"/>
      </bottom>
      <diagonal/>
    </border>
    <border>
      <left style="thick">
        <color indexed="10"/>
      </left>
      <right/>
      <top/>
      <bottom/>
      <diagonal/>
    </border>
    <border>
      <left/>
      <right style="thick">
        <color indexed="10"/>
      </right>
      <top/>
      <bottom/>
      <diagonal/>
    </border>
    <border>
      <left/>
      <right style="thick">
        <color indexed="10"/>
      </right>
      <top/>
      <bottom style="thick">
        <color indexed="10"/>
      </bottom>
      <diagonal/>
    </border>
    <border>
      <left style="thick">
        <color indexed="10"/>
      </left>
      <right/>
      <top/>
      <bottom style="thick">
        <color indexed="10"/>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hair">
        <color indexed="64"/>
      </top>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medium">
        <color indexed="64"/>
      </left>
      <right/>
      <top style="medium">
        <color indexed="64"/>
      </top>
      <bottom style="medium">
        <color indexed="64"/>
      </bottom>
      <diagonal/>
    </border>
    <border>
      <left style="hair">
        <color indexed="64"/>
      </left>
      <right/>
      <top style="medium">
        <color indexed="64"/>
      </top>
      <bottom style="medium">
        <color indexed="64"/>
      </bottom>
      <diagonal/>
    </border>
    <border>
      <left style="dashed">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dashed">
        <color indexed="64"/>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right/>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double">
        <color indexed="64"/>
      </left>
      <right style="double">
        <color indexed="64"/>
      </right>
      <top style="double">
        <color indexed="64"/>
      </top>
      <bottom/>
      <diagonal/>
    </border>
    <border>
      <left style="double">
        <color indexed="64"/>
      </left>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top/>
      <bottom style="double">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diagonal/>
    </border>
    <border>
      <left style="hair">
        <color indexed="64"/>
      </left>
      <right style="thin">
        <color indexed="64"/>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top/>
      <bottom/>
      <diagonal/>
    </border>
    <border>
      <left/>
      <right style="hair">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double">
        <color indexed="64"/>
      </bottom>
      <diagonal/>
    </border>
    <border>
      <left/>
      <right/>
      <top/>
      <bottom style="double">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right style="hair">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medium">
        <color indexed="64"/>
      </right>
      <top style="medium">
        <color indexed="64"/>
      </top>
      <bottom/>
      <diagonal/>
    </border>
    <border>
      <left/>
      <right/>
      <top/>
      <bottom style="dashed">
        <color indexed="64"/>
      </bottom>
      <diagonal/>
    </border>
    <border>
      <left/>
      <right/>
      <top style="dashed">
        <color indexed="64"/>
      </top>
      <bottom style="dash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top/>
      <bottom style="dotted">
        <color indexed="64"/>
      </bottom>
      <diagonal/>
    </border>
    <border>
      <left style="thick">
        <color indexed="10"/>
      </left>
      <right/>
      <top style="thick">
        <color indexed="10"/>
      </top>
      <bottom/>
      <diagonal/>
    </border>
    <border>
      <left/>
      <right/>
      <top style="thick">
        <color indexed="10"/>
      </top>
      <bottom/>
      <diagonal/>
    </border>
    <border>
      <left/>
      <right style="thick">
        <color indexed="10"/>
      </right>
      <top style="thick">
        <color indexed="1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right style="thick">
        <color indexed="10"/>
      </right>
      <top/>
      <bottom style="thick">
        <color rgb="FFFF0000"/>
      </bottom>
      <diagonal/>
    </border>
    <border>
      <left style="thick">
        <color indexed="10"/>
      </left>
      <right/>
      <top/>
      <bottom style="thick">
        <color rgb="FFFF0000"/>
      </bottom>
      <diagonal/>
    </border>
    <border>
      <left/>
      <right/>
      <top style="thick">
        <color rgb="FFFF0000"/>
      </top>
      <bottom/>
      <diagonal/>
    </border>
    <border>
      <left style="thick">
        <color indexed="10"/>
      </left>
      <right/>
      <top style="thick">
        <color rgb="FFFF0000"/>
      </top>
      <bottom/>
      <diagonal/>
    </border>
    <border>
      <left/>
      <right style="thick">
        <color indexed="10"/>
      </right>
      <top style="thick">
        <color rgb="FFFF0000"/>
      </top>
      <bottom/>
      <diagonal/>
    </border>
    <border>
      <left style="thin">
        <color indexed="64"/>
      </left>
      <right style="thin">
        <color indexed="64"/>
      </right>
      <top/>
      <bottom style="medium">
        <color indexed="64"/>
      </bottom>
      <diagonal/>
    </border>
    <border>
      <left/>
      <right/>
      <top style="dashed">
        <color indexed="64"/>
      </top>
      <bottom/>
      <diagonal/>
    </border>
    <border>
      <left style="thick">
        <color rgb="FFFF0000"/>
      </left>
      <right/>
      <top style="thick">
        <color rgb="FFFF0000"/>
      </top>
      <bottom/>
      <diagonal/>
    </border>
    <border>
      <left/>
      <right style="thick">
        <color rgb="FFFF0000"/>
      </right>
      <top style="thick">
        <color rgb="FFFF0000"/>
      </top>
      <bottom/>
      <diagonal/>
    </border>
    <border>
      <left/>
      <right style="thick">
        <color rgb="FFFF0000"/>
      </right>
      <top/>
      <bottom style="thin">
        <color indexed="64"/>
      </bottom>
      <diagonal/>
    </border>
    <border>
      <left style="thick">
        <color rgb="FFFF0000"/>
      </left>
      <right/>
      <top/>
      <bottom style="thin">
        <color indexed="64"/>
      </bottom>
      <diagonal/>
    </border>
  </borders>
  <cellStyleXfs count="5">
    <xf numFmtId="0" fontId="0" fillId="0" borderId="0">
      <alignment vertical="center"/>
    </xf>
    <xf numFmtId="0" fontId="1" fillId="0" borderId="0"/>
    <xf numFmtId="0" fontId="4" fillId="0" borderId="0">
      <alignment vertical="center"/>
    </xf>
    <xf numFmtId="0" fontId="1" fillId="0" borderId="0"/>
    <xf numFmtId="0" fontId="1" fillId="0" borderId="0"/>
  </cellStyleXfs>
  <cellXfs count="1006">
    <xf numFmtId="0" fontId="0" fillId="0" borderId="0" xfId="0">
      <alignment vertical="center"/>
    </xf>
    <xf numFmtId="0" fontId="0" fillId="0" borderId="0" xfId="0" applyAlignment="1">
      <alignment horizontal="right" vertical="center"/>
    </xf>
    <xf numFmtId="0" fontId="0" fillId="0" borderId="54" xfId="0" applyBorder="1" applyAlignment="1">
      <alignment horizontal="center" vertical="center"/>
    </xf>
    <xf numFmtId="0" fontId="3" fillId="0" borderId="0" xfId="0" applyFont="1">
      <alignment vertical="center"/>
    </xf>
    <xf numFmtId="0" fontId="8" fillId="0" borderId="0" xfId="0" applyFont="1" applyAlignment="1">
      <alignment horizontal="right" vertical="center"/>
    </xf>
    <xf numFmtId="20" fontId="0" fillId="0" borderId="68" xfId="0" applyNumberFormat="1" applyBorder="1">
      <alignment vertical="center"/>
    </xf>
    <xf numFmtId="0" fontId="0" fillId="0" borderId="5" xfId="0" applyBorder="1" applyAlignment="1">
      <alignment horizontal="center" vertical="center"/>
    </xf>
    <xf numFmtId="0" fontId="7" fillId="0" borderId="73" xfId="0" applyFont="1" applyBorder="1" applyAlignment="1">
      <alignment vertical="top"/>
    </xf>
    <xf numFmtId="0" fontId="7" fillId="0" borderId="54" xfId="0" applyFont="1" applyBorder="1" applyAlignment="1">
      <alignment vertical="top"/>
    </xf>
    <xf numFmtId="0" fontId="0" fillId="0" borderId="74" xfId="0" applyBorder="1">
      <alignment vertical="center"/>
    </xf>
    <xf numFmtId="0" fontId="0" fillId="0" borderId="74" xfId="0" applyBorder="1" applyAlignment="1">
      <alignment horizontal="center" vertical="center"/>
    </xf>
    <xf numFmtId="0" fontId="0" fillId="0" borderId="75" xfId="0" applyBorder="1">
      <alignment vertical="center"/>
    </xf>
    <xf numFmtId="0" fontId="0" fillId="0" borderId="75" xfId="0" applyBorder="1" applyAlignment="1">
      <alignment horizontal="center" vertical="center"/>
    </xf>
    <xf numFmtId="0" fontId="0" fillId="0" borderId="26" xfId="0" applyBorder="1" applyAlignment="1">
      <alignment horizontal="center" vertical="center"/>
    </xf>
    <xf numFmtId="0" fontId="0" fillId="0" borderId="26" xfId="0" applyBorder="1">
      <alignment vertical="center"/>
    </xf>
    <xf numFmtId="0" fontId="0" fillId="0" borderId="45" xfId="0" applyBorder="1" applyAlignment="1">
      <alignment horizontal="right" vertical="center"/>
    </xf>
    <xf numFmtId="0" fontId="0" fillId="0" borderId="16" xfId="0" applyBorder="1">
      <alignment vertical="center"/>
    </xf>
    <xf numFmtId="0" fontId="0" fillId="0" borderId="76" xfId="0" applyBorder="1">
      <alignment vertical="center"/>
    </xf>
    <xf numFmtId="0" fontId="0" fillId="0" borderId="12" xfId="0" applyBorder="1" applyAlignment="1">
      <alignment horizontal="right" vertical="center"/>
    </xf>
    <xf numFmtId="0" fontId="0" fillId="0" borderId="77" xfId="0" applyBorder="1">
      <alignment vertical="center"/>
    </xf>
    <xf numFmtId="0" fontId="7" fillId="0" borderId="0" xfId="0" applyFont="1">
      <alignment vertical="center"/>
    </xf>
    <xf numFmtId="0" fontId="0" fillId="0" borderId="0" xfId="0" applyAlignment="1"/>
    <xf numFmtId="0" fontId="0" fillId="0" borderId="90" xfId="0" applyBorder="1">
      <alignment vertical="center"/>
    </xf>
    <xf numFmtId="0" fontId="0" fillId="0" borderId="91" xfId="0" applyBorder="1">
      <alignment vertical="center"/>
    </xf>
    <xf numFmtId="0" fontId="0" fillId="0" borderId="90" xfId="0" applyBorder="1" applyAlignment="1"/>
    <xf numFmtId="0" fontId="0" fillId="0" borderId="92" xfId="0" applyBorder="1">
      <alignment vertical="center"/>
    </xf>
    <xf numFmtId="0" fontId="0" fillId="0" borderId="13" xfId="0" applyBorder="1">
      <alignment vertical="center"/>
    </xf>
    <xf numFmtId="0" fontId="0" fillId="0" borderId="92" xfId="0" applyBorder="1" applyAlignment="1"/>
    <xf numFmtId="0" fontId="0" fillId="0" borderId="93" xfId="0" applyBorder="1">
      <alignment vertical="center"/>
    </xf>
    <xf numFmtId="0" fontId="0" fillId="0" borderId="94" xfId="0" applyBorder="1">
      <alignment vertical="center"/>
    </xf>
    <xf numFmtId="0" fontId="0" fillId="0" borderId="93" xfId="0" applyBorder="1" applyAlignment="1"/>
    <xf numFmtId="0" fontId="12" fillId="5" borderId="0" xfId="0" applyFont="1" applyFill="1" applyAlignment="1"/>
    <xf numFmtId="0" fontId="13" fillId="3" borderId="0" xfId="0" applyFont="1" applyFill="1" applyAlignment="1"/>
    <xf numFmtId="0" fontId="14" fillId="3" borderId="0" xfId="0" applyFont="1" applyFill="1">
      <alignment vertical="center"/>
    </xf>
    <xf numFmtId="0" fontId="15" fillId="3" borderId="0" xfId="0" applyFont="1" applyFill="1" applyAlignment="1"/>
    <xf numFmtId="0" fontId="17" fillId="6" borderId="0" xfId="0" applyFont="1" applyFill="1" applyAlignment="1">
      <alignment vertical="center" shrinkToFit="1"/>
    </xf>
    <xf numFmtId="0" fontId="13" fillId="2" borderId="53" xfId="0" applyFont="1" applyFill="1" applyBorder="1" applyAlignment="1" applyProtection="1">
      <alignment horizontal="center" vertical="center" shrinkToFit="1"/>
      <protection locked="0"/>
    </xf>
    <xf numFmtId="0" fontId="15" fillId="3" borderId="0" xfId="0" applyFont="1" applyFill="1" applyAlignment="1">
      <alignment vertical="center" shrinkToFit="1"/>
    </xf>
    <xf numFmtId="0" fontId="13" fillId="2" borderId="53" xfId="0" applyFont="1" applyFill="1" applyBorder="1" applyAlignment="1">
      <alignment horizontal="center" vertical="center" shrinkToFit="1"/>
    </xf>
    <xf numFmtId="0" fontId="17" fillId="6" borderId="0" xfId="0" applyFont="1" applyFill="1" applyAlignment="1">
      <alignment horizontal="center" vertical="center" shrinkToFit="1"/>
    </xf>
    <xf numFmtId="0" fontId="17" fillId="6" borderId="0" xfId="0" applyFont="1" applyFill="1" applyAlignment="1">
      <alignment horizontal="center" vertical="center" wrapText="1"/>
    </xf>
    <xf numFmtId="0" fontId="13" fillId="3" borderId="0" xfId="0" applyFont="1" applyFill="1">
      <alignment vertical="center"/>
    </xf>
    <xf numFmtId="0" fontId="15" fillId="0" borderId="53" xfId="0" applyFont="1" applyBorder="1" applyAlignment="1">
      <alignment horizontal="center" vertical="center" shrinkToFit="1"/>
    </xf>
    <xf numFmtId="0" fontId="13" fillId="2" borderId="53" xfId="0" applyFont="1" applyFill="1" applyBorder="1" applyAlignment="1" applyProtection="1">
      <alignment vertical="center" shrinkToFit="1"/>
      <protection locked="0"/>
    </xf>
    <xf numFmtId="0" fontId="13" fillId="3" borderId="0" xfId="0" applyFont="1" applyFill="1" applyAlignment="1">
      <alignment vertical="center" shrinkToFit="1"/>
    </xf>
    <xf numFmtId="49" fontId="13" fillId="2" borderId="53" xfId="0" applyNumberFormat="1" applyFont="1" applyFill="1" applyBorder="1" applyAlignment="1" applyProtection="1">
      <alignment horizontal="center" vertical="center" shrinkToFit="1"/>
      <protection locked="0"/>
    </xf>
    <xf numFmtId="0" fontId="15" fillId="3" borderId="0" xfId="0" applyFont="1" applyFill="1" applyAlignment="1">
      <alignment horizontal="center" vertical="center" shrinkToFit="1"/>
    </xf>
    <xf numFmtId="0" fontId="13" fillId="3" borderId="0" xfId="0" applyFont="1" applyFill="1" applyAlignment="1">
      <alignment horizontal="center" vertical="center" shrinkToFit="1"/>
    </xf>
    <xf numFmtId="0" fontId="15" fillId="3" borderId="121" xfId="0" applyFont="1" applyFill="1" applyBorder="1" applyAlignment="1">
      <alignment vertical="center" wrapText="1" shrinkToFit="1"/>
    </xf>
    <xf numFmtId="0" fontId="15" fillId="3" borderId="0" xfId="0" applyFont="1" applyFill="1" applyAlignment="1">
      <alignment vertical="center" wrapText="1" shrinkToFit="1"/>
    </xf>
    <xf numFmtId="0" fontId="13" fillId="3" borderId="152" xfId="0" applyFont="1" applyFill="1" applyBorder="1" applyAlignment="1">
      <alignment vertical="center" shrinkToFit="1"/>
    </xf>
    <xf numFmtId="0" fontId="16" fillId="3" borderId="0" xfId="0" applyFont="1" applyFill="1" applyAlignment="1"/>
    <xf numFmtId="0" fontId="13" fillId="3" borderId="0" xfId="0" applyFont="1" applyFill="1" applyAlignment="1">
      <alignment horizontal="center"/>
    </xf>
    <xf numFmtId="0" fontId="19" fillId="3" borderId="0" xfId="0" applyFont="1" applyFill="1" applyAlignment="1"/>
    <xf numFmtId="0" fontId="15" fillId="3" borderId="0" xfId="0" applyFont="1" applyFill="1" applyAlignment="1">
      <alignment horizontal="center"/>
    </xf>
    <xf numFmtId="0" fontId="15" fillId="4" borderId="53" xfId="0" applyFont="1" applyFill="1" applyBorder="1" applyAlignment="1">
      <alignment horizontal="center" vertical="center" shrinkToFit="1"/>
    </xf>
    <xf numFmtId="0" fontId="13" fillId="4" borderId="53" xfId="0" applyFont="1" applyFill="1" applyBorder="1" applyAlignment="1" applyProtection="1">
      <alignment horizontal="center" vertical="center" shrinkToFit="1"/>
      <protection locked="0"/>
    </xf>
    <xf numFmtId="0" fontId="13" fillId="4" borderId="53" xfId="0" applyFont="1" applyFill="1" applyBorder="1" applyAlignment="1" applyProtection="1">
      <alignment vertical="center" shrinkToFit="1"/>
      <protection locked="0"/>
    </xf>
    <xf numFmtId="0" fontId="21" fillId="0" borderId="0" xfId="0" applyFont="1">
      <alignment vertical="center"/>
    </xf>
    <xf numFmtId="0" fontId="21" fillId="0" borderId="17" xfId="0" applyFont="1" applyBorder="1" applyAlignment="1">
      <alignment horizontal="center" vertical="center"/>
    </xf>
    <xf numFmtId="0" fontId="21" fillId="0" borderId="10" xfId="0" applyFont="1" applyBorder="1" applyAlignment="1">
      <alignment horizontal="distributed" vertical="center" justifyLastLine="1"/>
    </xf>
    <xf numFmtId="0" fontId="21" fillId="0" borderId="11" xfId="0" applyFont="1" applyBorder="1" applyAlignment="1">
      <alignment horizontal="distributed" vertical="center" justifyLastLine="1"/>
    </xf>
    <xf numFmtId="0" fontId="21" fillId="0" borderId="0" xfId="0" applyFont="1" applyAlignment="1">
      <alignment horizontal="right" vertical="center"/>
    </xf>
    <xf numFmtId="0" fontId="21" fillId="0" borderId="41" xfId="0" applyFont="1" applyBorder="1" applyProtection="1">
      <alignment vertical="center"/>
      <protection locked="0"/>
    </xf>
    <xf numFmtId="0" fontId="21" fillId="0" borderId="4" xfId="0" applyFont="1" applyBorder="1" applyAlignment="1">
      <alignment horizontal="distributed" vertical="center" justifyLastLine="1"/>
    </xf>
    <xf numFmtId="0" fontId="21" fillId="0" borderId="5" xfId="0" applyFont="1" applyBorder="1" applyAlignment="1">
      <alignment horizontal="distributed" vertical="center" justifyLastLine="1"/>
    </xf>
    <xf numFmtId="0" fontId="21" fillId="0" borderId="6" xfId="0" applyFont="1" applyBorder="1" applyAlignment="1">
      <alignment horizontal="distributed" vertical="center" justifyLastLine="1"/>
    </xf>
    <xf numFmtId="0" fontId="21" fillId="0" borderId="0" xfId="0" applyFont="1" applyAlignment="1">
      <alignment horizontal="right" vertical="center" justifyLastLine="1"/>
    </xf>
    <xf numFmtId="0" fontId="21" fillId="0" borderId="42" xfId="0" applyFont="1" applyBorder="1" applyProtection="1">
      <alignment vertical="center"/>
      <protection locked="0"/>
    </xf>
    <xf numFmtId="0" fontId="21" fillId="0" borderId="7" xfId="0" applyFont="1" applyBorder="1" applyAlignment="1">
      <alignment horizontal="distributed" vertical="center" justifyLastLine="1"/>
    </xf>
    <xf numFmtId="0" fontId="21" fillId="0" borderId="8" xfId="0" applyFont="1" applyBorder="1" applyAlignment="1">
      <alignment horizontal="distributed" vertical="center" justifyLastLine="1"/>
    </xf>
    <xf numFmtId="0" fontId="21" fillId="0" borderId="9" xfId="0" applyFont="1" applyBorder="1" applyAlignment="1">
      <alignment horizontal="distributed" vertical="center" justifyLastLine="1"/>
    </xf>
    <xf numFmtId="0" fontId="21" fillId="0" borderId="0" xfId="0" applyFont="1" applyAlignment="1">
      <alignment vertical="center" shrinkToFit="1"/>
    </xf>
    <xf numFmtId="0" fontId="21" fillId="0" borderId="44" xfId="0" applyFont="1" applyBorder="1" applyAlignment="1">
      <alignment horizontal="distributed" vertical="center" justifyLastLine="1"/>
    </xf>
    <xf numFmtId="0" fontId="22" fillId="0" borderId="0" xfId="0" applyFont="1" applyAlignment="1">
      <alignment horizontal="left" vertical="center"/>
    </xf>
    <xf numFmtId="0" fontId="21" fillId="0" borderId="0" xfId="0" applyFont="1" applyAlignment="1">
      <alignment horizontal="right" vertical="center" shrinkToFit="1"/>
    </xf>
    <xf numFmtId="0" fontId="21" fillId="0" borderId="0" xfId="0" applyFont="1" applyAlignment="1">
      <alignment horizontal="center" vertical="center" shrinkToFit="1"/>
    </xf>
    <xf numFmtId="0" fontId="21" fillId="0" borderId="0" xfId="0" applyFont="1" applyAlignment="1">
      <alignment horizontal="left" vertical="center" shrinkToFit="1"/>
    </xf>
    <xf numFmtId="49" fontId="21" fillId="0" borderId="0" xfId="0" applyNumberFormat="1" applyFont="1">
      <alignment vertical="center"/>
    </xf>
    <xf numFmtId="0" fontId="21" fillId="0" borderId="165" xfId="0" applyFont="1" applyBorder="1">
      <alignment vertical="center"/>
    </xf>
    <xf numFmtId="0" fontId="21" fillId="0" borderId="0" xfId="0" applyFont="1" applyAlignment="1">
      <alignment horizontal="left" vertical="center"/>
    </xf>
    <xf numFmtId="0" fontId="21" fillId="0" borderId="165" xfId="0" applyFont="1" applyBorder="1" applyAlignment="1">
      <alignment horizontal="right" vertical="center" shrinkToFit="1"/>
    </xf>
    <xf numFmtId="0" fontId="26" fillId="0" borderId="0" xfId="0" applyFont="1">
      <alignment vertical="center"/>
    </xf>
    <xf numFmtId="0" fontId="25" fillId="0" borderId="0" xfId="0" applyFont="1">
      <alignment vertical="center"/>
    </xf>
    <xf numFmtId="0" fontId="23" fillId="0" borderId="0" xfId="0" applyFont="1" applyAlignment="1">
      <alignment horizontal="right" vertical="center"/>
    </xf>
    <xf numFmtId="0" fontId="23" fillId="0" borderId="0" xfId="0" applyFont="1">
      <alignment vertical="center"/>
    </xf>
    <xf numFmtId="0" fontId="23" fillId="0" borderId="0" xfId="0" applyFont="1" applyAlignment="1">
      <alignment horizontal="left" vertical="center"/>
    </xf>
    <xf numFmtId="0" fontId="23" fillId="0" borderId="0" xfId="0" applyFont="1" applyAlignment="1">
      <alignment vertical="center" shrinkToFit="1"/>
    </xf>
    <xf numFmtId="0" fontId="23" fillId="0" borderId="0" xfId="0" applyFont="1" applyAlignment="1">
      <alignment horizontal="right" vertical="center" shrinkToFit="1"/>
    </xf>
    <xf numFmtId="0" fontId="23" fillId="0" borderId="0" xfId="0" applyFont="1" applyAlignment="1">
      <alignment horizontal="center" vertical="center" shrinkToFit="1"/>
    </xf>
    <xf numFmtId="0" fontId="23" fillId="0" borderId="0" xfId="0" applyFont="1" applyAlignment="1">
      <alignment horizontal="left" vertical="center" shrinkToFit="1"/>
    </xf>
    <xf numFmtId="0" fontId="21" fillId="0" borderId="5" xfId="0" applyFont="1" applyBorder="1">
      <alignment vertical="center"/>
    </xf>
    <xf numFmtId="0" fontId="21" fillId="0" borderId="5" xfId="0" applyFont="1" applyBorder="1" applyAlignment="1">
      <alignment horizontal="center" vertical="center"/>
    </xf>
    <xf numFmtId="0" fontId="21" fillId="0" borderId="5" xfId="0" applyFont="1" applyBorder="1" applyAlignment="1">
      <alignment horizontal="center" vertical="center" wrapText="1"/>
    </xf>
    <xf numFmtId="0" fontId="21" fillId="0" borderId="16" xfId="0" applyFont="1" applyBorder="1" applyAlignment="1">
      <alignment horizontal="center" vertical="center" shrinkToFit="1"/>
    </xf>
    <xf numFmtId="0" fontId="21" fillId="0" borderId="12" xfId="0" applyFont="1" applyBorder="1" applyAlignment="1">
      <alignment vertical="center" shrinkToFit="1"/>
    </xf>
    <xf numFmtId="0" fontId="21" fillId="0" borderId="0" xfId="0" applyFont="1" applyAlignment="1" applyProtection="1">
      <alignment horizontal="right" vertical="center" shrinkToFit="1"/>
      <protection locked="0"/>
    </xf>
    <xf numFmtId="0" fontId="21" fillId="0" borderId="0" xfId="0" applyFont="1" applyAlignment="1" applyProtection="1">
      <alignment horizontal="left" vertical="center" shrinkToFit="1"/>
      <protection locked="0"/>
    </xf>
    <xf numFmtId="0" fontId="21" fillId="0" borderId="37" xfId="0" applyFont="1" applyBorder="1" applyAlignment="1">
      <alignment vertical="center" shrinkToFit="1"/>
    </xf>
    <xf numFmtId="0" fontId="21" fillId="0" borderId="14" xfId="0" applyFont="1" applyBorder="1" applyAlignment="1">
      <alignment vertical="center" shrinkToFit="1"/>
    </xf>
    <xf numFmtId="0" fontId="21" fillId="0" borderId="15" xfId="0" applyFont="1" applyBorder="1" applyAlignment="1">
      <alignment vertical="center" shrinkToFit="1"/>
    </xf>
    <xf numFmtId="0" fontId="21" fillId="0" borderId="15" xfId="0" applyFont="1" applyBorder="1" applyAlignment="1">
      <alignment horizontal="right" vertical="center" shrinkToFit="1"/>
    </xf>
    <xf numFmtId="0" fontId="21" fillId="0" borderId="15" xfId="0" applyFont="1" applyBorder="1" applyAlignment="1">
      <alignment horizontal="center" vertical="center" shrinkToFit="1"/>
    </xf>
    <xf numFmtId="0" fontId="21" fillId="0" borderId="15" xfId="0" applyFont="1" applyBorder="1" applyAlignment="1">
      <alignment horizontal="left" vertical="center" shrinkToFit="1"/>
    </xf>
    <xf numFmtId="0" fontId="21" fillId="0" borderId="21" xfId="0" applyFont="1" applyBorder="1" applyAlignment="1">
      <alignment vertical="center" shrinkToFit="1"/>
    </xf>
    <xf numFmtId="0" fontId="21" fillId="0" borderId="0" xfId="0" applyFont="1" applyAlignment="1">
      <alignment horizontal="center" vertical="center"/>
    </xf>
    <xf numFmtId="0" fontId="22" fillId="0" borderId="0" xfId="0" applyFont="1">
      <alignment vertical="center"/>
    </xf>
    <xf numFmtId="0" fontId="21" fillId="0" borderId="0" xfId="0" applyFont="1" applyAlignment="1">
      <alignment horizontal="distributed" vertical="center"/>
    </xf>
    <xf numFmtId="0" fontId="27" fillId="0" borderId="0" xfId="0" applyFont="1" applyAlignment="1">
      <alignment horizontal="center" vertical="center"/>
    </xf>
    <xf numFmtId="0" fontId="21" fillId="0" borderId="0" xfId="0" applyFont="1" applyAlignment="1">
      <alignment horizontal="distributed" vertical="center" shrinkToFit="1"/>
    </xf>
    <xf numFmtId="0" fontId="21" fillId="0" borderId="0" xfId="0" applyFont="1" applyAlignment="1" applyProtection="1">
      <alignment horizontal="center" vertical="center"/>
      <protection hidden="1"/>
    </xf>
    <xf numFmtId="0" fontId="23" fillId="0" borderId="0" xfId="0" applyFont="1" applyAlignment="1">
      <alignment horizontal="center" vertical="center"/>
    </xf>
    <xf numFmtId="0" fontId="23" fillId="0" borderId="0" xfId="0" applyFont="1" applyAlignment="1" applyProtection="1">
      <alignment horizontal="distributed" vertical="center" shrinkToFit="1"/>
      <protection hidden="1"/>
    </xf>
    <xf numFmtId="0" fontId="28" fillId="0" borderId="0" xfId="0" applyFont="1" applyAlignment="1">
      <alignment horizontal="distributed" vertical="center" indent="1"/>
    </xf>
    <xf numFmtId="0" fontId="31" fillId="0" borderId="0" xfId="0" applyFont="1" applyAlignment="1">
      <alignment horizontal="center" vertical="center" shrinkToFit="1"/>
    </xf>
    <xf numFmtId="0" fontId="31" fillId="0" borderId="0" xfId="0" applyFont="1" applyAlignment="1">
      <alignment horizontal="center" vertical="center"/>
    </xf>
    <xf numFmtId="0" fontId="31" fillId="0" borderId="0" xfId="0" applyFont="1" applyAlignment="1">
      <alignment horizontal="right" vertical="center" shrinkToFit="1"/>
    </xf>
    <xf numFmtId="0" fontId="21" fillId="0" borderId="47" xfId="0" applyFont="1" applyBorder="1" applyAlignment="1">
      <alignment vertical="center" shrinkToFit="1"/>
    </xf>
    <xf numFmtId="0" fontId="21" fillId="0" borderId="51" xfId="0" applyFont="1" applyBorder="1" applyAlignment="1">
      <alignment vertical="center" shrinkToFit="1"/>
    </xf>
    <xf numFmtId="0" fontId="21" fillId="0" borderId="0" xfId="0" applyFont="1" applyAlignment="1">
      <alignment vertical="top" textRotation="255" shrinkToFit="1"/>
    </xf>
    <xf numFmtId="0" fontId="21" fillId="0" borderId="0" xfId="0" applyFont="1" applyAlignment="1">
      <alignment horizontal="right" shrinkToFit="1"/>
    </xf>
    <xf numFmtId="0" fontId="21" fillId="0" borderId="0" xfId="0" applyFont="1" applyAlignment="1">
      <alignment horizontal="left" shrinkToFit="1"/>
    </xf>
    <xf numFmtId="0" fontId="21" fillId="0" borderId="0" xfId="0" applyFont="1" applyAlignment="1" applyProtection="1">
      <alignment horizontal="center"/>
      <protection hidden="1"/>
    </xf>
    <xf numFmtId="0" fontId="21" fillId="0" borderId="0" xfId="0" applyFont="1" applyAlignment="1">
      <alignment horizontal="center" shrinkToFit="1"/>
    </xf>
    <xf numFmtId="0" fontId="21" fillId="0" borderId="0" xfId="0" applyFont="1" applyAlignment="1">
      <alignment horizontal="center"/>
    </xf>
    <xf numFmtId="0" fontId="25" fillId="0" borderId="0" xfId="0" applyFont="1" applyAlignment="1" applyProtection="1">
      <alignment horizontal="center" vertical="center"/>
      <protection hidden="1"/>
    </xf>
    <xf numFmtId="0" fontId="25" fillId="0" borderId="0" xfId="0" applyFont="1" applyAlignment="1">
      <alignment horizontal="center" vertical="center" shrinkToFit="1"/>
    </xf>
    <xf numFmtId="0" fontId="25" fillId="0" borderId="0" xfId="0" applyFont="1" applyAlignment="1">
      <alignment horizontal="center" vertical="center"/>
    </xf>
    <xf numFmtId="0" fontId="25" fillId="0" borderId="0" xfId="0" applyFont="1" applyAlignment="1">
      <alignment horizontal="right" vertical="center" shrinkToFit="1"/>
    </xf>
    <xf numFmtId="0" fontId="31" fillId="0" borderId="0" xfId="0" applyFont="1" applyAlignment="1" applyProtection="1">
      <alignment horizontal="center" vertical="center"/>
      <protection hidden="1"/>
    </xf>
    <xf numFmtId="0" fontId="31" fillId="0" borderId="0" xfId="0" applyFont="1" applyAlignment="1">
      <alignment vertical="center" shrinkToFit="1"/>
    </xf>
    <xf numFmtId="0" fontId="21" fillId="0" borderId="0" xfId="0" applyFont="1" applyAlignment="1" applyProtection="1">
      <alignment vertical="center" shrinkToFit="1"/>
      <protection locked="0"/>
    </xf>
    <xf numFmtId="0" fontId="32" fillId="0" borderId="0" xfId="0" applyFont="1" applyAlignment="1">
      <alignment vertical="center" shrinkToFit="1"/>
    </xf>
    <xf numFmtId="0" fontId="21" fillId="0" borderId="0" xfId="0" applyFont="1" applyAlignment="1">
      <alignment shrinkToFit="1"/>
    </xf>
    <xf numFmtId="0" fontId="25" fillId="0" borderId="0" xfId="0" applyFont="1" applyAlignment="1">
      <alignment vertical="center" shrinkToFit="1"/>
    </xf>
    <xf numFmtId="0" fontId="21" fillId="0" borderId="167" xfId="0" applyFont="1" applyBorder="1" applyAlignment="1">
      <alignment horizontal="center" vertical="center" shrinkToFit="1"/>
    </xf>
    <xf numFmtId="0" fontId="21" fillId="0" borderId="167" xfId="0" applyFont="1" applyBorder="1" applyAlignment="1" applyProtection="1">
      <alignment vertical="center" shrinkToFit="1"/>
      <protection locked="0"/>
    </xf>
    <xf numFmtId="0" fontId="21" fillId="0" borderId="168" xfId="0" applyFont="1" applyBorder="1" applyAlignment="1">
      <alignment horizontal="center" vertical="center" shrinkToFit="1"/>
    </xf>
    <xf numFmtId="0" fontId="21" fillId="0" borderId="49" xfId="0" applyFont="1" applyBorder="1" applyAlignment="1">
      <alignment horizontal="center" vertical="center" shrinkToFit="1"/>
    </xf>
    <xf numFmtId="0" fontId="21" fillId="0" borderId="0" xfId="0" applyFont="1" applyAlignment="1">
      <alignment horizontal="left" vertical="top" textRotation="255" shrinkToFit="1"/>
    </xf>
    <xf numFmtId="0" fontId="32" fillId="0" borderId="0" xfId="0" applyFont="1" applyAlignment="1">
      <alignment horizontal="center" vertical="center" shrinkToFit="1"/>
    </xf>
    <xf numFmtId="0" fontId="21" fillId="0" borderId="0" xfId="0" applyFont="1" applyAlignment="1">
      <alignment horizontal="right"/>
    </xf>
    <xf numFmtId="0" fontId="31" fillId="0" borderId="0" xfId="0" applyFont="1" applyAlignment="1">
      <alignment horizontal="left" vertical="center" shrinkToFit="1"/>
    </xf>
    <xf numFmtId="0" fontId="32" fillId="0" borderId="0" xfId="0" applyFont="1" applyAlignment="1">
      <alignment horizontal="right" vertical="center" shrinkToFit="1"/>
    </xf>
    <xf numFmtId="0" fontId="28" fillId="0" borderId="0" xfId="0" applyFont="1" applyAlignment="1">
      <alignment horizontal="distributed" vertical="center" justifyLastLine="1" shrinkToFit="1"/>
    </xf>
    <xf numFmtId="0" fontId="21" fillId="0" borderId="170" xfId="0" applyFont="1" applyBorder="1" applyAlignment="1">
      <alignment horizontal="center" vertical="center" shrinkToFit="1"/>
    </xf>
    <xf numFmtId="0" fontId="21" fillId="0" borderId="170" xfId="0" applyFont="1" applyBorder="1" applyAlignment="1">
      <alignment vertical="center" shrinkToFit="1"/>
    </xf>
    <xf numFmtId="0" fontId="21" fillId="0" borderId="0" xfId="0" applyFont="1" applyAlignment="1">
      <alignment horizontal="center" vertical="top" textRotation="255" shrinkToFit="1"/>
    </xf>
    <xf numFmtId="0" fontId="21" fillId="0" borderId="53" xfId="0" applyFont="1" applyBorder="1" applyAlignment="1">
      <alignment horizontal="center" vertical="center"/>
    </xf>
    <xf numFmtId="0" fontId="21" fillId="0" borderId="0" xfId="0" applyFont="1" applyAlignment="1">
      <alignment vertical="center" textRotation="255" shrinkToFit="1"/>
    </xf>
    <xf numFmtId="0" fontId="28" fillId="0" borderId="0" xfId="0" applyFont="1">
      <alignment vertical="center"/>
    </xf>
    <xf numFmtId="0" fontId="21" fillId="0" borderId="16" xfId="0" applyFont="1" applyBorder="1" applyAlignment="1">
      <alignment horizontal="center" vertical="center"/>
    </xf>
    <xf numFmtId="0" fontId="21" fillId="0" borderId="15" xfId="0" applyFont="1" applyBorder="1" applyAlignment="1">
      <alignment horizontal="center" vertical="center"/>
    </xf>
    <xf numFmtId="0" fontId="21" fillId="0" borderId="0" xfId="3" applyFont="1" applyAlignment="1">
      <alignment horizontal="center"/>
    </xf>
    <xf numFmtId="0" fontId="21" fillId="0" borderId="20" xfId="3" applyFont="1" applyBorder="1" applyAlignment="1">
      <alignment horizontal="center"/>
    </xf>
    <xf numFmtId="0" fontId="21" fillId="0" borderId="19" xfId="3" applyFont="1" applyBorder="1" applyAlignment="1">
      <alignment horizontal="center"/>
    </xf>
    <xf numFmtId="0" fontId="21" fillId="0" borderId="11" xfId="3" applyFont="1" applyBorder="1" applyAlignment="1">
      <alignment horizontal="center"/>
    </xf>
    <xf numFmtId="0" fontId="21" fillId="0" borderId="18" xfId="3" applyFont="1" applyBorder="1" applyAlignment="1">
      <alignment horizontal="center"/>
    </xf>
    <xf numFmtId="0" fontId="21" fillId="0" borderId="0" xfId="3" applyFont="1"/>
    <xf numFmtId="0" fontId="21" fillId="0" borderId="31" xfId="3" applyFont="1" applyBorder="1" applyProtection="1">
      <protection locked="0"/>
    </xf>
    <xf numFmtId="0" fontId="21" fillId="0" borderId="21" xfId="3" applyFont="1" applyBorder="1" applyAlignment="1">
      <alignment horizontal="distributed" vertical="center" justifyLastLine="1"/>
    </xf>
    <xf numFmtId="0" fontId="21" fillId="0" borderId="22" xfId="3" applyFont="1" applyBorder="1" applyAlignment="1">
      <alignment horizontal="distributed" vertical="center" justifyLastLine="1"/>
    </xf>
    <xf numFmtId="0" fontId="21" fillId="0" borderId="23" xfId="3" applyFont="1" applyBorder="1" applyAlignment="1">
      <alignment horizontal="distributed" vertical="center" justifyLastLine="1"/>
    </xf>
    <xf numFmtId="0" fontId="21" fillId="0" borderId="32" xfId="3" applyFont="1" applyBorder="1" applyProtection="1">
      <protection locked="0"/>
    </xf>
    <xf numFmtId="0" fontId="21" fillId="0" borderId="5" xfId="3" applyFont="1" applyBorder="1" applyAlignment="1">
      <alignment horizontal="distributed" vertical="center" justifyLastLine="1"/>
    </xf>
    <xf numFmtId="0" fontId="21" fillId="0" borderId="6" xfId="3" applyFont="1" applyBorder="1" applyAlignment="1">
      <alignment horizontal="distributed" vertical="center" justifyLastLine="1"/>
    </xf>
    <xf numFmtId="0" fontId="21" fillId="0" borderId="34" xfId="3" applyFont="1" applyBorder="1" applyProtection="1">
      <protection locked="0"/>
    </xf>
    <xf numFmtId="0" fontId="21" fillId="0" borderId="29" xfId="3" applyFont="1" applyBorder="1" applyAlignment="1">
      <alignment horizontal="distributed" vertical="center" justifyLastLine="1"/>
    </xf>
    <xf numFmtId="0" fontId="21" fillId="0" borderId="30" xfId="3" applyFont="1" applyBorder="1" applyAlignment="1">
      <alignment horizontal="distributed" vertical="center" justifyLastLine="1"/>
    </xf>
    <xf numFmtId="0" fontId="21" fillId="0" borderId="52" xfId="3" applyFont="1" applyBorder="1" applyAlignment="1">
      <alignment horizontal="distributed" vertical="center" justifyLastLine="1"/>
    </xf>
    <xf numFmtId="0" fontId="21" fillId="0" borderId="33" xfId="3" applyFont="1" applyBorder="1" applyProtection="1">
      <protection locked="0"/>
    </xf>
    <xf numFmtId="0" fontId="21" fillId="0" borderId="28" xfId="3" applyFont="1" applyBorder="1" applyAlignment="1">
      <alignment horizontal="distributed" vertical="center" justifyLastLine="1"/>
    </xf>
    <xf numFmtId="0" fontId="21" fillId="0" borderId="2" xfId="3" applyFont="1" applyBorder="1" applyAlignment="1">
      <alignment horizontal="distributed" vertical="center" justifyLastLine="1"/>
    </xf>
    <xf numFmtId="0" fontId="21" fillId="0" borderId="3" xfId="3" applyFont="1" applyBorder="1" applyAlignment="1">
      <alignment horizontal="distributed" vertical="center" justifyLastLine="1"/>
    </xf>
    <xf numFmtId="0" fontId="21" fillId="0" borderId="24" xfId="3" applyFont="1" applyBorder="1" applyAlignment="1">
      <alignment horizontal="distributed" vertical="center" justifyLastLine="1"/>
    </xf>
    <xf numFmtId="0" fontId="21" fillId="0" borderId="35" xfId="3" applyFont="1" applyBorder="1" applyProtection="1">
      <protection locked="0"/>
    </xf>
    <xf numFmtId="0" fontId="21" fillId="0" borderId="25" xfId="3" applyFont="1" applyBorder="1" applyAlignment="1">
      <alignment horizontal="distributed" vertical="center" justifyLastLine="1"/>
    </xf>
    <xf numFmtId="0" fontId="21" fillId="0" borderId="8" xfId="3" applyFont="1" applyBorder="1" applyAlignment="1">
      <alignment horizontal="distributed" vertical="center" justifyLastLine="1"/>
    </xf>
    <xf numFmtId="0" fontId="21" fillId="0" borderId="9" xfId="3" applyFont="1" applyBorder="1" applyAlignment="1">
      <alignment horizontal="distributed" vertical="center" justifyLastLine="1"/>
    </xf>
    <xf numFmtId="0" fontId="33" fillId="0" borderId="0" xfId="0" applyFont="1" applyAlignment="1">
      <alignment vertical="center" shrinkToFit="1"/>
    </xf>
    <xf numFmtId="0" fontId="32" fillId="0" borderId="0" xfId="0" applyFont="1">
      <alignment vertical="center"/>
    </xf>
    <xf numFmtId="0" fontId="37" fillId="0" borderId="0" xfId="0" applyFont="1" applyAlignment="1">
      <alignment vertical="center" shrinkToFit="1"/>
    </xf>
    <xf numFmtId="0" fontId="37" fillId="0" borderId="0" xfId="0" applyFont="1" applyAlignment="1">
      <alignment horizontal="left" vertical="center" shrinkToFit="1"/>
    </xf>
    <xf numFmtId="0" fontId="32" fillId="0" borderId="0" xfId="0" applyFont="1" applyAlignment="1" applyProtection="1">
      <alignment vertical="center" shrinkToFit="1"/>
      <protection locked="0"/>
    </xf>
    <xf numFmtId="0" fontId="32" fillId="0" borderId="0" xfId="0" applyFont="1" applyAlignment="1" applyProtection="1">
      <alignment horizontal="left" vertical="center" shrinkToFit="1"/>
      <protection locked="0"/>
    </xf>
    <xf numFmtId="0" fontId="32" fillId="0" borderId="0" xfId="0" applyFont="1" applyAlignment="1">
      <alignment horizontal="right" vertical="top" textRotation="255" shrinkToFit="1"/>
    </xf>
    <xf numFmtId="0" fontId="32" fillId="0" borderId="0" xfId="0" applyFont="1" applyAlignment="1">
      <alignment horizontal="left" vertical="top" textRotation="255" shrinkToFit="1"/>
    </xf>
    <xf numFmtId="0" fontId="36" fillId="0" borderId="0" xfId="0" applyFont="1" applyAlignment="1">
      <alignment horizontal="center" vertical="center" shrinkToFit="1"/>
    </xf>
    <xf numFmtId="0" fontId="32" fillId="0" borderId="0" xfId="0" applyFont="1" applyAlignment="1">
      <alignment horizontal="center" vertical="top" shrinkToFit="1"/>
    </xf>
    <xf numFmtId="0" fontId="32" fillId="0" borderId="0" xfId="0" applyFont="1" applyAlignment="1">
      <alignment horizontal="left" vertical="center" shrinkToFit="1"/>
    </xf>
    <xf numFmtId="0" fontId="33" fillId="0" borderId="0" xfId="0" applyFont="1" applyAlignment="1">
      <alignment vertical="center" textRotation="255" shrinkToFit="1"/>
    </xf>
    <xf numFmtId="0" fontId="33" fillId="0" borderId="12" xfId="0" applyFont="1" applyBorder="1" applyAlignment="1">
      <alignment vertical="center" textRotation="255" shrinkToFit="1"/>
    </xf>
    <xf numFmtId="0" fontId="33" fillId="0" borderId="37" xfId="0" applyFont="1" applyBorder="1" applyAlignment="1">
      <alignment vertical="center" textRotation="255" shrinkToFit="1"/>
    </xf>
    <xf numFmtId="0" fontId="21" fillId="0" borderId="0" xfId="0" applyFont="1" applyAlignment="1">
      <alignment horizontal="center" vertical="distributed" textRotation="255" shrinkToFit="1"/>
    </xf>
    <xf numFmtId="0" fontId="23" fillId="0" borderId="0" xfId="0" applyFont="1" applyAlignment="1">
      <alignment horizontal="center" vertical="distributed" textRotation="255" shrinkToFit="1"/>
    </xf>
    <xf numFmtId="0" fontId="32" fillId="0" borderId="0" xfId="0" applyFont="1" applyAlignment="1">
      <alignment horizontal="left" vertical="distributed" shrinkToFit="1"/>
    </xf>
    <xf numFmtId="0" fontId="21" fillId="0" borderId="5" xfId="1" applyFont="1" applyBorder="1"/>
    <xf numFmtId="0" fontId="21" fillId="0" borderId="5" xfId="0" applyFont="1" applyBorder="1" applyAlignment="1"/>
    <xf numFmtId="0" fontId="21" fillId="0" borderId="0" xfId="1" applyFont="1"/>
    <xf numFmtId="0" fontId="21" fillId="0" borderId="55" xfId="0" applyFont="1" applyBorder="1">
      <alignment vertical="center"/>
    </xf>
    <xf numFmtId="0" fontId="21" fillId="0" borderId="56" xfId="0" applyFont="1" applyBorder="1">
      <alignment vertical="center"/>
    </xf>
    <xf numFmtId="0" fontId="21" fillId="0" borderId="57" xfId="0" applyFont="1" applyBorder="1">
      <alignment vertical="center"/>
    </xf>
    <xf numFmtId="0" fontId="21" fillId="0" borderId="58" xfId="0" applyFont="1" applyBorder="1">
      <alignment vertical="center"/>
    </xf>
    <xf numFmtId="0" fontId="21" fillId="0" borderId="59" xfId="0" applyFont="1" applyBorder="1">
      <alignment vertical="center"/>
    </xf>
    <xf numFmtId="0" fontId="39" fillId="0" borderId="0" xfId="0" applyFont="1" applyAlignment="1">
      <alignment horizontal="center" vertical="center"/>
    </xf>
    <xf numFmtId="0" fontId="21" fillId="0" borderId="60" xfId="0" applyFont="1" applyBorder="1">
      <alignment vertical="center"/>
    </xf>
    <xf numFmtId="176" fontId="34" fillId="0" borderId="0" xfId="0" applyNumberFormat="1" applyFont="1">
      <alignment vertical="center"/>
    </xf>
    <xf numFmtId="0" fontId="22" fillId="0" borderId="61" xfId="0" applyFont="1" applyBorder="1" applyAlignment="1">
      <alignment horizontal="center" vertical="center"/>
    </xf>
    <xf numFmtId="3" fontId="22" fillId="0" borderId="62" xfId="0" applyNumberFormat="1" applyFont="1" applyBorder="1">
      <alignment vertical="center"/>
    </xf>
    <xf numFmtId="3" fontId="22" fillId="0" borderId="63" xfId="0" applyNumberFormat="1" applyFont="1" applyBorder="1">
      <alignment vertical="center"/>
    </xf>
    <xf numFmtId="0" fontId="21" fillId="0" borderId="67" xfId="0" applyFont="1" applyBorder="1">
      <alignment vertical="center"/>
    </xf>
    <xf numFmtId="0" fontId="21" fillId="0" borderId="68" xfId="0" applyFont="1" applyBorder="1" applyAlignment="1"/>
    <xf numFmtId="0" fontId="21" fillId="0" borderId="68" xfId="0" applyFont="1" applyBorder="1">
      <alignment vertical="center"/>
    </xf>
    <xf numFmtId="0" fontId="21" fillId="0" borderId="69" xfId="0" applyFont="1" applyBorder="1">
      <alignment vertical="center"/>
    </xf>
    <xf numFmtId="0" fontId="21" fillId="0" borderId="70" xfId="0" applyFont="1" applyBorder="1">
      <alignment vertical="center"/>
    </xf>
    <xf numFmtId="0" fontId="21" fillId="0" borderId="71" xfId="0" applyFont="1" applyBorder="1">
      <alignment vertical="center"/>
    </xf>
    <xf numFmtId="58" fontId="34" fillId="0" borderId="0" xfId="0" applyNumberFormat="1" applyFont="1">
      <alignment vertical="center"/>
    </xf>
    <xf numFmtId="0" fontId="21" fillId="0" borderId="72" xfId="0" applyFont="1" applyBorder="1">
      <alignment vertical="center"/>
    </xf>
    <xf numFmtId="0" fontId="40" fillId="0" borderId="0" xfId="2" applyFont="1">
      <alignment vertical="center"/>
    </xf>
    <xf numFmtId="0" fontId="21" fillId="0" borderId="0" xfId="4" applyFont="1"/>
    <xf numFmtId="0" fontId="21" fillId="0" borderId="0" xfId="0" applyFont="1" applyAlignment="1"/>
    <xf numFmtId="0" fontId="40" fillId="0" borderId="0" xfId="2" applyFont="1" applyAlignment="1">
      <alignment horizontal="center" vertical="center"/>
    </xf>
    <xf numFmtId="0" fontId="21" fillId="0" borderId="90" xfId="0" applyFont="1" applyBorder="1">
      <alignment vertical="center"/>
    </xf>
    <xf numFmtId="0" fontId="21" fillId="0" borderId="91" xfId="0" applyFont="1" applyBorder="1">
      <alignment vertical="center"/>
    </xf>
    <xf numFmtId="0" fontId="21" fillId="0" borderId="90" xfId="0" applyFont="1" applyBorder="1" applyAlignment="1"/>
    <xf numFmtId="0" fontId="21" fillId="0" borderId="92" xfId="0" applyFont="1" applyBorder="1">
      <alignment vertical="center"/>
    </xf>
    <xf numFmtId="0" fontId="21" fillId="0" borderId="13" xfId="0" applyFont="1" applyBorder="1">
      <alignment vertical="center"/>
    </xf>
    <xf numFmtId="0" fontId="21" fillId="0" borderId="92" xfId="0" applyFont="1" applyBorder="1" applyAlignment="1"/>
    <xf numFmtId="0" fontId="35" fillId="0" borderId="95" xfId="2" applyFont="1" applyBorder="1" applyAlignment="1">
      <alignment horizontal="center" vertical="center" shrinkToFit="1"/>
    </xf>
    <xf numFmtId="0" fontId="35" fillId="0" borderId="96" xfId="2" applyFont="1" applyBorder="1" applyAlignment="1">
      <alignment horizontal="center" vertical="center" shrinkToFit="1"/>
    </xf>
    <xf numFmtId="0" fontId="40" fillId="0" borderId="16" xfId="2" applyFont="1" applyBorder="1" applyAlignment="1">
      <alignment horizontal="center" vertical="center"/>
    </xf>
    <xf numFmtId="0" fontId="40" fillId="0" borderId="46" xfId="2" applyFont="1" applyBorder="1" applyAlignment="1">
      <alignment horizontal="center" vertical="center"/>
    </xf>
    <xf numFmtId="0" fontId="40" fillId="0" borderId="12" xfId="2" applyFont="1" applyBorder="1" applyAlignment="1">
      <alignment horizontal="center" vertical="center"/>
    </xf>
    <xf numFmtId="0" fontId="21" fillId="0" borderId="0" xfId="4" applyFont="1" applyAlignment="1">
      <alignment horizontal="center" vertical="center"/>
    </xf>
    <xf numFmtId="0" fontId="40" fillId="0" borderId="37" xfId="2" applyFont="1" applyBorder="1" applyAlignment="1">
      <alignment horizontal="center" vertical="center"/>
    </xf>
    <xf numFmtId="0" fontId="32" fillId="0" borderId="119" xfId="2" applyFont="1" applyBorder="1" applyAlignment="1">
      <alignment horizontal="center" vertical="center" shrinkToFit="1"/>
    </xf>
    <xf numFmtId="0" fontId="32" fillId="0" borderId="0" xfId="2" applyFont="1" applyAlignment="1">
      <alignment horizontal="center" vertical="center" shrinkToFit="1"/>
    </xf>
    <xf numFmtId="0" fontId="32" fillId="0" borderId="120" xfId="2" applyFont="1" applyBorder="1" applyAlignment="1">
      <alignment horizontal="center" vertical="center" shrinkToFit="1"/>
    </xf>
    <xf numFmtId="0" fontId="40" fillId="0" borderId="37" xfId="4" applyFont="1" applyBorder="1" applyAlignment="1">
      <alignment horizontal="center" vertical="center"/>
    </xf>
    <xf numFmtId="0" fontId="40" fillId="0" borderId="14" xfId="2" applyFont="1" applyBorder="1" applyAlignment="1">
      <alignment horizontal="center" vertical="center"/>
    </xf>
    <xf numFmtId="0" fontId="40" fillId="0" borderId="15" xfId="2" applyFont="1" applyBorder="1" applyAlignment="1">
      <alignment horizontal="center" vertical="center"/>
    </xf>
    <xf numFmtId="0" fontId="40" fillId="0" borderId="21" xfId="2" applyFont="1" applyBorder="1" applyAlignment="1">
      <alignment horizontal="center" vertical="center"/>
    </xf>
    <xf numFmtId="0" fontId="32" fillId="0" borderId="108" xfId="2" applyFont="1" applyBorder="1" applyAlignment="1">
      <alignment horizontal="center" vertical="center" shrinkToFit="1"/>
    </xf>
    <xf numFmtId="0" fontId="32" fillId="0" borderId="105" xfId="2" applyFont="1" applyBorder="1" applyAlignment="1">
      <alignment horizontal="center" vertical="center" shrinkToFit="1"/>
    </xf>
    <xf numFmtId="0" fontId="32" fillId="0" borderId="82" xfId="2" applyFont="1" applyBorder="1" applyAlignment="1">
      <alignment horizontal="center" vertical="center" shrinkToFit="1"/>
    </xf>
    <xf numFmtId="0" fontId="32" fillId="0" borderId="83" xfId="2" applyFont="1" applyBorder="1" applyAlignment="1">
      <alignment horizontal="center" vertical="center" shrinkToFit="1"/>
    </xf>
    <xf numFmtId="0" fontId="32" fillId="0" borderId="81" xfId="2" applyFont="1" applyBorder="1" applyAlignment="1">
      <alignment horizontal="center" vertical="center" shrinkToFit="1"/>
    </xf>
    <xf numFmtId="0" fontId="32" fillId="0" borderId="80" xfId="2" applyFont="1" applyBorder="1" applyAlignment="1">
      <alignment horizontal="center" vertical="center" shrinkToFit="1"/>
    </xf>
    <xf numFmtId="0" fontId="21" fillId="0" borderId="0" xfId="4" applyFont="1" applyAlignment="1">
      <alignment horizontal="right"/>
    </xf>
    <xf numFmtId="0" fontId="21" fillId="4" borderId="0" xfId="4" applyFont="1" applyFill="1"/>
    <xf numFmtId="0" fontId="32" fillId="0" borderId="97" xfId="2" applyFont="1" applyBorder="1" applyAlignment="1">
      <alignment horizontal="center" vertical="center" shrinkToFit="1"/>
    </xf>
    <xf numFmtId="0" fontId="32" fillId="0" borderId="113" xfId="2" applyFont="1" applyBorder="1" applyAlignment="1">
      <alignment horizontal="center" vertical="center" shrinkToFit="1"/>
    </xf>
    <xf numFmtId="0" fontId="32" fillId="0" borderId="109" xfId="2" applyFont="1" applyBorder="1" applyAlignment="1">
      <alignment horizontal="center" vertical="center" shrinkToFit="1"/>
    </xf>
    <xf numFmtId="0" fontId="32" fillId="0" borderId="115" xfId="2" applyFont="1" applyBorder="1" applyAlignment="1">
      <alignment horizontal="center" vertical="center" shrinkToFit="1"/>
    </xf>
    <xf numFmtId="0" fontId="32" fillId="0" borderId="116" xfId="2" applyFont="1" applyBorder="1" applyAlignment="1">
      <alignment horizontal="center" vertical="center" shrinkToFit="1"/>
    </xf>
    <xf numFmtId="0" fontId="32" fillId="0" borderId="100" xfId="2" applyFont="1" applyBorder="1" applyAlignment="1">
      <alignment horizontal="center" vertical="center" shrinkToFit="1"/>
    </xf>
    <xf numFmtId="0" fontId="32" fillId="0" borderId="74" xfId="2" applyFont="1" applyBorder="1" applyAlignment="1">
      <alignment horizontal="center" vertical="center" shrinkToFit="1"/>
    </xf>
    <xf numFmtId="0" fontId="32" fillId="0" borderId="98" xfId="2" applyFont="1" applyBorder="1" applyAlignment="1">
      <alignment horizontal="center" vertical="center" shrinkToFit="1"/>
    </xf>
    <xf numFmtId="0" fontId="32" fillId="0" borderId="78" xfId="2" applyFont="1" applyBorder="1" applyAlignment="1">
      <alignment horizontal="center" vertical="center" shrinkToFit="1"/>
    </xf>
    <xf numFmtId="0" fontId="32" fillId="0" borderId="79" xfId="2" applyFont="1" applyBorder="1" applyAlignment="1">
      <alignment horizontal="center" vertical="center" shrinkToFit="1"/>
    </xf>
    <xf numFmtId="0" fontId="32" fillId="0" borderId="107" xfId="2" applyFont="1" applyBorder="1" applyAlignment="1">
      <alignment horizontal="center" vertical="center" shrinkToFit="1"/>
    </xf>
    <xf numFmtId="0" fontId="32" fillId="0" borderId="104" xfId="2" applyFont="1" applyBorder="1" applyAlignment="1">
      <alignment horizontal="center" vertical="center" shrinkToFit="1"/>
    </xf>
    <xf numFmtId="0" fontId="32" fillId="0" borderId="101" xfId="2" applyFont="1" applyBorder="1" applyAlignment="1">
      <alignment horizontal="center" vertical="center" shrinkToFit="1"/>
    </xf>
    <xf numFmtId="0" fontId="32" fillId="0" borderId="99" xfId="2" applyFont="1" applyBorder="1" applyAlignment="1">
      <alignment horizontal="center" vertical="center" shrinkToFit="1"/>
    </xf>
    <xf numFmtId="0" fontId="21" fillId="0" borderId="93" xfId="0" applyFont="1" applyBorder="1">
      <alignment vertical="center"/>
    </xf>
    <xf numFmtId="0" fontId="21" fillId="0" borderId="94" xfId="0" applyFont="1" applyBorder="1">
      <alignment vertical="center"/>
    </xf>
    <xf numFmtId="0" fontId="21" fillId="0" borderId="93" xfId="0" applyFont="1" applyBorder="1" applyAlignment="1"/>
    <xf numFmtId="0" fontId="32" fillId="0" borderId="110" xfId="2" applyFont="1" applyBorder="1" applyAlignment="1">
      <alignment horizontal="center" vertical="center" shrinkToFit="1"/>
    </xf>
    <xf numFmtId="0" fontId="32" fillId="0" borderId="114" xfId="2" applyFont="1" applyBorder="1" applyAlignment="1">
      <alignment horizontal="center" vertical="center" shrinkToFit="1"/>
    </xf>
    <xf numFmtId="0" fontId="32" fillId="0" borderId="111" xfId="2" applyFont="1" applyBorder="1" applyAlignment="1">
      <alignment horizontal="center" vertical="center" shrinkToFit="1"/>
    </xf>
    <xf numFmtId="0" fontId="32" fillId="0" borderId="117" xfId="2" applyFont="1" applyBorder="1" applyAlignment="1">
      <alignment horizontal="center" vertical="center" shrinkToFit="1"/>
    </xf>
    <xf numFmtId="0" fontId="32" fillId="0" borderId="118" xfId="2" applyFont="1" applyBorder="1" applyAlignment="1">
      <alignment horizontal="center" vertical="center" shrinkToFit="1"/>
    </xf>
    <xf numFmtId="0" fontId="32" fillId="0" borderId="112" xfId="2" applyFont="1" applyBorder="1" applyAlignment="1">
      <alignment horizontal="center" vertical="center" shrinkToFit="1"/>
    </xf>
    <xf numFmtId="0" fontId="32" fillId="0" borderId="75" xfId="2" applyFont="1" applyBorder="1" applyAlignment="1">
      <alignment horizontal="center" vertical="center" shrinkToFit="1"/>
    </xf>
    <xf numFmtId="0" fontId="32" fillId="0" borderId="102" xfId="2" applyFont="1" applyBorder="1" applyAlignment="1">
      <alignment horizontal="center" vertical="center" shrinkToFit="1"/>
    </xf>
    <xf numFmtId="0" fontId="32" fillId="0" borderId="84" xfId="2" applyFont="1" applyBorder="1" applyAlignment="1">
      <alignment horizontal="center" vertical="center" shrinkToFit="1"/>
    </xf>
    <xf numFmtId="0" fontId="32" fillId="0" borderId="85" xfId="2" applyFont="1" applyBorder="1" applyAlignment="1">
      <alignment horizontal="center" vertical="center" shrinkToFit="1"/>
    </xf>
    <xf numFmtId="0" fontId="32" fillId="0" borderId="106" xfId="2" applyFont="1" applyBorder="1" applyAlignment="1">
      <alignment horizontal="center" vertical="center" shrinkToFit="1"/>
    </xf>
    <xf numFmtId="0" fontId="32" fillId="0" borderId="103" xfId="2" applyFont="1" applyBorder="1" applyAlignment="1">
      <alignment horizontal="center" vertical="center" shrinkToFit="1"/>
    </xf>
    <xf numFmtId="0" fontId="40" fillId="0" borderId="85" xfId="2" applyFont="1" applyBorder="1" applyAlignment="1">
      <alignment horizontal="center" vertical="center"/>
    </xf>
    <xf numFmtId="0" fontId="40" fillId="0" borderId="86" xfId="2" applyFont="1" applyBorder="1" applyAlignment="1">
      <alignment horizontal="center" vertical="center"/>
    </xf>
    <xf numFmtId="0" fontId="40" fillId="0" borderId="78" xfId="2" applyFont="1" applyBorder="1" applyAlignment="1">
      <alignment horizontal="center" vertical="center"/>
    </xf>
    <xf numFmtId="0" fontId="40" fillId="0" borderId="79" xfId="2" applyFont="1" applyBorder="1" applyAlignment="1">
      <alignment horizontal="center" vertical="center"/>
    </xf>
    <xf numFmtId="0" fontId="40" fillId="0" borderId="82" xfId="2" applyFont="1" applyBorder="1" applyAlignment="1">
      <alignment horizontal="center" vertical="center"/>
    </xf>
    <xf numFmtId="0" fontId="40" fillId="0" borderId="83" xfId="2" applyFont="1" applyBorder="1" applyAlignment="1">
      <alignment horizontal="center" vertical="center"/>
    </xf>
    <xf numFmtId="0" fontId="32" fillId="0" borderId="73" xfId="2" applyFont="1" applyBorder="1" applyAlignment="1">
      <alignment horizontal="center" vertical="center" shrinkToFit="1"/>
    </xf>
    <xf numFmtId="0" fontId="40" fillId="0" borderId="97" xfId="4" applyFont="1" applyBorder="1" applyAlignment="1">
      <alignment horizontal="right" shrinkToFit="1"/>
    </xf>
    <xf numFmtId="0" fontId="40" fillId="0" borderId="100" xfId="4" applyFont="1" applyBorder="1" applyAlignment="1">
      <alignment horizontal="left" shrinkToFit="1"/>
    </xf>
    <xf numFmtId="0" fontId="40" fillId="0" borderId="98" xfId="4" applyFont="1" applyBorder="1" applyAlignment="1">
      <alignment horizontal="right" shrinkToFit="1"/>
    </xf>
    <xf numFmtId="0" fontId="40" fillId="0" borderId="101" xfId="4" applyFont="1" applyBorder="1" applyAlignment="1">
      <alignment horizontal="left" shrinkToFit="1"/>
    </xf>
    <xf numFmtId="0" fontId="32" fillId="0" borderId="80" xfId="4" applyFont="1" applyBorder="1" applyAlignment="1">
      <alignment horizontal="center" shrinkToFit="1"/>
    </xf>
    <xf numFmtId="0" fontId="32" fillId="0" borderId="101" xfId="4" applyFont="1" applyBorder="1" applyAlignment="1">
      <alignment horizontal="center" shrinkToFit="1"/>
    </xf>
    <xf numFmtId="0" fontId="40" fillId="0" borderId="87" xfId="2" applyFont="1" applyBorder="1" applyAlignment="1">
      <alignment horizontal="center" vertical="center"/>
    </xf>
    <xf numFmtId="0" fontId="40" fillId="0" borderId="88" xfId="2" applyFont="1" applyBorder="1" applyAlignment="1">
      <alignment horizontal="center" vertical="center"/>
    </xf>
    <xf numFmtId="0" fontId="40" fillId="0" borderId="89" xfId="2" applyFont="1" applyBorder="1" applyAlignment="1">
      <alignment horizontal="center" vertical="center"/>
    </xf>
    <xf numFmtId="0" fontId="40" fillId="0" borderId="72" xfId="2" applyFont="1" applyBorder="1" applyAlignment="1">
      <alignment horizontal="center" vertical="center"/>
    </xf>
    <xf numFmtId="0" fontId="40" fillId="0" borderId="75" xfId="2" applyFont="1" applyBorder="1" applyAlignment="1">
      <alignment horizontal="center" vertical="center"/>
    </xf>
    <xf numFmtId="0" fontId="40" fillId="0" borderId="80" xfId="2" applyFont="1" applyBorder="1" applyAlignment="1">
      <alignment horizontal="center" vertical="center"/>
    </xf>
    <xf numFmtId="0" fontId="40" fillId="0" borderId="81" xfId="2" applyFont="1" applyBorder="1" applyAlignment="1">
      <alignment horizontal="center" vertical="center"/>
    </xf>
    <xf numFmtId="0" fontId="40" fillId="0" borderId="84" xfId="2" applyFont="1" applyBorder="1" applyAlignment="1">
      <alignment horizontal="center" vertical="center"/>
    </xf>
    <xf numFmtId="0" fontId="32" fillId="0" borderId="0" xfId="2" applyFont="1" applyAlignment="1">
      <alignment vertical="center" shrinkToFit="1"/>
    </xf>
    <xf numFmtId="0" fontId="48" fillId="0" borderId="0" xfId="2" applyFont="1" applyAlignment="1">
      <alignment horizontal="right" vertical="center"/>
    </xf>
    <xf numFmtId="0" fontId="21" fillId="0" borderId="172" xfId="0" applyFont="1" applyBorder="1" applyAlignment="1">
      <alignment horizontal="center" vertical="center" shrinkToFit="1"/>
    </xf>
    <xf numFmtId="0" fontId="21" fillId="0" borderId="0" xfId="0" applyFont="1" applyProtection="1">
      <alignment vertical="center"/>
      <protection locked="0"/>
    </xf>
    <xf numFmtId="0" fontId="32" fillId="0" borderId="0" xfId="0" applyFont="1" applyAlignment="1">
      <alignment horizontal="distributed" vertical="center" shrinkToFit="1"/>
    </xf>
    <xf numFmtId="0" fontId="21" fillId="0" borderId="172" xfId="0" applyFont="1" applyBorder="1" applyAlignment="1">
      <alignment vertical="center" shrinkToFit="1"/>
    </xf>
    <xf numFmtId="0" fontId="21" fillId="0" borderId="0" xfId="0" applyFont="1" applyAlignment="1">
      <alignment horizontal="center" vertical="center" wrapText="1"/>
    </xf>
    <xf numFmtId="0" fontId="21" fillId="0" borderId="169" xfId="0" applyFont="1" applyBorder="1" applyAlignment="1">
      <alignment horizontal="center" vertical="center" shrinkToFit="1"/>
    </xf>
    <xf numFmtId="0" fontId="21" fillId="0" borderId="176" xfId="0" applyFont="1" applyBorder="1" applyAlignment="1">
      <alignment horizontal="center" vertical="center" shrinkToFit="1"/>
    </xf>
    <xf numFmtId="22" fontId="32" fillId="0" borderId="0" xfId="0" applyNumberFormat="1" applyFont="1" applyAlignment="1">
      <alignment vertical="center" shrinkToFit="1"/>
    </xf>
    <xf numFmtId="0" fontId="32" fillId="0" borderId="0" xfId="0" applyFont="1" applyAlignment="1">
      <alignment horizontal="center" shrinkToFit="1"/>
    </xf>
    <xf numFmtId="0" fontId="23" fillId="0" borderId="0" xfId="0" applyFont="1" applyAlignment="1">
      <alignment horizontal="distributed" vertical="center" justifyLastLine="1" shrinkToFit="1"/>
    </xf>
    <xf numFmtId="0" fontId="35" fillId="0" borderId="0" xfId="0" applyFont="1" applyAlignment="1">
      <alignment horizontal="right" vertical="center" shrinkToFit="1"/>
    </xf>
    <xf numFmtId="0" fontId="32" fillId="0" borderId="166" xfId="0" applyFont="1" applyBorder="1" applyAlignment="1">
      <alignment vertical="center" shrinkToFit="1"/>
    </xf>
    <xf numFmtId="0" fontId="32" fillId="0" borderId="167" xfId="0" applyFont="1" applyBorder="1" applyAlignment="1">
      <alignment vertical="center" shrinkToFit="1"/>
    </xf>
    <xf numFmtId="0" fontId="32" fillId="0" borderId="168" xfId="0" applyFont="1" applyBorder="1" applyAlignment="1">
      <alignment vertical="center" shrinkToFit="1"/>
    </xf>
    <xf numFmtId="0" fontId="28" fillId="0" borderId="0" xfId="0" applyFont="1" applyAlignment="1">
      <alignment horizontal="left" vertical="top" textRotation="255" shrinkToFit="1"/>
    </xf>
    <xf numFmtId="0" fontId="35" fillId="0" borderId="0" xfId="0" applyFont="1">
      <alignment vertical="center"/>
    </xf>
    <xf numFmtId="0" fontId="32" fillId="0" borderId="48" xfId="0" applyFont="1" applyBorder="1" applyAlignment="1">
      <alignment vertical="center" shrinkToFit="1"/>
    </xf>
    <xf numFmtId="0" fontId="32" fillId="0" borderId="49" xfId="0" applyFont="1" applyBorder="1" applyAlignment="1">
      <alignment vertical="center" shrinkToFit="1"/>
    </xf>
    <xf numFmtId="0" fontId="35" fillId="0" borderId="0" xfId="0" applyFont="1" applyAlignment="1">
      <alignment vertical="center" shrinkToFit="1"/>
    </xf>
    <xf numFmtId="0" fontId="37" fillId="0" borderId="181" xfId="0" applyFont="1" applyBorder="1" applyAlignment="1">
      <alignment vertical="center" shrinkToFit="1"/>
    </xf>
    <xf numFmtId="0" fontId="37" fillId="0" borderId="176" xfId="0" applyFont="1" applyBorder="1" applyAlignment="1">
      <alignment vertical="center" shrinkToFit="1"/>
    </xf>
    <xf numFmtId="0" fontId="37" fillId="0" borderId="182" xfId="0" applyFont="1" applyBorder="1" applyAlignment="1">
      <alignment vertical="center" shrinkToFit="1"/>
    </xf>
    <xf numFmtId="0" fontId="32" fillId="0" borderId="169" xfId="0" applyFont="1" applyBorder="1" applyAlignment="1">
      <alignment vertical="center" shrinkToFit="1"/>
    </xf>
    <xf numFmtId="0" fontId="32" fillId="0" borderId="170" xfId="0" applyFont="1" applyBorder="1" applyAlignment="1">
      <alignment vertical="center" shrinkToFit="1"/>
    </xf>
    <xf numFmtId="0" fontId="32" fillId="0" borderId="169" xfId="0" applyFont="1" applyBorder="1" applyAlignment="1">
      <alignment horizontal="right" vertical="top" textRotation="255" shrinkToFit="1"/>
    </xf>
    <xf numFmtId="0" fontId="32" fillId="0" borderId="170" xfId="0" applyFont="1" applyBorder="1" applyAlignment="1">
      <alignment horizontal="left" vertical="top" textRotation="255" shrinkToFit="1"/>
    </xf>
    <xf numFmtId="0" fontId="32" fillId="0" borderId="181" xfId="0" applyFont="1" applyBorder="1" applyAlignment="1">
      <alignment vertical="center" shrinkToFit="1"/>
    </xf>
    <xf numFmtId="0" fontId="32" fillId="0" borderId="176" xfId="0" applyFont="1" applyBorder="1" applyAlignment="1">
      <alignment horizontal="right" vertical="center" shrinkToFit="1"/>
    </xf>
    <xf numFmtId="0" fontId="32" fillId="0" borderId="176" xfId="0" applyFont="1" applyBorder="1" applyAlignment="1">
      <alignment vertical="center" shrinkToFit="1"/>
    </xf>
    <xf numFmtId="0" fontId="32" fillId="0" borderId="182" xfId="0" applyFont="1" applyBorder="1" applyAlignment="1">
      <alignment horizontal="center" vertical="center" shrinkToFit="1"/>
    </xf>
    <xf numFmtId="0" fontId="32" fillId="0" borderId="181" xfId="0" applyFont="1" applyBorder="1" applyAlignment="1">
      <alignment horizontal="center" vertical="center" shrinkToFit="1"/>
    </xf>
    <xf numFmtId="0" fontId="32" fillId="0" borderId="176" xfId="0" applyFont="1" applyBorder="1" applyAlignment="1">
      <alignment horizontal="left" vertical="center" shrinkToFit="1"/>
    </xf>
    <xf numFmtId="0" fontId="32" fillId="0" borderId="182" xfId="0" applyFont="1" applyBorder="1" applyAlignment="1">
      <alignment vertical="center" shrinkToFit="1"/>
    </xf>
    <xf numFmtId="0" fontId="32" fillId="0" borderId="170" xfId="0" applyFont="1" applyBorder="1" applyAlignment="1">
      <alignment horizontal="center" vertical="center" shrinkToFit="1"/>
    </xf>
    <xf numFmtId="0" fontId="32" fillId="0" borderId="169" xfId="0" applyFont="1" applyBorder="1" applyAlignment="1">
      <alignment horizontal="center" vertical="center" shrinkToFit="1"/>
    </xf>
    <xf numFmtId="0" fontId="32" fillId="0" borderId="170" xfId="0" applyFont="1" applyBorder="1" applyAlignment="1" applyProtection="1">
      <alignment horizontal="left" vertical="center" shrinkToFit="1"/>
      <protection locked="0"/>
    </xf>
    <xf numFmtId="0" fontId="32" fillId="0" borderId="169" xfId="0" applyFont="1" applyBorder="1" applyAlignment="1">
      <alignment horizontal="right" vertical="center" shrinkToFit="1"/>
    </xf>
    <xf numFmtId="0" fontId="32" fillId="0" borderId="170" xfId="0" applyFont="1" applyBorder="1" applyAlignment="1">
      <alignment horizontal="left" vertical="center" shrinkToFit="1"/>
    </xf>
    <xf numFmtId="0" fontId="37" fillId="0" borderId="170" xfId="0" applyFont="1" applyBorder="1" applyAlignment="1">
      <alignment horizontal="center" vertical="center" shrinkToFit="1"/>
    </xf>
    <xf numFmtId="0" fontId="37" fillId="0" borderId="169" xfId="0" applyFont="1" applyBorder="1" applyAlignment="1">
      <alignment horizontal="center" vertical="center" shrinkToFit="1"/>
    </xf>
    <xf numFmtId="0" fontId="37" fillId="0" borderId="170" xfId="0" applyFont="1" applyBorder="1" applyAlignment="1">
      <alignment horizontal="left" vertical="center" shrinkToFit="1"/>
    </xf>
    <xf numFmtId="0" fontId="38" fillId="0" borderId="182" xfId="0" applyFont="1" applyBorder="1" applyAlignment="1">
      <alignment horizontal="center" shrinkToFit="1"/>
    </xf>
    <xf numFmtId="0" fontId="38" fillId="0" borderId="170" xfId="0" applyFont="1" applyBorder="1" applyAlignment="1">
      <alignment horizontal="center" shrinkToFit="1"/>
    </xf>
    <xf numFmtId="0" fontId="32" fillId="0" borderId="183" xfId="0" applyFont="1" applyBorder="1" applyAlignment="1">
      <alignment horizontal="center" shrinkToFit="1"/>
    </xf>
    <xf numFmtId="0" fontId="49" fillId="0" borderId="0" xfId="0" applyFont="1" applyAlignment="1">
      <alignment horizontal="center" vertical="distributed" textRotation="180" shrinkToFit="1"/>
    </xf>
    <xf numFmtId="0" fontId="49" fillId="0" borderId="12" xfId="0" applyFont="1" applyBorder="1" applyAlignment="1">
      <alignment horizontal="center" vertical="distributed" textRotation="180" shrinkToFit="1"/>
    </xf>
    <xf numFmtId="0" fontId="49" fillId="0" borderId="37" xfId="0" applyFont="1" applyBorder="1" applyAlignment="1">
      <alignment horizontal="center" vertical="distributed" textRotation="180" shrinkToFit="1"/>
    </xf>
    <xf numFmtId="0" fontId="51" fillId="0" borderId="12" xfId="0" applyFont="1" applyBorder="1" applyAlignment="1">
      <alignment horizontal="center" vertical="distributed" textRotation="180" shrinkToFit="1"/>
    </xf>
    <xf numFmtId="0" fontId="51" fillId="0" borderId="37" xfId="0" applyFont="1" applyBorder="1" applyAlignment="1">
      <alignment horizontal="center" vertical="distributed" textRotation="180" shrinkToFit="1"/>
    </xf>
    <xf numFmtId="0" fontId="51" fillId="0" borderId="0" xfId="0" applyFont="1" applyAlignment="1">
      <alignment horizontal="center" vertical="distributed" textRotation="180" shrinkToFit="1"/>
    </xf>
    <xf numFmtId="0" fontId="52" fillId="0" borderId="0" xfId="0" applyFont="1" applyAlignment="1">
      <alignment horizontal="center" vertical="distributed" textRotation="180" shrinkToFit="1"/>
    </xf>
    <xf numFmtId="0" fontId="52" fillId="0" borderId="12" xfId="0" applyFont="1" applyBorder="1" applyAlignment="1">
      <alignment vertical="distributed" textRotation="180" shrinkToFit="1"/>
    </xf>
    <xf numFmtId="0" fontId="52" fillId="0" borderId="37" xfId="0" applyFont="1" applyBorder="1" applyAlignment="1">
      <alignment horizontal="center" vertical="distributed" textRotation="180" shrinkToFit="1"/>
    </xf>
    <xf numFmtId="0" fontId="21" fillId="0" borderId="176" xfId="0" applyFont="1" applyBorder="1" applyAlignment="1">
      <alignment horizontal="center" vertical="center"/>
    </xf>
    <xf numFmtId="0" fontId="21" fillId="0" borderId="170" xfId="0" applyFont="1" applyBorder="1" applyAlignment="1">
      <alignment horizontal="center" vertical="center"/>
    </xf>
    <xf numFmtId="0" fontId="21" fillId="0" borderId="169" xfId="0" applyFont="1" applyBorder="1" applyAlignment="1">
      <alignment horizontal="center" vertical="center"/>
    </xf>
    <xf numFmtId="0" fontId="21" fillId="0" borderId="181" xfId="0" applyFont="1" applyBorder="1" applyAlignment="1">
      <alignment horizontal="left" vertical="center" shrinkToFit="1"/>
    </xf>
    <xf numFmtId="0" fontId="21" fillId="0" borderId="176" xfId="0" applyFont="1" applyBorder="1" applyAlignment="1">
      <alignment vertical="center" shrinkToFit="1"/>
    </xf>
    <xf numFmtId="0" fontId="21" fillId="0" borderId="182" xfId="0" applyFont="1" applyBorder="1" applyAlignment="1">
      <alignment vertical="center" shrinkToFit="1"/>
    </xf>
    <xf numFmtId="0" fontId="21" fillId="0" borderId="169" xfId="0" applyFont="1" applyBorder="1" applyAlignment="1">
      <alignment horizontal="left" vertical="center" shrinkToFit="1"/>
    </xf>
    <xf numFmtId="0" fontId="21" fillId="0" borderId="181" xfId="0" applyFont="1" applyBorder="1" applyAlignment="1">
      <alignment vertical="center" shrinkToFit="1"/>
    </xf>
    <xf numFmtId="0" fontId="21" fillId="0" borderId="169" xfId="0" applyFont="1" applyBorder="1" applyAlignment="1">
      <alignment vertical="center" shrinkToFit="1"/>
    </xf>
    <xf numFmtId="0" fontId="21" fillId="0" borderId="176" xfId="0" applyFont="1" applyBorder="1">
      <alignment vertical="center"/>
    </xf>
    <xf numFmtId="0" fontId="21" fillId="0" borderId="182" xfId="0" applyFont="1" applyBorder="1">
      <alignment vertical="center"/>
    </xf>
    <xf numFmtId="0" fontId="21" fillId="0" borderId="170" xfId="0" applyFont="1" applyBorder="1">
      <alignment vertical="center"/>
    </xf>
    <xf numFmtId="0" fontId="21" fillId="0" borderId="181" xfId="0" applyFont="1" applyBorder="1">
      <alignment vertical="center"/>
    </xf>
    <xf numFmtId="0" fontId="21" fillId="0" borderId="169" xfId="0" applyFont="1" applyBorder="1">
      <alignment vertical="center"/>
    </xf>
    <xf numFmtId="0" fontId="21" fillId="0" borderId="176" xfId="0" applyFont="1" applyBorder="1" applyAlignment="1">
      <alignment horizontal="right" vertical="center" shrinkToFit="1"/>
    </xf>
    <xf numFmtId="0" fontId="21" fillId="0" borderId="176" xfId="0" applyFont="1" applyBorder="1" applyAlignment="1">
      <alignment horizontal="left" vertical="center" shrinkToFit="1"/>
    </xf>
    <xf numFmtId="0" fontId="21" fillId="0" borderId="181" xfId="0" applyFont="1" applyBorder="1" applyAlignment="1">
      <alignment horizontal="center" vertical="center" shrinkToFit="1"/>
    </xf>
    <xf numFmtId="0" fontId="21" fillId="0" borderId="170" xfId="0" applyFont="1" applyBorder="1" applyAlignment="1">
      <alignment horizontal="left" vertical="center" shrinkToFit="1"/>
    </xf>
    <xf numFmtId="0" fontId="21" fillId="0" borderId="184" xfId="0" applyFont="1" applyBorder="1" applyAlignment="1">
      <alignment horizontal="center" vertical="center" shrinkToFit="1"/>
    </xf>
    <xf numFmtId="0" fontId="21" fillId="0" borderId="169" xfId="0" applyFont="1" applyBorder="1" applyAlignment="1">
      <alignment horizontal="right" vertical="center" shrinkToFit="1"/>
    </xf>
    <xf numFmtId="0" fontId="54" fillId="0" borderId="0" xfId="0" applyFont="1" applyAlignment="1">
      <alignment vertical="center" shrinkToFit="1"/>
    </xf>
    <xf numFmtId="0" fontId="54" fillId="0" borderId="0" xfId="0" applyFont="1">
      <alignment vertical="center"/>
    </xf>
    <xf numFmtId="0" fontId="54" fillId="0" borderId="169" xfId="0" applyFont="1" applyBorder="1" applyAlignment="1">
      <alignment vertical="center" shrinkToFit="1"/>
    </xf>
    <xf numFmtId="0" fontId="54" fillId="0" borderId="0" xfId="0" applyFont="1" applyAlignment="1">
      <alignment horizontal="right" vertical="center" shrinkToFit="1"/>
    </xf>
    <xf numFmtId="0" fontId="54" fillId="0" borderId="0" xfId="0" applyFont="1" applyAlignment="1">
      <alignment horizontal="center" vertical="center" shrinkToFit="1"/>
    </xf>
    <xf numFmtId="0" fontId="54" fillId="0" borderId="170" xfId="0" applyFont="1" applyBorder="1" applyAlignment="1">
      <alignment vertical="center" shrinkToFit="1"/>
    </xf>
    <xf numFmtId="0" fontId="54" fillId="0" borderId="0" xfId="0" applyFont="1" applyAlignment="1">
      <alignment horizontal="left" vertical="center" shrinkToFit="1"/>
    </xf>
    <xf numFmtId="0" fontId="54" fillId="0" borderId="170" xfId="0" applyFont="1" applyBorder="1">
      <alignment vertical="center"/>
    </xf>
    <xf numFmtId="0" fontId="54" fillId="0" borderId="0" xfId="0" applyFont="1" applyAlignment="1">
      <alignment horizontal="center" vertical="center"/>
    </xf>
    <xf numFmtId="0" fontId="54" fillId="0" borderId="169" xfId="0" applyFont="1" applyBorder="1">
      <alignment vertical="center"/>
    </xf>
    <xf numFmtId="0" fontId="54" fillId="0" borderId="169" xfId="0" applyFont="1" applyBorder="1" applyAlignment="1">
      <alignment horizontal="center" vertical="center" shrinkToFit="1"/>
    </xf>
    <xf numFmtId="0" fontId="23" fillId="0" borderId="0" xfId="0" applyFont="1" applyAlignment="1">
      <alignment horizontal="center" vertical="center" justifyLastLine="1" shrinkToFit="1"/>
    </xf>
    <xf numFmtId="0" fontId="21" fillId="0" borderId="171" xfId="0" applyFont="1" applyBorder="1" applyAlignment="1">
      <alignment horizontal="center" vertical="center"/>
    </xf>
    <xf numFmtId="0" fontId="21" fillId="0" borderId="172" xfId="0" applyFont="1" applyBorder="1" applyAlignment="1">
      <alignment horizontal="center" vertical="center"/>
    </xf>
    <xf numFmtId="0" fontId="23" fillId="0" borderId="154" xfId="0" applyFont="1" applyBorder="1">
      <alignment vertical="center"/>
    </xf>
    <xf numFmtId="0" fontId="23" fillId="0" borderId="0" xfId="0" applyFont="1" applyAlignment="1">
      <alignment horizontal="distributed" vertical="center"/>
    </xf>
    <xf numFmtId="0" fontId="21" fillId="0" borderId="45" xfId="0" applyFont="1" applyBorder="1" applyAlignment="1">
      <alignment horizontal="center" vertical="center"/>
    </xf>
    <xf numFmtId="0" fontId="21" fillId="0" borderId="46" xfId="0" applyFont="1" applyBorder="1" applyAlignment="1">
      <alignment horizontal="center" vertical="center"/>
    </xf>
    <xf numFmtId="0" fontId="21" fillId="0" borderId="181" xfId="0" applyFont="1" applyBorder="1" applyAlignment="1">
      <alignment horizontal="center" vertical="center"/>
    </xf>
    <xf numFmtId="56" fontId="0" fillId="0" borderId="68" xfId="0" applyNumberFormat="1" applyBorder="1" applyAlignment="1">
      <alignment horizontal="left" vertical="center"/>
    </xf>
    <xf numFmtId="0" fontId="28" fillId="0" borderId="0" xfId="0" applyFont="1" applyAlignment="1" applyProtection="1">
      <alignment horizontal="center" vertical="center" textRotation="255" shrinkToFit="1"/>
      <protection hidden="1"/>
    </xf>
    <xf numFmtId="0" fontId="28" fillId="0" borderId="0" xfId="0" applyFont="1" applyAlignment="1">
      <alignment horizontal="center" vertical="center" textRotation="255" shrinkToFit="1"/>
    </xf>
    <xf numFmtId="0" fontId="28" fillId="0" borderId="12" xfId="0" applyFont="1" applyBorder="1" applyAlignment="1">
      <alignment horizontal="center" vertical="center" textRotation="255" shrinkToFit="1"/>
    </xf>
    <xf numFmtId="0" fontId="21" fillId="0" borderId="37" xfId="0" applyFont="1" applyBorder="1" applyAlignment="1">
      <alignment horizontal="center" vertical="center"/>
    </xf>
    <xf numFmtId="0" fontId="21" fillId="0" borderId="21" xfId="0" applyFont="1" applyBorder="1" applyAlignment="1">
      <alignment horizontal="center" vertical="center"/>
    </xf>
    <xf numFmtId="0" fontId="21" fillId="0" borderId="12" xfId="0" applyFont="1" applyBorder="1" applyAlignment="1">
      <alignment horizontal="center" vertical="center"/>
    </xf>
    <xf numFmtId="0" fontId="21" fillId="0" borderId="14" xfId="0" applyFont="1" applyBorder="1" applyAlignment="1">
      <alignment horizontal="center" vertical="center"/>
    </xf>
    <xf numFmtId="0" fontId="21" fillId="0" borderId="22" xfId="3" applyFont="1" applyBorder="1" applyAlignment="1">
      <alignment horizontal="center" vertical="center"/>
    </xf>
    <xf numFmtId="0" fontId="21" fillId="0" borderId="30" xfId="3" applyFont="1" applyBorder="1" applyAlignment="1">
      <alignment horizontal="center" vertical="center"/>
    </xf>
    <xf numFmtId="0" fontId="21" fillId="0" borderId="2" xfId="3" applyFont="1" applyBorder="1" applyAlignment="1">
      <alignment horizontal="center" vertical="center"/>
    </xf>
    <xf numFmtId="0" fontId="21" fillId="0" borderId="36" xfId="3" applyFont="1" applyBorder="1" applyAlignment="1">
      <alignment horizontal="center" vertical="center"/>
    </xf>
    <xf numFmtId="0" fontId="21" fillId="0" borderId="179" xfId="3" applyFont="1" applyBorder="1" applyAlignment="1">
      <alignment horizontal="center" vertical="center"/>
    </xf>
    <xf numFmtId="0" fontId="30" fillId="0" borderId="0" xfId="0" applyFont="1" applyAlignment="1">
      <alignment horizontal="center" vertical="center" textRotation="255"/>
    </xf>
    <xf numFmtId="0" fontId="28" fillId="0" borderId="0" xfId="0" applyFont="1" applyAlignment="1" applyProtection="1">
      <alignment horizontal="center" vertical="distributed" textRotation="255" indent="1" shrinkToFit="1"/>
      <protection hidden="1"/>
    </xf>
    <xf numFmtId="0" fontId="28" fillId="0" borderId="0" xfId="0" applyFont="1" applyAlignment="1">
      <alignment horizontal="center" vertical="distributed" textRotation="255" indent="1" shrinkToFit="1"/>
    </xf>
    <xf numFmtId="0" fontId="28" fillId="0" borderId="12" xfId="0" applyFont="1" applyBorder="1" applyAlignment="1">
      <alignment horizontal="center" vertical="distributed" textRotation="255" indent="1" shrinkToFit="1"/>
    </xf>
    <xf numFmtId="0" fontId="25" fillId="0" borderId="16" xfId="0" applyFont="1" applyBorder="1">
      <alignment vertical="center"/>
    </xf>
    <xf numFmtId="0" fontId="25" fillId="0" borderId="15" xfId="0" applyFont="1" applyBorder="1">
      <alignment vertical="center"/>
    </xf>
    <xf numFmtId="0" fontId="21" fillId="0" borderId="15" xfId="0" applyFont="1" applyBorder="1">
      <alignment vertical="center"/>
    </xf>
    <xf numFmtId="0" fontId="21" fillId="0" borderId="16" xfId="0" applyFont="1" applyBorder="1">
      <alignment vertical="center"/>
    </xf>
    <xf numFmtId="0" fontId="21" fillId="0" borderId="46" xfId="0" applyFont="1" applyBorder="1">
      <alignment vertical="center"/>
    </xf>
    <xf numFmtId="0" fontId="21" fillId="0" borderId="0" xfId="0" applyFont="1" applyAlignment="1">
      <alignment vertical="center" wrapText="1"/>
    </xf>
    <xf numFmtId="0" fontId="21" fillId="0" borderId="0" xfId="0" applyFont="1" applyAlignment="1">
      <alignment vertical="top" textRotation="255"/>
    </xf>
    <xf numFmtId="0" fontId="21" fillId="0" borderId="45" xfId="0" applyFont="1" applyBorder="1">
      <alignment vertical="center"/>
    </xf>
    <xf numFmtId="0" fontId="31" fillId="0" borderId="0" xfId="0" applyFont="1" applyAlignment="1">
      <alignment horizontal="left" vertical="center"/>
    </xf>
    <xf numFmtId="0" fontId="21" fillId="0" borderId="0" xfId="0" applyFont="1" applyAlignment="1">
      <alignment horizontal="right" vertical="top" textRotation="255" shrinkToFit="1"/>
    </xf>
    <xf numFmtId="20" fontId="21" fillId="0" borderId="0" xfId="0" applyNumberFormat="1" applyFont="1" applyAlignment="1">
      <alignment horizontal="center" vertical="center" shrinkToFit="1"/>
    </xf>
    <xf numFmtId="20" fontId="21" fillId="0" borderId="0" xfId="0" applyNumberFormat="1" applyFont="1" applyAlignment="1">
      <alignment horizontal="center" vertical="center"/>
    </xf>
    <xf numFmtId="56" fontId="21" fillId="0" borderId="0" xfId="0" applyNumberFormat="1" applyFont="1" applyAlignment="1">
      <alignment horizontal="left" vertical="center" shrinkToFit="1"/>
    </xf>
    <xf numFmtId="0" fontId="55" fillId="0" borderId="0" xfId="0" applyFont="1" applyAlignment="1">
      <alignment vertical="center" shrinkToFit="1"/>
    </xf>
    <xf numFmtId="0" fontId="21" fillId="0" borderId="169" xfId="0" applyFont="1" applyBorder="1" applyAlignment="1">
      <alignment horizontal="right" vertical="top" textRotation="255" shrinkToFit="1"/>
    </xf>
    <xf numFmtId="0" fontId="21" fillId="0" borderId="170" xfId="0" applyFont="1" applyBorder="1" applyAlignment="1">
      <alignment horizontal="left" vertical="top" textRotation="255" shrinkToFit="1"/>
    </xf>
    <xf numFmtId="0" fontId="21" fillId="0" borderId="40" xfId="0" applyFont="1" applyBorder="1" applyProtection="1">
      <alignment vertical="center"/>
      <protection locked="0"/>
    </xf>
    <xf numFmtId="0" fontId="21" fillId="0" borderId="1" xfId="0" applyFont="1" applyBorder="1" applyAlignment="1">
      <alignment horizontal="distributed" vertical="center" justifyLastLine="1"/>
    </xf>
    <xf numFmtId="0" fontId="21" fillId="0" borderId="2" xfId="0" applyFont="1" applyBorder="1" applyAlignment="1">
      <alignment horizontal="distributed" vertical="center" justifyLastLine="1"/>
    </xf>
    <xf numFmtId="0" fontId="21" fillId="0" borderId="3" xfId="0" applyFont="1" applyBorder="1" applyAlignment="1">
      <alignment horizontal="distributed" vertical="center" justifyLastLine="1"/>
    </xf>
    <xf numFmtId="0" fontId="21" fillId="0" borderId="40" xfId="0" applyFont="1" applyBorder="1">
      <alignment vertical="center"/>
    </xf>
    <xf numFmtId="0" fontId="21" fillId="0" borderId="41" xfId="0" applyFont="1" applyBorder="1">
      <alignment vertical="center"/>
    </xf>
    <xf numFmtId="20" fontId="32" fillId="0" borderId="0" xfId="0" applyNumberFormat="1" applyFont="1">
      <alignment vertical="center"/>
    </xf>
    <xf numFmtId="0" fontId="32" fillId="0" borderId="0" xfId="0" applyFont="1" applyAlignment="1">
      <alignment horizontal="center"/>
    </xf>
    <xf numFmtId="0" fontId="33" fillId="0" borderId="0" xfId="0" applyFont="1">
      <alignment vertical="center"/>
    </xf>
    <xf numFmtId="0" fontId="21" fillId="0" borderId="0" xfId="0" applyFont="1" applyAlignment="1">
      <alignment horizontal="center" vertical="distributed" textRotation="255"/>
    </xf>
    <xf numFmtId="0" fontId="21" fillId="0" borderId="169" xfId="0" applyFont="1" applyBorder="1" applyAlignment="1">
      <alignment horizontal="right" vertical="center"/>
    </xf>
    <xf numFmtId="20" fontId="21" fillId="0" borderId="0" xfId="0" applyNumberFormat="1" applyFont="1" applyAlignment="1">
      <alignment horizontal="center" shrinkToFit="1"/>
    </xf>
    <xf numFmtId="0" fontId="21" fillId="0" borderId="6" xfId="0" applyFont="1" applyBorder="1" applyAlignment="1">
      <alignment horizontal="left" vertical="center" justifyLastLine="1"/>
    </xf>
    <xf numFmtId="0" fontId="21" fillId="0" borderId="0" xfId="0" applyFont="1" applyAlignment="1" applyProtection="1">
      <alignment horizontal="center" vertical="center"/>
      <protection locked="0"/>
    </xf>
    <xf numFmtId="0" fontId="25" fillId="0" borderId="0" xfId="0" applyFont="1" applyAlignment="1">
      <alignment horizontal="left" vertical="center" shrinkToFit="1"/>
    </xf>
    <xf numFmtId="0" fontId="24" fillId="0" borderId="0" xfId="0" applyFont="1">
      <alignment vertical="center"/>
    </xf>
    <xf numFmtId="0" fontId="24" fillId="0" borderId="0" xfId="0" applyFont="1" applyAlignment="1">
      <alignment horizontal="distributed" vertical="center"/>
    </xf>
    <xf numFmtId="3" fontId="22" fillId="0" borderId="64" xfId="0" applyNumberFormat="1" applyFont="1" applyBorder="1" applyAlignment="1">
      <alignment horizontal="center" vertical="center"/>
    </xf>
    <xf numFmtId="3" fontId="22" fillId="0" borderId="65" xfId="0" applyNumberFormat="1" applyFont="1" applyBorder="1" applyAlignment="1">
      <alignment horizontal="center" vertical="center"/>
    </xf>
    <xf numFmtId="3" fontId="22" fillId="0" borderId="66" xfId="0" applyNumberFormat="1" applyFont="1" applyBorder="1" applyAlignment="1">
      <alignment horizontal="center" vertical="center"/>
    </xf>
    <xf numFmtId="0" fontId="21" fillId="0" borderId="11" xfId="0" applyFont="1" applyBorder="1" applyAlignment="1">
      <alignment horizontal="distributed" vertical="center" justifyLastLine="1"/>
    </xf>
    <xf numFmtId="0" fontId="21" fillId="0" borderId="18" xfId="0" applyFont="1" applyBorder="1" applyAlignment="1">
      <alignment horizontal="distributed" vertical="center" justifyLastLine="1"/>
    </xf>
    <xf numFmtId="0" fontId="21" fillId="0" borderId="38" xfId="0" applyFont="1" applyBorder="1" applyAlignment="1">
      <alignment horizontal="left" vertical="center"/>
    </xf>
    <xf numFmtId="0" fontId="0" fillId="0" borderId="38" xfId="0" applyBorder="1" applyAlignment="1">
      <alignment horizontal="left" vertical="center"/>
    </xf>
    <xf numFmtId="0" fontId="21" fillId="0" borderId="5" xfId="0" applyFont="1" applyBorder="1" applyAlignment="1">
      <alignment horizontal="center" vertical="center"/>
    </xf>
    <xf numFmtId="0" fontId="21" fillId="0" borderId="165" xfId="0" applyFont="1" applyBorder="1" applyAlignment="1">
      <alignment horizontal="center" vertical="center"/>
    </xf>
    <xf numFmtId="0" fontId="21" fillId="0" borderId="156" xfId="0" applyFont="1" applyBorder="1" applyAlignment="1">
      <alignment horizontal="center" vertical="center" wrapText="1" shrinkToFit="1"/>
    </xf>
    <xf numFmtId="0" fontId="21" fillId="0" borderId="157" xfId="0" applyFont="1" applyBorder="1" applyAlignment="1">
      <alignment horizontal="center" vertical="center" shrinkToFit="1"/>
    </xf>
    <xf numFmtId="0" fontId="21" fillId="0" borderId="158" xfId="0" applyFont="1" applyBorder="1" applyAlignment="1">
      <alignment horizontal="center" vertical="center" shrinkToFit="1"/>
    </xf>
    <xf numFmtId="0" fontId="21" fillId="0" borderId="159" xfId="0" applyFont="1" applyBorder="1" applyAlignment="1">
      <alignment horizontal="center" vertical="center" shrinkToFit="1"/>
    </xf>
    <xf numFmtId="0" fontId="21" fillId="0" borderId="160" xfId="0" applyFont="1" applyBorder="1" applyAlignment="1">
      <alignment horizontal="center" vertical="center" shrinkToFit="1"/>
    </xf>
    <xf numFmtId="0" fontId="21" fillId="0" borderId="161" xfId="0" applyFont="1" applyBorder="1" applyAlignment="1">
      <alignment horizontal="center" vertical="center" shrinkToFit="1"/>
    </xf>
    <xf numFmtId="0" fontId="21" fillId="0" borderId="162" xfId="0" applyFont="1" applyBorder="1" applyAlignment="1">
      <alignment horizontal="center" vertical="center" shrinkToFit="1"/>
    </xf>
    <xf numFmtId="0" fontId="21" fillId="0" borderId="163" xfId="0" applyFont="1" applyBorder="1" applyAlignment="1">
      <alignment horizontal="center" vertical="center" shrinkToFit="1"/>
    </xf>
    <xf numFmtId="0" fontId="21" fillId="0" borderId="164" xfId="0" applyFont="1" applyBorder="1" applyAlignment="1">
      <alignment horizontal="center" vertical="center" shrinkToFit="1"/>
    </xf>
    <xf numFmtId="0" fontId="23" fillId="0" borderId="45" xfId="0" applyFont="1" applyBorder="1" applyAlignment="1">
      <alignment horizontal="center" vertical="center" wrapText="1" shrinkToFit="1"/>
    </xf>
    <xf numFmtId="0" fontId="23" fillId="0" borderId="16" xfId="0" applyFont="1" applyBorder="1" applyAlignment="1">
      <alignment horizontal="center" vertical="center" shrinkToFit="1"/>
    </xf>
    <xf numFmtId="0" fontId="23" fillId="0" borderId="46" xfId="0" applyFont="1" applyBorder="1" applyAlignment="1">
      <alignment horizontal="center" vertical="center" shrinkToFit="1"/>
    </xf>
    <xf numFmtId="0" fontId="23" fillId="0" borderId="12" xfId="0" applyFont="1" applyBorder="1" applyAlignment="1">
      <alignment horizontal="center" vertical="center" shrinkToFit="1"/>
    </xf>
    <xf numFmtId="0" fontId="23" fillId="0" borderId="0" xfId="0" applyFont="1" applyAlignment="1">
      <alignment horizontal="center" vertical="center" shrinkToFit="1"/>
    </xf>
    <xf numFmtId="0" fontId="23" fillId="0" borderId="37" xfId="0" applyFont="1" applyBorder="1" applyAlignment="1">
      <alignment horizontal="center" vertical="center" shrinkToFit="1"/>
    </xf>
    <xf numFmtId="0" fontId="23" fillId="0" borderId="14" xfId="0" applyFont="1" applyBorder="1" applyAlignment="1">
      <alignment horizontal="center" vertical="center" shrinkToFit="1"/>
    </xf>
    <xf numFmtId="0" fontId="23" fillId="0" borderId="15" xfId="0" applyFont="1" applyBorder="1" applyAlignment="1">
      <alignment horizontal="center" vertical="center" shrinkToFit="1"/>
    </xf>
    <xf numFmtId="0" fontId="23" fillId="0" borderId="21" xfId="0" applyFont="1" applyBorder="1" applyAlignment="1">
      <alignment horizontal="center" vertical="center" shrinkToFit="1"/>
    </xf>
    <xf numFmtId="0" fontId="49" fillId="0" borderId="5" xfId="0" applyFont="1" applyBorder="1" applyAlignment="1">
      <alignment horizontal="center" vertical="distributed" textRotation="180" justifyLastLine="1" shrinkToFit="1"/>
    </xf>
    <xf numFmtId="0" fontId="22" fillId="0" borderId="45" xfId="0" applyFont="1" applyBorder="1" applyAlignment="1">
      <alignment horizontal="center" vertical="center" wrapText="1" shrinkToFit="1"/>
    </xf>
    <xf numFmtId="0" fontId="22" fillId="0" borderId="16" xfId="0" applyFont="1" applyBorder="1" applyAlignment="1">
      <alignment horizontal="center" vertical="center" shrinkToFit="1"/>
    </xf>
    <xf numFmtId="0" fontId="22" fillId="0" borderId="46" xfId="0" applyFont="1" applyBorder="1" applyAlignment="1">
      <alignment horizontal="center" vertical="center" shrinkToFit="1"/>
    </xf>
    <xf numFmtId="0" fontId="22" fillId="0" borderId="12" xfId="0" applyFont="1" applyBorder="1" applyAlignment="1">
      <alignment horizontal="center" vertical="center" shrinkToFit="1"/>
    </xf>
    <xf numFmtId="0" fontId="22" fillId="0" borderId="0" xfId="0" applyFont="1" applyAlignment="1">
      <alignment horizontal="center" vertical="center" shrinkToFit="1"/>
    </xf>
    <xf numFmtId="0" fontId="22" fillId="0" borderId="37" xfId="0" applyFont="1" applyBorder="1" applyAlignment="1">
      <alignment horizontal="center" vertical="center" shrinkToFit="1"/>
    </xf>
    <xf numFmtId="0" fontId="22" fillId="0" borderId="14" xfId="0" applyFont="1" applyBorder="1" applyAlignment="1">
      <alignment horizontal="center" vertical="center" shrinkToFit="1"/>
    </xf>
    <xf numFmtId="0" fontId="22" fillId="0" borderId="15" xfId="0" applyFont="1" applyBorder="1" applyAlignment="1">
      <alignment horizontal="center" vertical="center" shrinkToFit="1"/>
    </xf>
    <xf numFmtId="0" fontId="22" fillId="0" borderId="21" xfId="0" applyFont="1" applyBorder="1" applyAlignment="1">
      <alignment horizontal="center" vertical="center" shrinkToFit="1"/>
    </xf>
    <xf numFmtId="0" fontId="21" fillId="0" borderId="16" xfId="0" applyFont="1" applyBorder="1" applyAlignment="1">
      <alignment horizontal="center" vertical="center" shrinkToFit="1"/>
    </xf>
    <xf numFmtId="0" fontId="21" fillId="0" borderId="46" xfId="0" applyFont="1" applyBorder="1" applyAlignment="1">
      <alignment horizontal="center" vertical="center" shrinkToFit="1"/>
    </xf>
    <xf numFmtId="0" fontId="21" fillId="0" borderId="45" xfId="0" applyFont="1" applyBorder="1" applyAlignment="1">
      <alignment horizontal="center" vertical="center" shrinkToFit="1"/>
    </xf>
    <xf numFmtId="0" fontId="21" fillId="0" borderId="5" xfId="0" applyFont="1" applyBorder="1" applyAlignment="1">
      <alignment horizontal="distributed" vertical="center" wrapText="1" justifyLastLine="1" shrinkToFit="1"/>
    </xf>
    <xf numFmtId="0" fontId="21" fillId="0" borderId="0" xfId="0" applyFont="1" applyAlignment="1">
      <alignment horizontal="center" vertical="center" shrinkToFit="1"/>
    </xf>
    <xf numFmtId="0" fontId="23" fillId="0" borderId="165" xfId="0" applyFont="1" applyBorder="1" applyAlignment="1">
      <alignment horizontal="distributed" vertical="center" shrinkToFit="1"/>
    </xf>
    <xf numFmtId="0" fontId="24" fillId="0" borderId="0" xfId="0" applyFont="1" applyAlignment="1">
      <alignment horizontal="distributed" vertical="center" shrinkToFit="1"/>
    </xf>
    <xf numFmtId="0" fontId="25" fillId="0" borderId="0" xfId="0" applyFont="1" applyAlignment="1">
      <alignment horizontal="distributed" vertical="center" shrinkToFit="1"/>
    </xf>
    <xf numFmtId="0" fontId="28" fillId="0" borderId="45" xfId="0" applyFont="1" applyBorder="1" applyAlignment="1">
      <alignment horizontal="distributed" vertical="center" indent="1"/>
    </xf>
    <xf numFmtId="0" fontId="28" fillId="0" borderId="16" xfId="0" applyFont="1" applyBorder="1" applyAlignment="1">
      <alignment horizontal="distributed" vertical="center" indent="1"/>
    </xf>
    <xf numFmtId="0" fontId="28" fillId="0" borderId="46" xfId="0" applyFont="1" applyBorder="1" applyAlignment="1">
      <alignment horizontal="distributed" vertical="center" indent="1"/>
    </xf>
    <xf numFmtId="0" fontId="28" fillId="0" borderId="14" xfId="0" applyFont="1" applyBorder="1" applyAlignment="1">
      <alignment horizontal="distributed" vertical="center" indent="1"/>
    </xf>
    <xf numFmtId="0" fontId="28" fillId="0" borderId="15" xfId="0" applyFont="1" applyBorder="1" applyAlignment="1">
      <alignment horizontal="distributed" vertical="center" indent="1"/>
    </xf>
    <xf numFmtId="0" fontId="28" fillId="0" borderId="21" xfId="0" applyFont="1" applyBorder="1" applyAlignment="1">
      <alignment horizontal="distributed" vertical="center" indent="1"/>
    </xf>
    <xf numFmtId="0" fontId="28" fillId="0" borderId="0" xfId="0" applyFont="1" applyAlignment="1">
      <alignment horizontal="right"/>
    </xf>
    <xf numFmtId="0" fontId="28" fillId="0" borderId="0" xfId="0" applyFont="1" applyAlignment="1">
      <alignment horizontal="left" vertical="center" indent="1"/>
    </xf>
    <xf numFmtId="0" fontId="28" fillId="0" borderId="0" xfId="0" applyFont="1" applyAlignment="1">
      <alignment horizontal="left"/>
    </xf>
    <xf numFmtId="0" fontId="21" fillId="0" borderId="0" xfId="0" applyFont="1" applyAlignment="1" applyProtection="1">
      <alignment horizontal="left" vertical="center" shrinkToFit="1"/>
      <protection locked="0"/>
    </xf>
    <xf numFmtId="0" fontId="21" fillId="0" borderId="0" xfId="0" applyFont="1" applyAlignment="1">
      <alignment horizontal="center" shrinkToFit="1"/>
    </xf>
    <xf numFmtId="0" fontId="21" fillId="0" borderId="0" xfId="0" applyFont="1" applyAlignment="1" applyProtection="1">
      <alignment horizontal="right" vertical="center" shrinkToFit="1"/>
      <protection locked="0"/>
    </xf>
    <xf numFmtId="0" fontId="32" fillId="0" borderId="0" xfId="0" applyFont="1" applyAlignment="1">
      <alignment horizontal="center" vertical="center" shrinkToFit="1"/>
    </xf>
    <xf numFmtId="0" fontId="21" fillId="0" borderId="15" xfId="0" applyFont="1" applyBorder="1" applyAlignment="1">
      <alignment horizontal="center" vertical="center"/>
    </xf>
    <xf numFmtId="0" fontId="25" fillId="0" borderId="0" xfId="0" applyFont="1" applyAlignment="1">
      <alignment horizontal="center" vertical="center"/>
    </xf>
    <xf numFmtId="0" fontId="21" fillId="0" borderId="0" xfId="0" applyFont="1" applyAlignment="1">
      <alignment horizontal="right" vertical="center"/>
    </xf>
    <xf numFmtId="0" fontId="21" fillId="0" borderId="0" xfId="0" applyFont="1" applyAlignment="1">
      <alignment horizontal="left" vertical="center"/>
    </xf>
    <xf numFmtId="0" fontId="21" fillId="0" borderId="0" xfId="0" applyFont="1" applyAlignment="1">
      <alignment horizontal="left" vertical="top" textRotation="255"/>
    </xf>
    <xf numFmtId="0" fontId="21" fillId="0" borderId="0" xfId="0" applyFont="1" applyAlignment="1">
      <alignment horizontal="right" vertical="top" textRotation="255"/>
    </xf>
    <xf numFmtId="0" fontId="28" fillId="0" borderId="0" xfId="0" applyFont="1" applyAlignment="1">
      <alignment horizontal="right" vertical="center" indent="1"/>
    </xf>
    <xf numFmtId="0" fontId="21" fillId="0" borderId="166" xfId="0" applyFont="1" applyBorder="1" applyAlignment="1" applyProtection="1">
      <alignment horizontal="right" vertical="center" shrinkToFit="1"/>
      <protection locked="0"/>
    </xf>
    <xf numFmtId="0" fontId="21" fillId="0" borderId="167" xfId="0" applyFont="1" applyBorder="1" applyAlignment="1" applyProtection="1">
      <alignment horizontal="right" vertical="center" shrinkToFit="1"/>
      <protection locked="0"/>
    </xf>
    <xf numFmtId="0" fontId="28" fillId="0" borderId="73" xfId="0" applyFont="1" applyBorder="1" applyAlignment="1" applyProtection="1">
      <alignment horizontal="center" vertical="center" textRotation="255" shrinkToFit="1"/>
      <protection hidden="1"/>
    </xf>
    <xf numFmtId="0" fontId="28" fillId="0" borderId="54" xfId="0" applyFont="1" applyBorder="1" applyAlignment="1" applyProtection="1">
      <alignment horizontal="center" vertical="center" textRotation="255" shrinkToFit="1"/>
      <protection hidden="1"/>
    </xf>
    <xf numFmtId="0" fontId="28" fillId="0" borderId="24" xfId="0" applyFont="1" applyBorder="1" applyAlignment="1" applyProtection="1">
      <alignment horizontal="center" vertical="center" textRotation="255" shrinkToFit="1"/>
      <protection hidden="1"/>
    </xf>
    <xf numFmtId="0" fontId="25" fillId="0" borderId="16" xfId="0" applyFont="1" applyBorder="1" applyAlignment="1">
      <alignment horizontal="center" vertical="center"/>
    </xf>
    <xf numFmtId="0" fontId="25" fillId="0" borderId="15" xfId="0" applyFont="1" applyBorder="1" applyAlignment="1">
      <alignment horizontal="center" vertical="center"/>
    </xf>
    <xf numFmtId="0" fontId="21" fillId="0" borderId="37" xfId="0" applyFont="1" applyBorder="1" applyAlignment="1">
      <alignment horizontal="center" vertical="center"/>
    </xf>
    <xf numFmtId="0" fontId="21" fillId="0" borderId="21" xfId="0" applyFont="1" applyBorder="1" applyAlignment="1">
      <alignment horizontal="center" vertical="center"/>
    </xf>
    <xf numFmtId="0" fontId="21" fillId="0" borderId="12" xfId="0" applyFont="1" applyBorder="1" applyAlignment="1">
      <alignment horizontal="center" vertical="center"/>
    </xf>
    <xf numFmtId="0" fontId="21" fillId="0" borderId="14" xfId="0" applyFont="1" applyBorder="1" applyAlignment="1">
      <alignment horizontal="center" vertical="center"/>
    </xf>
    <xf numFmtId="0" fontId="21" fillId="0" borderId="0" xfId="0" applyFont="1" applyAlignment="1">
      <alignment horizontal="center" vertical="center"/>
    </xf>
    <xf numFmtId="0" fontId="23" fillId="0" borderId="0" xfId="0" applyFont="1" applyAlignment="1">
      <alignment horizontal="right" vertical="center" shrinkToFit="1"/>
    </xf>
    <xf numFmtId="0" fontId="23" fillId="0" borderId="0" xfId="0" applyFont="1" applyAlignment="1">
      <alignment horizontal="center" vertical="center" justifyLastLine="1" shrinkToFit="1"/>
    </xf>
    <xf numFmtId="0" fontId="32" fillId="0" borderId="15" xfId="0" applyFont="1" applyBorder="1" applyAlignment="1">
      <alignment horizontal="center" vertical="center" shrinkToFit="1"/>
    </xf>
    <xf numFmtId="0" fontId="21" fillId="0" borderId="48" xfId="0" applyFont="1" applyBorder="1" applyAlignment="1" applyProtection="1">
      <alignment horizontal="right" vertical="center" shrinkToFit="1"/>
      <protection locked="0"/>
    </xf>
    <xf numFmtId="0" fontId="21" fillId="0" borderId="49" xfId="0" applyFont="1" applyBorder="1" applyAlignment="1" applyProtection="1">
      <alignment horizontal="left" vertical="center" shrinkToFit="1"/>
      <protection locked="0"/>
    </xf>
    <xf numFmtId="0" fontId="25" fillId="0" borderId="0" xfId="0" applyFont="1" applyAlignment="1">
      <alignment horizontal="center" vertical="center" shrinkToFit="1"/>
    </xf>
    <xf numFmtId="0" fontId="21" fillId="0" borderId="169" xfId="0" applyFont="1" applyBorder="1" applyAlignment="1" applyProtection="1">
      <alignment horizontal="right" vertical="center" shrinkToFit="1"/>
      <protection locked="0"/>
    </xf>
    <xf numFmtId="0" fontId="21" fillId="0" borderId="170" xfId="0" applyFont="1" applyBorder="1" applyAlignment="1" applyProtection="1">
      <alignment horizontal="left" vertical="center" shrinkToFit="1"/>
      <protection locked="0"/>
    </xf>
    <xf numFmtId="0" fontId="21" fillId="0" borderId="49" xfId="0" applyFont="1" applyBorder="1" applyAlignment="1">
      <alignment horizontal="center" vertical="center" shrinkToFit="1"/>
    </xf>
    <xf numFmtId="0" fontId="21" fillId="0" borderId="48" xfId="0" applyFont="1" applyBorder="1" applyAlignment="1">
      <alignment horizontal="center" vertical="center" shrinkToFit="1"/>
    </xf>
    <xf numFmtId="0" fontId="21" fillId="0" borderId="167" xfId="0" applyFont="1" applyBorder="1" applyAlignment="1">
      <alignment horizontal="center" vertical="center" shrinkToFit="1"/>
    </xf>
    <xf numFmtId="0" fontId="21" fillId="0" borderId="167" xfId="0" applyFont="1" applyBorder="1" applyAlignment="1" applyProtection="1">
      <alignment horizontal="left" vertical="center" shrinkToFit="1"/>
      <protection locked="0"/>
    </xf>
    <xf numFmtId="0" fontId="21" fillId="0" borderId="168" xfId="0" applyFont="1" applyBorder="1" applyAlignment="1" applyProtection="1">
      <alignment horizontal="left" vertical="center" shrinkToFit="1"/>
      <protection locked="0"/>
    </xf>
    <xf numFmtId="0" fontId="21" fillId="0" borderId="47" xfId="0" applyFont="1" applyBorder="1" applyAlignment="1">
      <alignment horizontal="center" vertical="center" shrinkToFit="1"/>
    </xf>
    <xf numFmtId="0" fontId="21" fillId="0" borderId="51" xfId="0" applyFont="1" applyBorder="1" applyAlignment="1">
      <alignment horizontal="center" vertical="center" shrinkToFit="1"/>
    </xf>
    <xf numFmtId="0" fontId="21" fillId="0" borderId="50" xfId="0" applyFont="1" applyBorder="1" applyAlignment="1">
      <alignment horizontal="center" vertical="center" shrinkToFit="1"/>
    </xf>
    <xf numFmtId="0" fontId="21" fillId="0" borderId="0" xfId="0" applyFont="1" applyAlignment="1">
      <alignment horizontal="left" vertical="center" shrinkToFit="1"/>
    </xf>
    <xf numFmtId="0" fontId="21" fillId="0" borderId="0" xfId="0" applyFont="1" applyAlignment="1">
      <alignment horizontal="right" vertical="center" shrinkToFit="1"/>
    </xf>
    <xf numFmtId="0" fontId="31" fillId="0" borderId="0" xfId="0" applyFont="1" applyAlignment="1">
      <alignment horizontal="right" vertical="center" shrinkToFit="1"/>
    </xf>
    <xf numFmtId="0" fontId="31" fillId="0" borderId="0" xfId="0" applyFont="1" applyAlignment="1">
      <alignment horizontal="left" vertical="center" shrinkToFit="1"/>
    </xf>
    <xf numFmtId="0" fontId="21" fillId="0" borderId="48" xfId="0" applyFont="1" applyBorder="1" applyAlignment="1" applyProtection="1">
      <alignment horizontal="right" vertical="center"/>
      <protection locked="0"/>
    </xf>
    <xf numFmtId="0" fontId="21" fillId="0" borderId="0" xfId="0" applyFont="1" applyAlignment="1" applyProtection="1">
      <alignment horizontal="right" vertical="center"/>
      <protection locked="0"/>
    </xf>
    <xf numFmtId="0" fontId="21" fillId="0" borderId="166" xfId="0" applyFont="1" applyBorder="1" applyAlignment="1" applyProtection="1">
      <alignment horizontal="right" vertical="center"/>
      <protection locked="0"/>
    </xf>
    <xf numFmtId="0" fontId="21" fillId="0" borderId="167" xfId="0" applyFont="1" applyBorder="1" applyAlignment="1" applyProtection="1">
      <alignment horizontal="right" vertical="center"/>
      <protection locked="0"/>
    </xf>
    <xf numFmtId="0" fontId="21" fillId="0" borderId="170" xfId="0" applyFont="1" applyBorder="1" applyAlignment="1">
      <alignment horizontal="center" vertical="center" shrinkToFit="1"/>
    </xf>
    <xf numFmtId="0" fontId="21" fillId="0" borderId="181" xfId="0" applyFont="1" applyBorder="1" applyAlignment="1" applyProtection="1">
      <alignment horizontal="right" vertical="center" shrinkToFit="1"/>
      <protection locked="0"/>
    </xf>
    <xf numFmtId="0" fontId="21" fillId="0" borderId="176" xfId="0" applyFont="1" applyBorder="1" applyAlignment="1" applyProtection="1">
      <alignment horizontal="right" vertical="center" shrinkToFit="1"/>
      <protection locked="0"/>
    </xf>
    <xf numFmtId="0" fontId="21" fillId="0" borderId="0" xfId="0" applyFont="1" applyAlignment="1">
      <alignment horizontal="left" vertical="top" textRotation="255" shrinkToFit="1"/>
    </xf>
    <xf numFmtId="0" fontId="21" fillId="0" borderId="0" xfId="0" applyFont="1" applyAlignment="1">
      <alignment horizontal="right" vertical="top" textRotation="255" shrinkToFit="1"/>
    </xf>
    <xf numFmtId="0" fontId="21" fillId="0" borderId="176" xfId="0" applyFont="1" applyBorder="1" applyAlignment="1">
      <alignment horizontal="center" vertical="center" shrinkToFit="1"/>
    </xf>
    <xf numFmtId="0" fontId="21" fillId="0" borderId="176" xfId="0" applyFont="1" applyBorder="1" applyAlignment="1" applyProtection="1">
      <alignment horizontal="left" vertical="center" shrinkToFit="1"/>
      <protection locked="0"/>
    </xf>
    <xf numFmtId="0" fontId="21" fillId="0" borderId="182" xfId="0" applyFont="1" applyBorder="1" applyAlignment="1" applyProtection="1">
      <alignment horizontal="left" vertical="center" shrinkToFit="1"/>
      <protection locked="0"/>
    </xf>
    <xf numFmtId="0" fontId="21" fillId="0" borderId="169" xfId="0" applyFont="1" applyBorder="1" applyAlignment="1">
      <alignment horizontal="center" vertical="center" shrinkToFit="1"/>
    </xf>
    <xf numFmtId="0" fontId="21" fillId="0" borderId="177" xfId="0" applyFont="1" applyBorder="1" applyAlignment="1" applyProtection="1">
      <alignment horizontal="right" vertical="center" shrinkToFit="1"/>
      <protection locked="0"/>
    </xf>
    <xf numFmtId="0" fontId="21" fillId="0" borderId="178" xfId="0" applyFont="1" applyBorder="1" applyAlignment="1" applyProtection="1">
      <alignment horizontal="left" vertical="center" shrinkToFit="1"/>
      <protection locked="0"/>
    </xf>
    <xf numFmtId="0" fontId="21" fillId="0" borderId="172" xfId="0" applyFont="1" applyBorder="1" applyAlignment="1">
      <alignment horizontal="center" vertical="center" shrinkToFit="1"/>
    </xf>
    <xf numFmtId="0" fontId="21" fillId="0" borderId="173" xfId="0" applyFont="1" applyBorder="1" applyAlignment="1">
      <alignment horizontal="center" vertical="center" shrinkToFit="1"/>
    </xf>
    <xf numFmtId="0" fontId="21" fillId="0" borderId="175" xfId="0" applyFont="1" applyBorder="1" applyAlignment="1">
      <alignment horizontal="center" vertical="center" shrinkToFit="1"/>
    </xf>
    <xf numFmtId="0" fontId="21" fillId="0" borderId="174" xfId="0" applyFont="1" applyBorder="1" applyAlignment="1">
      <alignment horizontal="center" vertical="center" shrinkToFit="1"/>
    </xf>
    <xf numFmtId="0" fontId="21" fillId="0" borderId="171" xfId="0" applyFont="1" applyBorder="1" applyAlignment="1">
      <alignment horizontal="center" vertical="center" shrinkToFit="1"/>
    </xf>
    <xf numFmtId="0" fontId="21" fillId="0" borderId="49" xfId="0" applyFont="1" applyBorder="1" applyAlignment="1">
      <alignment horizontal="center" vertical="top" textRotation="255" shrinkToFit="1"/>
    </xf>
    <xf numFmtId="0" fontId="21" fillId="0" borderId="50" xfId="0" applyFont="1" applyBorder="1" applyAlignment="1">
      <alignment horizontal="center" vertical="top" textRotation="255" shrinkToFit="1"/>
    </xf>
    <xf numFmtId="0" fontId="21" fillId="0" borderId="48" xfId="0" applyFont="1" applyBorder="1" applyAlignment="1">
      <alignment horizontal="center" vertical="top" textRotation="255" shrinkToFit="1"/>
    </xf>
    <xf numFmtId="0" fontId="21" fillId="0" borderId="51" xfId="0" applyFont="1" applyBorder="1" applyAlignment="1">
      <alignment horizontal="center" vertical="top" textRotation="255" shrinkToFit="1"/>
    </xf>
    <xf numFmtId="0" fontId="21" fillId="0" borderId="0" xfId="0" applyFont="1" applyAlignment="1">
      <alignment vertical="center" shrinkToFit="1"/>
    </xf>
    <xf numFmtId="0" fontId="21" fillId="0" borderId="0" xfId="0" applyFont="1" applyAlignment="1">
      <alignment horizontal="center" vertical="center" textRotation="255" shrinkToFit="1"/>
    </xf>
    <xf numFmtId="0" fontId="32" fillId="0" borderId="167" xfId="0" applyFont="1" applyBorder="1" applyAlignment="1">
      <alignment horizontal="center" vertical="center" shrinkToFit="1"/>
    </xf>
    <xf numFmtId="0" fontId="30" fillId="0" borderId="0" xfId="0" applyFont="1" applyAlignment="1">
      <alignment horizontal="distributed" vertical="center" justifyLastLine="1" shrinkToFit="1"/>
    </xf>
    <xf numFmtId="0" fontId="31" fillId="0" borderId="49" xfId="0" applyFont="1" applyBorder="1" applyAlignment="1">
      <alignment horizontal="center" vertical="center" shrinkToFit="1"/>
    </xf>
    <xf numFmtId="0" fontId="31" fillId="0" borderId="50" xfId="0" applyFont="1" applyBorder="1" applyAlignment="1">
      <alignment horizontal="center" vertical="center" shrinkToFit="1"/>
    </xf>
    <xf numFmtId="0" fontId="53" fillId="0" borderId="0" xfId="0" applyFont="1" applyAlignment="1" applyProtection="1">
      <alignment horizontal="distributed" vertical="center" shrinkToFit="1"/>
      <protection hidden="1"/>
    </xf>
    <xf numFmtId="0" fontId="26" fillId="0" borderId="0" xfId="0" applyFont="1" applyAlignment="1">
      <alignment horizontal="distributed" vertical="center"/>
    </xf>
    <xf numFmtId="0" fontId="28" fillId="0" borderId="0" xfId="0" applyFont="1" applyAlignment="1">
      <alignment horizontal="right" vertical="center" shrinkToFit="1"/>
    </xf>
    <xf numFmtId="0" fontId="21" fillId="0" borderId="0" xfId="0" applyFont="1">
      <alignment vertical="center"/>
    </xf>
    <xf numFmtId="0" fontId="29" fillId="0" borderId="155" xfId="0" applyFont="1" applyBorder="1" applyAlignment="1" applyProtection="1">
      <alignment horizontal="distributed" vertical="center"/>
      <protection hidden="1"/>
    </xf>
    <xf numFmtId="0" fontId="28" fillId="0" borderId="155" xfId="0" applyFont="1" applyBorder="1" applyAlignment="1">
      <alignment horizontal="distributed" vertical="center"/>
    </xf>
    <xf numFmtId="0" fontId="29" fillId="0" borderId="154" xfId="0" applyFont="1" applyBorder="1" applyAlignment="1" applyProtection="1">
      <alignment horizontal="distributed" vertical="center" shrinkToFit="1"/>
      <protection hidden="1"/>
    </xf>
    <xf numFmtId="0" fontId="29" fillId="0" borderId="155" xfId="0" applyFont="1" applyBorder="1" applyAlignment="1" applyProtection="1">
      <alignment horizontal="distributed" vertical="center" shrinkToFit="1"/>
      <protection hidden="1"/>
    </xf>
    <xf numFmtId="0" fontId="28" fillId="0" borderId="155" xfId="0" applyFont="1" applyBorder="1" applyAlignment="1">
      <alignment horizontal="distributed" vertical="center" wrapText="1"/>
    </xf>
    <xf numFmtId="0" fontId="28" fillId="0" borderId="154" xfId="0" applyFont="1" applyBorder="1" applyAlignment="1">
      <alignment horizontal="distributed" vertical="center"/>
    </xf>
    <xf numFmtId="0" fontId="53" fillId="0" borderId="180" xfId="0" applyFont="1" applyBorder="1" applyAlignment="1" applyProtection="1">
      <alignment horizontal="distributed" vertical="center" shrinkToFit="1"/>
      <protection hidden="1"/>
    </xf>
    <xf numFmtId="0" fontId="26" fillId="0" borderId="180" xfId="0" applyFont="1" applyBorder="1" applyAlignment="1">
      <alignment horizontal="distributed" vertical="center"/>
    </xf>
    <xf numFmtId="180" fontId="21" fillId="0" borderId="0" xfId="0" applyNumberFormat="1" applyFont="1" applyAlignment="1">
      <alignment horizontal="left" vertical="center"/>
    </xf>
    <xf numFmtId="0" fontId="21" fillId="0" borderId="48" xfId="0" applyFont="1" applyBorder="1" applyAlignment="1" applyProtection="1">
      <alignment horizontal="center" vertical="center"/>
      <protection locked="0"/>
    </xf>
    <xf numFmtId="0" fontId="21" fillId="0" borderId="0" xfId="0" applyFont="1" applyAlignment="1" applyProtection="1">
      <alignment horizontal="center" vertical="center"/>
      <protection locked="0"/>
    </xf>
    <xf numFmtId="0" fontId="21" fillId="0" borderId="49" xfId="0" applyFont="1" applyBorder="1" applyAlignment="1" applyProtection="1">
      <alignment horizontal="center" vertical="center"/>
      <protection locked="0"/>
    </xf>
    <xf numFmtId="0" fontId="21" fillId="0" borderId="48" xfId="0" applyFont="1" applyBorder="1" applyAlignment="1" applyProtection="1">
      <alignment horizontal="center" vertical="center" shrinkToFit="1"/>
      <protection locked="0"/>
    </xf>
    <xf numFmtId="0" fontId="21" fillId="0" borderId="0" xfId="0" applyFont="1" applyAlignment="1" applyProtection="1">
      <alignment horizontal="center" vertical="center" shrinkToFit="1"/>
      <protection locked="0"/>
    </xf>
    <xf numFmtId="0" fontId="21" fillId="0" borderId="49" xfId="0" applyFont="1" applyBorder="1" applyAlignment="1" applyProtection="1">
      <alignment horizontal="center" vertical="center" shrinkToFit="1"/>
      <protection locked="0"/>
    </xf>
    <xf numFmtId="0" fontId="21" fillId="0" borderId="169" xfId="0" applyFont="1" applyBorder="1" applyAlignment="1" applyProtection="1">
      <alignment horizontal="center" vertical="center" shrinkToFit="1"/>
      <protection locked="0"/>
    </xf>
    <xf numFmtId="0" fontId="21" fillId="0" borderId="170" xfId="0" applyFont="1" applyBorder="1" applyAlignment="1" applyProtection="1">
      <alignment horizontal="center" vertical="center" shrinkToFit="1"/>
      <protection locked="0"/>
    </xf>
    <xf numFmtId="20" fontId="21" fillId="0" borderId="48" xfId="0" applyNumberFormat="1" applyFont="1" applyBorder="1" applyAlignment="1" applyProtection="1">
      <alignment horizontal="center" vertical="center" shrinkToFit="1"/>
      <protection locked="0"/>
    </xf>
    <xf numFmtId="20" fontId="21" fillId="0" borderId="0" xfId="0" applyNumberFormat="1" applyFont="1" applyAlignment="1">
      <alignment horizontal="center" vertical="center"/>
    </xf>
    <xf numFmtId="0" fontId="21" fillId="0" borderId="0" xfId="0" applyFont="1" applyAlignment="1">
      <alignment horizontal="center" vertical="center" wrapText="1"/>
    </xf>
    <xf numFmtId="20" fontId="21" fillId="0" borderId="0" xfId="0" applyNumberFormat="1" applyFont="1" applyAlignment="1">
      <alignment horizontal="center" vertical="center" shrinkToFit="1"/>
    </xf>
    <xf numFmtId="20" fontId="21" fillId="0" borderId="48" xfId="0" applyNumberFormat="1" applyFont="1" applyBorder="1" applyAlignment="1">
      <alignment horizontal="center" vertical="center" shrinkToFit="1"/>
    </xf>
    <xf numFmtId="20" fontId="21" fillId="0" borderId="48" xfId="0" applyNumberFormat="1" applyFont="1" applyBorder="1" applyAlignment="1" applyProtection="1">
      <alignment horizontal="center" vertical="center"/>
      <protection locked="0"/>
    </xf>
    <xf numFmtId="0" fontId="28" fillId="0" borderId="73" xfId="0" applyFont="1" applyBorder="1" applyAlignment="1" applyProtection="1">
      <alignment horizontal="center" vertical="distributed" textRotation="255" indent="1" shrinkToFit="1"/>
      <protection hidden="1"/>
    </xf>
    <xf numFmtId="0" fontId="28" fillId="0" borderId="54" xfId="0" applyFont="1" applyBorder="1" applyAlignment="1" applyProtection="1">
      <alignment horizontal="center" vertical="distributed" textRotation="255" indent="1" shrinkToFit="1"/>
      <protection hidden="1"/>
    </xf>
    <xf numFmtId="0" fontId="28" fillId="0" borderId="54" xfId="0" applyFont="1" applyBorder="1" applyAlignment="1">
      <alignment horizontal="center" vertical="distributed" textRotation="255" indent="1" shrinkToFit="1"/>
    </xf>
    <xf numFmtId="0" fontId="28" fillId="0" borderId="24" xfId="0" applyFont="1" applyBorder="1" applyAlignment="1">
      <alignment horizontal="center" vertical="distributed" textRotation="255" indent="1" shrinkToFit="1"/>
    </xf>
    <xf numFmtId="20" fontId="21" fillId="0" borderId="169" xfId="0" applyNumberFormat="1" applyFont="1" applyBorder="1" applyAlignment="1" applyProtection="1">
      <alignment horizontal="center" vertical="center" shrinkToFit="1"/>
      <protection locked="0"/>
    </xf>
    <xf numFmtId="20" fontId="21" fillId="0" borderId="49" xfId="0" applyNumberFormat="1" applyFont="1" applyBorder="1" applyAlignment="1">
      <alignment horizontal="center" vertical="center" shrinkToFit="1"/>
    </xf>
    <xf numFmtId="20" fontId="21" fillId="0" borderId="170" xfId="0" applyNumberFormat="1" applyFont="1" applyBorder="1" applyAlignment="1">
      <alignment horizontal="center" vertical="center" shrinkToFit="1"/>
    </xf>
    <xf numFmtId="181" fontId="21" fillId="0" borderId="169" xfId="0" applyNumberFormat="1" applyFont="1" applyBorder="1" applyAlignment="1">
      <alignment horizontal="center" vertical="center" shrinkToFit="1"/>
    </xf>
    <xf numFmtId="181" fontId="21" fillId="0" borderId="0" xfId="0" applyNumberFormat="1" applyFont="1" applyAlignment="1">
      <alignment horizontal="center" vertical="center" shrinkToFit="1"/>
    </xf>
    <xf numFmtId="181" fontId="21" fillId="0" borderId="170" xfId="0" applyNumberFormat="1" applyFont="1" applyBorder="1" applyAlignment="1">
      <alignment horizontal="center" vertical="center" shrinkToFit="1"/>
    </xf>
    <xf numFmtId="0" fontId="21" fillId="0" borderId="169" xfId="0" applyFont="1" applyBorder="1" applyAlignment="1">
      <alignment horizontal="right" vertical="center" shrinkToFit="1"/>
    </xf>
    <xf numFmtId="0" fontId="21" fillId="0" borderId="170" xfId="0" applyFont="1" applyBorder="1" applyAlignment="1">
      <alignment horizontal="left" vertical="center" shrinkToFit="1"/>
    </xf>
    <xf numFmtId="0" fontId="21" fillId="0" borderId="170" xfId="0" applyFont="1" applyBorder="1" applyAlignment="1">
      <alignment horizontal="center" vertical="center"/>
    </xf>
    <xf numFmtId="0" fontId="21" fillId="0" borderId="172" xfId="0" applyFont="1" applyBorder="1" applyAlignment="1">
      <alignment horizontal="center" vertical="center"/>
    </xf>
    <xf numFmtId="0" fontId="21" fillId="0" borderId="173" xfId="0" applyFont="1" applyBorder="1" applyAlignment="1">
      <alignment horizontal="center" vertical="center"/>
    </xf>
    <xf numFmtId="0" fontId="24" fillId="0" borderId="180" xfId="0" applyFont="1" applyBorder="1" applyAlignment="1">
      <alignment horizontal="distributed" vertical="center"/>
    </xf>
    <xf numFmtId="0" fontId="54" fillId="0" borderId="0" xfId="0" applyFont="1" applyAlignment="1">
      <alignment horizontal="right" vertical="center" shrinkToFit="1"/>
    </xf>
    <xf numFmtId="0" fontId="54" fillId="0" borderId="0" xfId="0" applyFont="1" applyAlignment="1">
      <alignment horizontal="left" vertical="center" shrinkToFit="1"/>
    </xf>
    <xf numFmtId="0" fontId="30" fillId="0" borderId="0" xfId="0" applyFont="1" applyAlignment="1">
      <alignment horizontal="right" vertical="center" indent="1"/>
    </xf>
    <xf numFmtId="0" fontId="30" fillId="0" borderId="45" xfId="0" applyFont="1" applyBorder="1" applyAlignment="1">
      <alignment horizontal="distributed" vertical="center" indent="1"/>
    </xf>
    <xf numFmtId="0" fontId="30" fillId="0" borderId="16" xfId="0" applyFont="1" applyBorder="1" applyAlignment="1">
      <alignment horizontal="distributed" vertical="center" indent="1"/>
    </xf>
    <xf numFmtId="0" fontId="30" fillId="0" borderId="46" xfId="0" applyFont="1" applyBorder="1" applyAlignment="1">
      <alignment horizontal="distributed" vertical="center" indent="1"/>
    </xf>
    <xf numFmtId="0" fontId="30" fillId="0" borderId="14" xfId="0" applyFont="1" applyBorder="1" applyAlignment="1">
      <alignment horizontal="distributed" vertical="center" indent="1"/>
    </xf>
    <xf numFmtId="0" fontId="30" fillId="0" borderId="15" xfId="0" applyFont="1" applyBorder="1" applyAlignment="1">
      <alignment horizontal="distributed" vertical="center" indent="1"/>
    </xf>
    <xf numFmtId="0" fontId="30" fillId="0" borderId="21" xfId="0" applyFont="1" applyBorder="1" applyAlignment="1">
      <alignment horizontal="distributed" vertical="center" indent="1"/>
    </xf>
    <xf numFmtId="0" fontId="30" fillId="0" borderId="0" xfId="0" applyFont="1" applyAlignment="1">
      <alignment horizontal="left" vertical="center" indent="1"/>
    </xf>
    <xf numFmtId="0" fontId="25" fillId="0" borderId="176" xfId="0" applyFont="1" applyBorder="1" applyAlignment="1">
      <alignment horizontal="center" vertical="center"/>
    </xf>
    <xf numFmtId="0" fontId="21" fillId="0" borderId="170" xfId="0" applyFont="1" applyBorder="1" applyAlignment="1">
      <alignment horizontal="center"/>
    </xf>
    <xf numFmtId="0" fontId="21" fillId="0" borderId="183" xfId="0" applyFont="1" applyBorder="1" applyAlignment="1">
      <alignment horizontal="center"/>
    </xf>
    <xf numFmtId="0" fontId="23" fillId="0" borderId="0" xfId="0" applyFont="1" applyAlignment="1">
      <alignment horizontal="left" vertical="top" textRotation="255"/>
    </xf>
    <xf numFmtId="0" fontId="25" fillId="0" borderId="172" xfId="0" applyFont="1" applyBorder="1" applyAlignment="1">
      <alignment horizontal="center" vertical="center"/>
    </xf>
    <xf numFmtId="0" fontId="21" fillId="0" borderId="169" xfId="0" applyFont="1" applyBorder="1" applyAlignment="1">
      <alignment horizontal="center" vertical="center"/>
    </xf>
    <xf numFmtId="0" fontId="21" fillId="0" borderId="171" xfId="0" applyFont="1" applyBorder="1" applyAlignment="1">
      <alignment horizontal="center" vertical="center"/>
    </xf>
    <xf numFmtId="0" fontId="30" fillId="0" borderId="73" xfId="0" applyFont="1" applyBorder="1" applyAlignment="1">
      <alignment horizontal="center" vertical="center" textRotation="255"/>
    </xf>
    <xf numFmtId="0" fontId="30" fillId="0" borderId="24" xfId="0" applyFont="1" applyBorder="1" applyAlignment="1">
      <alignment horizontal="center" vertical="center" textRotation="255"/>
    </xf>
    <xf numFmtId="0" fontId="30" fillId="0" borderId="54" xfId="0" applyFont="1" applyBorder="1" applyAlignment="1">
      <alignment horizontal="center" vertical="center" textRotation="255"/>
    </xf>
    <xf numFmtId="0" fontId="21" fillId="0" borderId="0" xfId="0" applyFont="1" applyAlignment="1">
      <alignment horizontal="distributed" vertical="center"/>
    </xf>
    <xf numFmtId="0" fontId="23" fillId="0" borderId="154" xfId="0" applyFont="1" applyBorder="1" applyAlignment="1">
      <alignment horizontal="distributed" vertical="center"/>
    </xf>
    <xf numFmtId="0" fontId="21" fillId="0" borderId="184" xfId="0" applyFont="1" applyBorder="1" applyAlignment="1">
      <alignment horizontal="center" vertical="center"/>
    </xf>
    <xf numFmtId="0" fontId="21" fillId="0" borderId="15" xfId="0" applyFont="1" applyBorder="1" applyAlignment="1">
      <alignment horizontal="center" vertical="center" shrinkToFit="1"/>
    </xf>
    <xf numFmtId="0" fontId="21" fillId="0" borderId="183" xfId="0" applyFont="1" applyBorder="1" applyAlignment="1">
      <alignment horizontal="center" vertical="center" shrinkToFit="1"/>
    </xf>
    <xf numFmtId="0" fontId="23" fillId="0" borderId="0" xfId="0" applyFont="1" applyAlignment="1">
      <alignment horizontal="right" vertical="top" textRotation="255"/>
    </xf>
    <xf numFmtId="0" fontId="21" fillId="0" borderId="170" xfId="0" applyFont="1" applyBorder="1" applyAlignment="1">
      <alignment horizontal="center" shrinkToFit="1"/>
    </xf>
    <xf numFmtId="0" fontId="21" fillId="0" borderId="15" xfId="0" applyFont="1" applyBorder="1" applyAlignment="1">
      <alignment horizontal="center" shrinkToFit="1"/>
    </xf>
    <xf numFmtId="0" fontId="21" fillId="0" borderId="183" xfId="0" applyFont="1" applyBorder="1" applyAlignment="1">
      <alignment horizontal="center" shrinkToFit="1"/>
    </xf>
    <xf numFmtId="0" fontId="21" fillId="0" borderId="184" xfId="0" applyFont="1" applyBorder="1" applyAlignment="1">
      <alignment horizontal="center" vertical="center" shrinkToFit="1"/>
    </xf>
    <xf numFmtId="0" fontId="23" fillId="0" borderId="0" xfId="0" applyFont="1" applyAlignment="1">
      <alignment horizontal="distributed" vertical="center" shrinkToFit="1"/>
    </xf>
    <xf numFmtId="181" fontId="21" fillId="0" borderId="0" xfId="0" applyNumberFormat="1" applyFont="1" applyAlignment="1" applyProtection="1">
      <alignment horizontal="center" vertical="center" shrinkToFit="1"/>
      <protection locked="0"/>
    </xf>
    <xf numFmtId="181" fontId="21" fillId="0" borderId="169" xfId="0" applyNumberFormat="1" applyFont="1" applyBorder="1" applyAlignment="1">
      <alignment horizontal="center" vertical="center"/>
    </xf>
    <xf numFmtId="181" fontId="21" fillId="0" borderId="0" xfId="0" applyNumberFormat="1" applyFont="1" applyAlignment="1">
      <alignment horizontal="center" vertical="center"/>
    </xf>
    <xf numFmtId="181" fontId="21" fillId="0" borderId="170" xfId="0" applyNumberFormat="1" applyFont="1" applyBorder="1" applyAlignment="1">
      <alignment horizontal="center" vertical="center"/>
    </xf>
    <xf numFmtId="0" fontId="23" fillId="0" borderId="155" xfId="0" applyFont="1" applyBorder="1" applyAlignment="1">
      <alignment horizontal="distributed" vertical="center"/>
    </xf>
    <xf numFmtId="0" fontId="21" fillId="0" borderId="128" xfId="3" applyFont="1" applyBorder="1" applyAlignment="1">
      <alignment horizontal="center"/>
    </xf>
    <xf numFmtId="0" fontId="21" fillId="0" borderId="19" xfId="0" applyFont="1" applyBorder="1" applyAlignment="1">
      <alignment horizontal="center"/>
    </xf>
    <xf numFmtId="0" fontId="28" fillId="0" borderId="0" xfId="0" applyFont="1" applyAlignment="1">
      <alignment horizontal="right" vertical="top" textRotation="255" shrinkToFit="1"/>
    </xf>
    <xf numFmtId="0" fontId="32" fillId="0" borderId="49" xfId="0" applyFont="1" applyBorder="1" applyAlignment="1">
      <alignment horizontal="center" shrinkToFit="1"/>
    </xf>
    <xf numFmtId="0" fontId="21" fillId="0" borderId="49" xfId="0" applyFont="1" applyBorder="1" applyAlignment="1">
      <alignment horizontal="center" shrinkToFit="1"/>
    </xf>
    <xf numFmtId="0" fontId="21" fillId="0" borderId="174" xfId="0" applyFont="1" applyBorder="1" applyAlignment="1">
      <alignment horizontal="center" shrinkToFit="1"/>
    </xf>
    <xf numFmtId="0" fontId="30" fillId="0" borderId="0" xfId="0" applyFont="1" applyAlignment="1">
      <alignment horizontal="center" vertical="center" shrinkToFit="1"/>
    </xf>
    <xf numFmtId="0" fontId="28" fillId="0" borderId="15" xfId="0" applyFont="1" applyBorder="1" applyAlignment="1">
      <alignment horizontal="distributed" vertical="center" indent="1" shrinkToFit="1"/>
    </xf>
    <xf numFmtId="0" fontId="35" fillId="0" borderId="15" xfId="0" applyFont="1" applyBorder="1" applyAlignment="1">
      <alignment horizontal="center" vertical="center"/>
    </xf>
    <xf numFmtId="0" fontId="21" fillId="0" borderId="0" xfId="0" applyFont="1" applyAlignment="1">
      <alignment horizontal="left" shrinkToFit="1"/>
    </xf>
    <xf numFmtId="0" fontId="35" fillId="0" borderId="54" xfId="0" applyFont="1" applyBorder="1" applyAlignment="1">
      <alignment horizontal="center" vertical="center"/>
    </xf>
    <xf numFmtId="0" fontId="35" fillId="0" borderId="0" xfId="0" applyFont="1" applyAlignment="1">
      <alignment horizontal="right" vertical="center" shrinkToFit="1"/>
    </xf>
    <xf numFmtId="0" fontId="32" fillId="0" borderId="0" xfId="0" applyFont="1" applyAlignment="1">
      <alignment horizontal="center" shrinkToFit="1"/>
    </xf>
    <xf numFmtId="0" fontId="23" fillId="0" borderId="0" xfId="0" applyFont="1" applyAlignment="1">
      <alignment horizontal="distributed" vertical="center" justifyLastLine="1" shrinkToFit="1"/>
    </xf>
    <xf numFmtId="0" fontId="28" fillId="0" borderId="0" xfId="0" applyFont="1" applyAlignment="1">
      <alignment horizontal="left" vertical="center" shrinkToFit="1"/>
    </xf>
    <xf numFmtId="0" fontId="23" fillId="0" borderId="0" xfId="0" applyFont="1" applyAlignment="1">
      <alignment horizontal="right" vertical="top" justifyLastLine="1" shrinkToFit="1"/>
    </xf>
    <xf numFmtId="0" fontId="32" fillId="0" borderId="0" xfId="0" applyFont="1" applyAlignment="1">
      <alignment horizontal="right" vertical="center" shrinkToFit="1"/>
    </xf>
    <xf numFmtId="0" fontId="32" fillId="0" borderId="49" xfId="0" applyFont="1" applyBorder="1" applyAlignment="1">
      <alignment horizontal="center" vertical="center" shrinkToFit="1"/>
    </xf>
    <xf numFmtId="0" fontId="32" fillId="0" borderId="50" xfId="0" applyFont="1" applyBorder="1" applyAlignment="1">
      <alignment horizontal="center" vertical="center" shrinkToFit="1"/>
    </xf>
    <xf numFmtId="0" fontId="32" fillId="0" borderId="0" xfId="0" applyFont="1" applyAlignment="1">
      <alignment horizontal="left" vertical="center" shrinkToFit="1"/>
    </xf>
    <xf numFmtId="0" fontId="32" fillId="0" borderId="47" xfId="0" applyFont="1" applyBorder="1" applyAlignment="1">
      <alignment horizontal="center" vertical="center" shrinkToFit="1"/>
    </xf>
    <xf numFmtId="0" fontId="32" fillId="0" borderId="51" xfId="0" applyFont="1" applyBorder="1" applyAlignment="1">
      <alignment horizontal="center" vertical="center" shrinkToFit="1"/>
    </xf>
    <xf numFmtId="0" fontId="28" fillId="0" borderId="0" xfId="0" applyFont="1" applyAlignment="1">
      <alignment horizontal="center" vertical="center" shrinkToFit="1"/>
    </xf>
    <xf numFmtId="0" fontId="32" fillId="0" borderId="48" xfId="0" applyFont="1" applyBorder="1" applyAlignment="1">
      <alignment horizontal="center" shrinkToFit="1"/>
    </xf>
    <xf numFmtId="0" fontId="21" fillId="0" borderId="48" xfId="0" applyFont="1" applyBorder="1" applyAlignment="1">
      <alignment horizontal="center" shrinkToFit="1"/>
    </xf>
    <xf numFmtId="0" fontId="21" fillId="0" borderId="175" xfId="0" applyFont="1" applyBorder="1" applyAlignment="1">
      <alignment horizontal="center" shrinkToFit="1"/>
    </xf>
    <xf numFmtId="0" fontId="32" fillId="0" borderId="175" xfId="0" applyFont="1" applyBorder="1" applyAlignment="1">
      <alignment horizontal="center" vertical="center" shrinkToFit="1"/>
    </xf>
    <xf numFmtId="0" fontId="32" fillId="0" borderId="172" xfId="0" applyFont="1" applyBorder="1" applyAlignment="1">
      <alignment horizontal="center" vertical="center" shrinkToFit="1"/>
    </xf>
    <xf numFmtId="0" fontId="32" fillId="0" borderId="174" xfId="0" applyFont="1" applyBorder="1" applyAlignment="1">
      <alignment horizontal="center" vertical="center" shrinkToFit="1"/>
    </xf>
    <xf numFmtId="0" fontId="37" fillId="0" borderId="170" xfId="0" applyFont="1" applyBorder="1" applyAlignment="1">
      <alignment horizontal="center" shrinkToFit="1"/>
    </xf>
    <xf numFmtId="0" fontId="21" fillId="0" borderId="173" xfId="0" applyFont="1" applyBorder="1" applyAlignment="1">
      <alignment horizontal="center" shrinkToFit="1"/>
    </xf>
    <xf numFmtId="0" fontId="37" fillId="0" borderId="169" xfId="0" applyFont="1" applyBorder="1" applyAlignment="1">
      <alignment horizontal="center" shrinkToFit="1"/>
    </xf>
    <xf numFmtId="0" fontId="21" fillId="0" borderId="169" xfId="0" applyFont="1" applyBorder="1" applyAlignment="1">
      <alignment horizontal="center" shrinkToFit="1"/>
    </xf>
    <xf numFmtId="0" fontId="21" fillId="0" borderId="171" xfId="0" applyFont="1" applyBorder="1" applyAlignment="1">
      <alignment horizontal="center" shrinkToFit="1"/>
    </xf>
    <xf numFmtId="0" fontId="28" fillId="0" borderId="0" xfId="0" applyFont="1" applyAlignment="1">
      <alignment horizontal="left" vertical="top" textRotation="255" shrinkToFit="1"/>
    </xf>
    <xf numFmtId="0" fontId="37" fillId="0" borderId="0" xfId="0" applyFont="1" applyAlignment="1">
      <alignment horizontal="center" vertical="center" shrinkToFit="1"/>
    </xf>
    <xf numFmtId="0" fontId="32" fillId="0" borderId="171" xfId="0" applyFont="1" applyBorder="1" applyAlignment="1">
      <alignment horizontal="center" vertical="center" shrinkToFit="1"/>
    </xf>
    <xf numFmtId="0" fontId="32" fillId="0" borderId="173" xfId="0" applyFont="1" applyBorder="1" applyAlignment="1">
      <alignment horizontal="center" vertical="center" shrinkToFit="1"/>
    </xf>
    <xf numFmtId="0" fontId="32" fillId="0" borderId="170" xfId="0" applyFont="1" applyBorder="1" applyAlignment="1">
      <alignment horizontal="center" shrinkToFit="1"/>
    </xf>
    <xf numFmtId="0" fontId="32" fillId="0" borderId="169" xfId="0" applyFont="1" applyBorder="1" applyAlignment="1">
      <alignment horizontal="center" shrinkToFit="1"/>
    </xf>
    <xf numFmtId="0" fontId="21" fillId="0" borderId="184" xfId="0" applyFont="1" applyBorder="1" applyAlignment="1">
      <alignment horizontal="center" shrinkToFit="1"/>
    </xf>
    <xf numFmtId="0" fontId="32" fillId="0" borderId="169" xfId="0" applyFont="1" applyBorder="1" applyAlignment="1" applyProtection="1">
      <alignment horizontal="right" vertical="center" shrinkToFit="1"/>
      <protection locked="0"/>
    </xf>
    <xf numFmtId="0" fontId="32" fillId="0" borderId="0" xfId="0" applyFont="1" applyAlignment="1" applyProtection="1">
      <alignment horizontal="right" vertical="center" shrinkToFit="1"/>
      <protection locked="0"/>
    </xf>
    <xf numFmtId="0" fontId="32" fillId="0" borderId="0" xfId="0" applyFont="1" applyAlignment="1" applyProtection="1">
      <alignment horizontal="left" vertical="center" shrinkToFit="1"/>
      <protection locked="0"/>
    </xf>
    <xf numFmtId="0" fontId="32" fillId="0" borderId="170" xfId="0" applyFont="1" applyBorder="1" applyAlignment="1" applyProtection="1">
      <alignment horizontal="left" vertical="center" shrinkToFit="1"/>
      <protection locked="0"/>
    </xf>
    <xf numFmtId="0" fontId="32" fillId="0" borderId="169" xfId="0" applyFont="1" applyBorder="1" applyAlignment="1">
      <alignment horizontal="right" vertical="center" shrinkToFit="1"/>
    </xf>
    <xf numFmtId="181" fontId="21" fillId="0" borderId="0" xfId="0" applyNumberFormat="1" applyFont="1" applyAlignment="1">
      <alignment horizontal="left" vertical="center" shrinkToFit="1"/>
    </xf>
    <xf numFmtId="181" fontId="21" fillId="0" borderId="170" xfId="0" applyNumberFormat="1" applyFont="1" applyBorder="1" applyAlignment="1">
      <alignment horizontal="left" vertical="center" shrinkToFit="1"/>
    </xf>
    <xf numFmtId="0" fontId="21" fillId="0" borderId="169" xfId="0" applyFont="1" applyBorder="1" applyAlignment="1">
      <alignment horizontal="right" vertical="center"/>
    </xf>
    <xf numFmtId="0" fontId="50" fillId="0" borderId="12" xfId="0" applyFont="1" applyBorder="1" applyAlignment="1">
      <alignment horizontal="center" vertical="distributed" textRotation="180" shrinkToFit="1"/>
    </xf>
    <xf numFmtId="0" fontId="50" fillId="0" borderId="37" xfId="0" applyFont="1" applyBorder="1" applyAlignment="1">
      <alignment horizontal="center" vertical="distributed" textRotation="180" shrinkToFit="1"/>
    </xf>
    <xf numFmtId="0" fontId="33" fillId="0" borderId="45" xfId="0" applyFont="1" applyBorder="1" applyAlignment="1">
      <alignment horizontal="center" vertical="center" textRotation="255" shrinkToFit="1"/>
    </xf>
    <xf numFmtId="0" fontId="33" fillId="0" borderId="46" xfId="0" applyFont="1" applyBorder="1" applyAlignment="1">
      <alignment horizontal="center" vertical="center" textRotation="255" shrinkToFit="1"/>
    </xf>
    <xf numFmtId="0" fontId="33" fillId="0" borderId="16" xfId="0" applyFont="1" applyBorder="1" applyAlignment="1">
      <alignment horizontal="center" vertical="center" textRotation="255" shrinkToFit="1"/>
    </xf>
    <xf numFmtId="0" fontId="38" fillId="0" borderId="169" xfId="0" applyFont="1" applyBorder="1" applyAlignment="1">
      <alignment horizontal="center" shrinkToFit="1"/>
    </xf>
    <xf numFmtId="0" fontId="50" fillId="0" borderId="0" xfId="0" applyFont="1" applyAlignment="1">
      <alignment horizontal="center" vertical="distributed" textRotation="180" shrinkToFit="1"/>
    </xf>
    <xf numFmtId="0" fontId="32" fillId="0" borderId="15" xfId="0" applyFont="1" applyBorder="1" applyAlignment="1">
      <alignment horizontal="center" shrinkToFit="1"/>
    </xf>
    <xf numFmtId="0" fontId="32" fillId="0" borderId="183" xfId="0" applyFont="1" applyBorder="1" applyAlignment="1">
      <alignment horizontal="center" shrinkToFit="1"/>
    </xf>
    <xf numFmtId="0" fontId="52" fillId="0" borderId="14" xfId="0" applyFont="1" applyBorder="1" applyAlignment="1">
      <alignment horizontal="center" vertical="distributed" textRotation="180" shrinkToFit="1"/>
    </xf>
    <xf numFmtId="0" fontId="52" fillId="0" borderId="21" xfId="0" applyFont="1" applyBorder="1" applyAlignment="1">
      <alignment horizontal="center" vertical="distributed" textRotation="180" shrinkToFit="1"/>
    </xf>
    <xf numFmtId="0" fontId="52" fillId="0" borderId="15" xfId="0" applyFont="1" applyBorder="1" applyAlignment="1">
      <alignment horizontal="center" vertical="distributed" textRotation="180" shrinkToFit="1"/>
    </xf>
    <xf numFmtId="0" fontId="55" fillId="0" borderId="169" xfId="0" applyFont="1" applyBorder="1" applyAlignment="1">
      <alignment horizontal="center" vertical="center" shrinkToFit="1"/>
    </xf>
    <xf numFmtId="0" fontId="55" fillId="0" borderId="0" xfId="0" applyFont="1" applyAlignment="1">
      <alignment horizontal="center" vertical="center" shrinkToFit="1"/>
    </xf>
    <xf numFmtId="0" fontId="55" fillId="0" borderId="170" xfId="0" applyFont="1" applyBorder="1" applyAlignment="1">
      <alignment horizontal="center" vertical="center" shrinkToFit="1"/>
    </xf>
    <xf numFmtId="0" fontId="55" fillId="0" borderId="48" xfId="0" applyFont="1" applyBorder="1" applyAlignment="1">
      <alignment horizontal="center" vertical="center" shrinkToFit="1"/>
    </xf>
    <xf numFmtId="0" fontId="55" fillId="0" borderId="49" xfId="0" applyFont="1" applyBorder="1" applyAlignment="1">
      <alignment horizontal="center" vertical="center" shrinkToFit="1"/>
    </xf>
    <xf numFmtId="181" fontId="21" fillId="0" borderId="49" xfId="0" applyNumberFormat="1" applyFont="1" applyBorder="1" applyAlignment="1">
      <alignment horizontal="left" vertical="center" shrinkToFit="1"/>
    </xf>
    <xf numFmtId="0" fontId="21" fillId="0" borderId="48" xfId="0" applyFont="1" applyBorder="1" applyAlignment="1">
      <alignment horizontal="right" vertical="center" shrinkToFit="1"/>
    </xf>
    <xf numFmtId="0" fontId="39" fillId="0" borderId="15" xfId="0" applyFont="1" applyBorder="1" applyAlignment="1">
      <alignment horizontal="center" vertical="center" shrinkToFit="1"/>
    </xf>
    <xf numFmtId="0" fontId="39" fillId="0" borderId="129" xfId="0" applyFont="1" applyBorder="1" applyAlignment="1">
      <alignment horizontal="center" vertical="center"/>
    </xf>
    <xf numFmtId="0" fontId="22" fillId="0" borderId="0" xfId="0" applyFont="1" applyAlignment="1">
      <alignment horizontal="left" vertical="center"/>
    </xf>
    <xf numFmtId="0" fontId="22" fillId="0" borderId="60" xfId="0" applyFont="1" applyBorder="1" applyAlignment="1">
      <alignment horizontal="left" vertical="center"/>
    </xf>
    <xf numFmtId="0" fontId="0" fillId="0" borderId="133" xfId="0" applyBorder="1" applyAlignment="1">
      <alignment horizontal="distributed" vertical="center" indent="2"/>
    </xf>
    <xf numFmtId="0" fontId="0" fillId="0" borderId="134" xfId="0" applyBorder="1" applyAlignment="1">
      <alignment horizontal="distributed" vertical="center" indent="2"/>
    </xf>
    <xf numFmtId="0" fontId="0" fillId="0" borderId="68" xfId="0" applyBorder="1" applyAlignment="1">
      <alignment horizontal="left" vertical="center"/>
    </xf>
    <xf numFmtId="0" fontId="0" fillId="0" borderId="125" xfId="0" applyBorder="1" applyAlignment="1">
      <alignment horizontal="left" vertical="center"/>
    </xf>
    <xf numFmtId="0" fontId="3" fillId="0" borderId="73" xfId="0" applyFont="1" applyBorder="1" applyAlignment="1">
      <alignment horizontal="center" vertical="center"/>
    </xf>
    <xf numFmtId="0" fontId="3" fillId="0" borderId="54" xfId="0" applyFont="1" applyBorder="1" applyAlignment="1">
      <alignment horizontal="center" vertical="center"/>
    </xf>
    <xf numFmtId="0" fontId="3" fillId="0" borderId="24" xfId="0" applyFont="1" applyBorder="1" applyAlignment="1">
      <alignment horizontal="center" vertical="center"/>
    </xf>
    <xf numFmtId="0" fontId="0" fillId="0" borderId="15" xfId="0" applyBorder="1" applyAlignment="1">
      <alignment horizontal="center" vertical="center"/>
    </xf>
    <xf numFmtId="0" fontId="5" fillId="0" borderId="15" xfId="0" applyFont="1" applyBorder="1" applyAlignment="1">
      <alignment horizontal="left" vertical="center" indent="2"/>
    </xf>
    <xf numFmtId="0" fontId="0" fillId="0" borderId="16" xfId="0" applyBorder="1" applyAlignment="1">
      <alignment horizontal="distributed" vertical="center"/>
    </xf>
    <xf numFmtId="0" fontId="0" fillId="0" borderId="0" xfId="0" applyAlignment="1">
      <alignment horizontal="distributed" vertical="center"/>
    </xf>
    <xf numFmtId="0" fontId="0" fillId="0" borderId="73" xfId="0" applyBorder="1" applyAlignment="1">
      <alignment horizontal="distributed" vertical="center"/>
    </xf>
    <xf numFmtId="0" fontId="0" fillId="0" borderId="24" xfId="0" applyBorder="1" applyAlignment="1">
      <alignment horizontal="distributed" vertical="center"/>
    </xf>
    <xf numFmtId="0" fontId="0" fillId="0" borderId="132" xfId="0" applyBorder="1" applyAlignment="1">
      <alignment horizontal="distributed" vertical="center" indent="2"/>
    </xf>
    <xf numFmtId="0" fontId="0" fillId="0" borderId="8" xfId="0" applyBorder="1" applyAlignment="1">
      <alignment horizontal="distributed" vertical="center" indent="2"/>
    </xf>
    <xf numFmtId="0" fontId="0" fillId="0" borderId="126" xfId="0" applyBorder="1" applyAlignment="1">
      <alignment horizontal="left" vertical="center" indent="2"/>
    </xf>
    <xf numFmtId="0" fontId="0" fillId="0" borderId="127" xfId="0" applyBorder="1" applyAlignment="1">
      <alignment horizontal="left" vertical="center" indent="2"/>
    </xf>
    <xf numFmtId="0" fontId="0" fillId="0" borderId="136" xfId="0" applyBorder="1" applyAlignment="1">
      <alignment horizontal="left" vertical="center" indent="2"/>
    </xf>
    <xf numFmtId="0" fontId="0" fillId="0" borderId="130" xfId="0" applyBorder="1" applyAlignment="1">
      <alignment horizontal="distributed" vertical="center" indent="2"/>
    </xf>
    <xf numFmtId="0" fontId="0" fillId="0" borderId="5" xfId="0" applyBorder="1" applyAlignment="1">
      <alignment horizontal="distributed" vertical="center" indent="2"/>
    </xf>
    <xf numFmtId="0" fontId="0" fillId="0" borderId="137" xfId="0" applyBorder="1" applyAlignment="1">
      <alignment horizontal="distributed" vertical="center" indent="2"/>
    </xf>
    <xf numFmtId="0" fontId="0" fillId="0" borderId="26" xfId="0" applyBorder="1" applyAlignment="1">
      <alignment horizontal="distributed" vertical="center" indent="2"/>
    </xf>
    <xf numFmtId="0" fontId="0" fillId="0" borderId="54" xfId="0" applyBorder="1" applyAlignment="1">
      <alignment horizontal="center" vertical="center" shrinkToFit="1"/>
    </xf>
    <xf numFmtId="0" fontId="0" fillId="0" borderId="131" xfId="0" applyBorder="1" applyAlignment="1">
      <alignment horizontal="center" vertical="center" shrinkToFit="1"/>
    </xf>
    <xf numFmtId="0" fontId="0" fillId="0" borderId="5" xfId="0" applyBorder="1" applyAlignment="1">
      <alignment horizontal="center" vertical="center"/>
    </xf>
    <xf numFmtId="0" fontId="0" fillId="0" borderId="26" xfId="0" applyBorder="1" applyAlignment="1">
      <alignment horizontal="center" vertical="center"/>
    </xf>
    <xf numFmtId="0" fontId="0" fillId="0" borderId="74" xfId="0" applyBorder="1" applyAlignment="1">
      <alignment horizontal="center" vertical="center"/>
    </xf>
    <xf numFmtId="0" fontId="0" fillId="0" borderId="6" xfId="0" applyBorder="1" applyAlignment="1">
      <alignment horizontal="center" vertical="center"/>
    </xf>
    <xf numFmtId="0" fontId="0" fillId="0" borderId="27" xfId="0" applyBorder="1" applyAlignment="1">
      <alignment horizontal="center" vertical="center"/>
    </xf>
    <xf numFmtId="0" fontId="0" fillId="0" borderId="75" xfId="0" applyBorder="1" applyAlignment="1">
      <alignment horizontal="center" vertical="center"/>
    </xf>
    <xf numFmtId="0" fontId="0" fillId="0" borderId="133" xfId="0" applyBorder="1" applyAlignment="1">
      <alignment horizontal="distributed" vertical="center" indent="1"/>
    </xf>
    <xf numFmtId="0" fontId="0" fillId="0" borderId="134" xfId="0" applyBorder="1" applyAlignment="1">
      <alignment horizontal="distributed" vertical="center" indent="1"/>
    </xf>
    <xf numFmtId="0" fontId="0" fillId="0" borderId="134" xfId="0" applyBorder="1" applyAlignment="1">
      <alignment horizontal="center" vertical="center"/>
    </xf>
    <xf numFmtId="0" fontId="0" fillId="0" borderId="135" xfId="0" applyBorder="1" applyAlignment="1">
      <alignment horizontal="center" vertical="center"/>
    </xf>
    <xf numFmtId="0" fontId="0" fillId="0" borderId="130" xfId="0" applyBorder="1" applyAlignment="1">
      <alignment horizontal="distributed" vertical="center" indent="1"/>
    </xf>
    <xf numFmtId="0" fontId="0" fillId="0" borderId="5" xfId="0" applyBorder="1" applyAlignment="1">
      <alignment horizontal="distributed" vertical="center" indent="1"/>
    </xf>
    <xf numFmtId="0" fontId="0" fillId="0" borderId="73" xfId="0" applyBorder="1" applyAlignment="1">
      <alignment horizontal="center" vertical="center"/>
    </xf>
    <xf numFmtId="0" fontId="0" fillId="0" borderId="54" xfId="0" applyBorder="1" applyAlignment="1">
      <alignment horizontal="center" vertical="center"/>
    </xf>
    <xf numFmtId="0" fontId="0" fillId="0" borderId="131" xfId="0" applyBorder="1" applyAlignment="1">
      <alignment horizontal="center" vertical="center"/>
    </xf>
    <xf numFmtId="0" fontId="0" fillId="0" borderId="132" xfId="0" applyBorder="1" applyAlignment="1">
      <alignment horizontal="distributed" vertical="center" indent="1"/>
    </xf>
    <xf numFmtId="0" fontId="0" fillId="0" borderId="8" xfId="0" applyBorder="1" applyAlignment="1">
      <alignment horizontal="distributed" vertical="center" indent="1"/>
    </xf>
    <xf numFmtId="0" fontId="0" fillId="0" borderId="16" xfId="0" applyBorder="1" applyAlignment="1">
      <alignment horizontal="center" vertical="center"/>
    </xf>
    <xf numFmtId="0" fontId="0" fillId="0" borderId="12" xfId="0" applyBorder="1" applyAlignment="1">
      <alignment horizontal="center" vertical="center"/>
    </xf>
    <xf numFmtId="0" fontId="0" fillId="0" borderId="0" xfId="0" applyAlignment="1">
      <alignment horizontal="center" vertical="center"/>
    </xf>
    <xf numFmtId="0" fontId="0" fillId="0" borderId="77" xfId="0" applyBorder="1" applyAlignment="1">
      <alignment horizontal="center" vertical="center"/>
    </xf>
    <xf numFmtId="0" fontId="0" fillId="0" borderId="39" xfId="0" applyBorder="1" applyAlignment="1">
      <alignment horizontal="center" vertical="center"/>
    </xf>
    <xf numFmtId="0" fontId="0" fillId="0" borderId="38" xfId="0" applyBorder="1" applyAlignment="1">
      <alignment horizontal="center" vertical="center"/>
    </xf>
    <xf numFmtId="0" fontId="0" fillId="0" borderId="123" xfId="0" applyBorder="1" applyAlignment="1">
      <alignment horizontal="center" vertical="center"/>
    </xf>
    <xf numFmtId="0" fontId="0" fillId="0" borderId="24" xfId="0" applyBorder="1" applyAlignment="1">
      <alignment horizontal="center" vertical="center"/>
    </xf>
    <xf numFmtId="176" fontId="0" fillId="0" borderId="124" xfId="0" applyNumberFormat="1" applyBorder="1" applyAlignment="1">
      <alignment horizontal="right" vertical="center"/>
    </xf>
    <xf numFmtId="176" fontId="0" fillId="0" borderId="68" xfId="0" applyNumberFormat="1" applyBorder="1" applyAlignment="1">
      <alignment horizontal="right" vertical="center"/>
    </xf>
    <xf numFmtId="0" fontId="32" fillId="0" borderId="0" xfId="2" applyFont="1" applyAlignment="1">
      <alignment horizontal="left" vertical="center"/>
    </xf>
    <xf numFmtId="0" fontId="40" fillId="0" borderId="74" xfId="2" applyFont="1" applyBorder="1" applyAlignment="1">
      <alignment horizontal="center" vertical="center"/>
    </xf>
    <xf numFmtId="0" fontId="30" fillId="0" borderId="149" xfId="2" applyFont="1" applyBorder="1" applyAlignment="1">
      <alignment horizontal="center" vertical="center"/>
    </xf>
    <xf numFmtId="0" fontId="30" fillId="0" borderId="22" xfId="2" applyFont="1" applyBorder="1" applyAlignment="1">
      <alignment horizontal="center" vertical="center"/>
    </xf>
    <xf numFmtId="0" fontId="40" fillId="0" borderId="15" xfId="2" applyFont="1" applyBorder="1" applyAlignment="1">
      <alignment horizontal="left" vertical="center" shrinkToFit="1"/>
    </xf>
    <xf numFmtId="0" fontId="35" fillId="0" borderId="113" xfId="2" applyFont="1" applyBorder="1" applyAlignment="1">
      <alignment horizontal="center" vertical="center" shrinkToFit="1"/>
    </xf>
    <xf numFmtId="0" fontId="35" fillId="0" borderId="139" xfId="2" applyFont="1" applyBorder="1" applyAlignment="1">
      <alignment horizontal="center" vertical="center" shrinkToFit="1"/>
    </xf>
    <xf numFmtId="31" fontId="35" fillId="0" borderId="139" xfId="2" applyNumberFormat="1" applyFont="1" applyBorder="1" applyAlignment="1">
      <alignment horizontal="center" vertical="center" shrinkToFit="1"/>
    </xf>
    <xf numFmtId="31" fontId="35" fillId="0" borderId="116" xfId="2" applyNumberFormat="1" applyFont="1" applyBorder="1" applyAlignment="1">
      <alignment horizontal="center" vertical="center" shrinkToFit="1"/>
    </xf>
    <xf numFmtId="20" fontId="35" fillId="0" borderId="115" xfId="2" applyNumberFormat="1" applyFont="1" applyBorder="1" applyAlignment="1">
      <alignment horizontal="center" vertical="center" shrinkToFit="1"/>
    </xf>
    <xf numFmtId="20" fontId="35" fillId="0" borderId="139" xfId="2" applyNumberFormat="1" applyFont="1" applyBorder="1" applyAlignment="1">
      <alignment horizontal="center" vertical="center" shrinkToFit="1"/>
    </xf>
    <xf numFmtId="0" fontId="35" fillId="0" borderId="109" xfId="2" applyFont="1" applyBorder="1" applyAlignment="1">
      <alignment horizontal="center" vertical="center" shrinkToFit="1"/>
    </xf>
    <xf numFmtId="0" fontId="41" fillId="0" borderId="0" xfId="2" applyFont="1" applyAlignment="1">
      <alignment horizontal="left" vertical="center" shrinkToFit="1"/>
    </xf>
    <xf numFmtId="0" fontId="35" fillId="0" borderId="104" xfId="2" applyFont="1" applyBorder="1" applyAlignment="1">
      <alignment horizontal="center" vertical="center" shrinkToFit="1"/>
    </xf>
    <xf numFmtId="0" fontId="35" fillId="0" borderId="102" xfId="2" applyFont="1" applyBorder="1" applyAlignment="1">
      <alignment horizontal="center" vertical="center" shrinkToFit="1"/>
    </xf>
    <xf numFmtId="0" fontId="35" fillId="0" borderId="102" xfId="4" applyFont="1" applyBorder="1" applyAlignment="1">
      <alignment horizontal="center" vertical="center" shrinkToFit="1"/>
    </xf>
    <xf numFmtId="0" fontId="35" fillId="0" borderId="107" xfId="4" applyFont="1" applyBorder="1" applyAlignment="1">
      <alignment horizontal="center" vertical="center" shrinkToFit="1"/>
    </xf>
    <xf numFmtId="0" fontId="35" fillId="0" borderId="95" xfId="2" applyFont="1" applyBorder="1" applyAlignment="1">
      <alignment horizontal="center" vertical="center" shrinkToFit="1"/>
    </xf>
    <xf numFmtId="0" fontId="35" fillId="0" borderId="79" xfId="2" applyFont="1" applyBorder="1" applyAlignment="1">
      <alignment horizontal="center" vertical="center" shrinkToFit="1"/>
    </xf>
    <xf numFmtId="0" fontId="35" fillId="0" borderId="78" xfId="2" applyFont="1" applyBorder="1" applyAlignment="1">
      <alignment horizontal="center" vertical="center" shrinkToFit="1"/>
    </xf>
    <xf numFmtId="177" fontId="35" fillId="0" borderId="95" xfId="2" applyNumberFormat="1" applyFont="1" applyBorder="1" applyAlignment="1">
      <alignment horizontal="center" vertical="center" shrinkToFit="1"/>
    </xf>
    <xf numFmtId="177" fontId="35" fillId="0" borderId="95" xfId="2" quotePrefix="1" applyNumberFormat="1" applyFont="1" applyBorder="1" applyAlignment="1">
      <alignment horizontal="center" vertical="center" shrinkToFit="1"/>
    </xf>
    <xf numFmtId="178" fontId="35" fillId="0" borderId="95" xfId="2" applyNumberFormat="1" applyFont="1" applyBorder="1" applyAlignment="1">
      <alignment horizontal="center" vertical="center" shrinkToFit="1"/>
    </xf>
    <xf numFmtId="178" fontId="35" fillId="0" borderId="95" xfId="2" quotePrefix="1" applyNumberFormat="1" applyFont="1" applyBorder="1" applyAlignment="1">
      <alignment horizontal="center" vertical="center" shrinkToFit="1"/>
    </xf>
    <xf numFmtId="0" fontId="43" fillId="0" borderId="105" xfId="2" applyFont="1" applyBorder="1" applyAlignment="1">
      <alignment horizontal="center" vertical="center"/>
    </xf>
    <xf numFmtId="0" fontId="43" fillId="0" borderId="81" xfId="2" applyFont="1" applyBorder="1" applyAlignment="1">
      <alignment horizontal="center" vertical="center"/>
    </xf>
    <xf numFmtId="0" fontId="43" fillId="0" borderId="97" xfId="2" applyFont="1" applyBorder="1" applyAlignment="1">
      <alignment horizontal="center" vertical="center"/>
    </xf>
    <xf numFmtId="0" fontId="43" fillId="0" borderId="115" xfId="2" applyFont="1" applyBorder="1" applyAlignment="1">
      <alignment horizontal="center" vertical="center"/>
    </xf>
    <xf numFmtId="0" fontId="32" fillId="0" borderId="116" xfId="2" applyFont="1" applyBorder="1" applyAlignment="1">
      <alignment horizontal="center" vertical="center" shrinkToFit="1"/>
    </xf>
    <xf numFmtId="0" fontId="32" fillId="0" borderId="138" xfId="2" applyFont="1" applyBorder="1" applyAlignment="1">
      <alignment horizontal="center" vertical="center" shrinkToFit="1"/>
    </xf>
    <xf numFmtId="0" fontId="32" fillId="0" borderId="115" xfId="2" applyFont="1" applyBorder="1" applyAlignment="1">
      <alignment horizontal="center" vertical="center" shrinkToFit="1"/>
    </xf>
    <xf numFmtId="179" fontId="35" fillId="0" borderId="95" xfId="2" applyNumberFormat="1" applyFont="1" applyBorder="1" applyAlignment="1">
      <alignment horizontal="center" vertical="center" shrinkToFit="1"/>
    </xf>
    <xf numFmtId="179" fontId="35" fillId="0" borderId="79" xfId="2" applyNumberFormat="1" applyFont="1" applyBorder="1" applyAlignment="1">
      <alignment horizontal="center" vertical="center" shrinkToFit="1"/>
    </xf>
    <xf numFmtId="179" fontId="35" fillId="0" borderId="96" xfId="2" applyNumberFormat="1" applyFont="1" applyBorder="1" applyAlignment="1">
      <alignment horizontal="center" vertical="center" shrinkToFit="1"/>
    </xf>
    <xf numFmtId="179" fontId="35" fillId="0" borderId="83" xfId="2" applyNumberFormat="1" applyFont="1" applyBorder="1" applyAlignment="1">
      <alignment horizontal="center" vertical="center" shrinkToFit="1"/>
    </xf>
    <xf numFmtId="0" fontId="35" fillId="0" borderId="96" xfId="2" applyFont="1" applyBorder="1" applyAlignment="1">
      <alignment horizontal="center" vertical="center" shrinkToFit="1"/>
    </xf>
    <xf numFmtId="0" fontId="35" fillId="0" borderId="82" xfId="2" applyFont="1" applyBorder="1" applyAlignment="1">
      <alignment horizontal="center" vertical="center" shrinkToFit="1"/>
    </xf>
    <xf numFmtId="0" fontId="28" fillId="0" borderId="45" xfId="2" applyFont="1" applyBorder="1" applyAlignment="1">
      <alignment horizontal="center" vertical="center" shrinkToFit="1"/>
    </xf>
    <xf numFmtId="0" fontId="28" fillId="0" borderId="16" xfId="2" applyFont="1" applyBorder="1" applyAlignment="1">
      <alignment horizontal="center" vertical="center" shrinkToFit="1"/>
    </xf>
    <xf numFmtId="0" fontId="43" fillId="0" borderId="104" xfId="2" applyFont="1" applyBorder="1" applyAlignment="1">
      <alignment horizontal="center" vertical="center"/>
    </xf>
    <xf numFmtId="0" fontId="43" fillId="0" borderId="101" xfId="2" applyFont="1" applyBorder="1" applyAlignment="1">
      <alignment horizontal="center" vertical="center"/>
    </xf>
    <xf numFmtId="0" fontId="43" fillId="0" borderId="98" xfId="2" applyFont="1" applyBorder="1" applyAlignment="1">
      <alignment horizontal="center" vertical="center"/>
    </xf>
    <xf numFmtId="0" fontId="43" fillId="0" borderId="107" xfId="2" applyFont="1" applyBorder="1" applyAlignment="1">
      <alignment horizontal="center" vertical="center"/>
    </xf>
    <xf numFmtId="0" fontId="40" fillId="0" borderId="73" xfId="2" applyFont="1" applyBorder="1" applyAlignment="1">
      <alignment horizontal="center" vertical="center"/>
    </xf>
    <xf numFmtId="0" fontId="40" fillId="0" borderId="54" xfId="2" applyFont="1" applyBorder="1" applyAlignment="1">
      <alignment horizontal="center" vertical="center"/>
    </xf>
    <xf numFmtId="0" fontId="47" fillId="0" borderId="54" xfId="2" applyFont="1" applyBorder="1" applyAlignment="1">
      <alignment horizontal="center" vertical="center"/>
    </xf>
    <xf numFmtId="0" fontId="47" fillId="0" borderId="150" xfId="2" applyFont="1" applyBorder="1" applyAlignment="1">
      <alignment horizontal="center" vertical="center"/>
    </xf>
    <xf numFmtId="0" fontId="40" fillId="0" borderId="140" xfId="2" applyFont="1" applyBorder="1" applyAlignment="1">
      <alignment horizontal="center" vertical="center"/>
    </xf>
    <xf numFmtId="0" fontId="40" fillId="0" borderId="150" xfId="2" applyFont="1" applyBorder="1" applyAlignment="1">
      <alignment horizontal="center" vertical="center"/>
    </xf>
    <xf numFmtId="0" fontId="47" fillId="0" borderId="140" xfId="2" applyFont="1" applyBorder="1" applyAlignment="1">
      <alignment horizontal="center" vertical="center"/>
    </xf>
    <xf numFmtId="0" fontId="40" fillId="0" borderId="24" xfId="2" applyFont="1" applyBorder="1" applyAlignment="1">
      <alignment horizontal="center" vertical="center"/>
    </xf>
    <xf numFmtId="0" fontId="32" fillId="0" borderId="97" xfId="2" applyFont="1" applyBorder="1" applyAlignment="1">
      <alignment horizontal="center" vertical="center" shrinkToFit="1"/>
    </xf>
    <xf numFmtId="0" fontId="32" fillId="0" borderId="80" xfId="2" applyFont="1" applyBorder="1" applyAlignment="1">
      <alignment horizontal="center" vertical="center" shrinkToFit="1"/>
    </xf>
    <xf numFmtId="0" fontId="32" fillId="0" borderId="113" xfId="2" applyFont="1" applyBorder="1" applyAlignment="1">
      <alignment horizontal="center" vertical="center" shrinkToFit="1"/>
    </xf>
    <xf numFmtId="0" fontId="32" fillId="0" borderId="109" xfId="2" applyFont="1" applyBorder="1" applyAlignment="1">
      <alignment horizontal="center" vertical="center" shrinkToFit="1"/>
    </xf>
    <xf numFmtId="0" fontId="32" fillId="0" borderId="82" xfId="2" applyFont="1" applyBorder="1" applyAlignment="1">
      <alignment horizontal="center" vertical="center" shrinkToFit="1"/>
    </xf>
    <xf numFmtId="0" fontId="32" fillId="0" borderId="83" xfId="2" applyFont="1" applyBorder="1" applyAlignment="1">
      <alignment horizontal="center" vertical="center" shrinkToFit="1"/>
    </xf>
    <xf numFmtId="0" fontId="32" fillId="0" borderId="139" xfId="2" applyFont="1" applyBorder="1" applyAlignment="1">
      <alignment horizontal="center" vertical="center" shrinkToFit="1"/>
    </xf>
    <xf numFmtId="0" fontId="32" fillId="0" borderId="74" xfId="2" applyFont="1" applyBorder="1" applyAlignment="1">
      <alignment horizontal="center" vertical="center" textRotation="255" shrinkToFit="1"/>
    </xf>
    <xf numFmtId="0" fontId="32" fillId="0" borderId="149" xfId="2" applyFont="1" applyBorder="1" applyAlignment="1">
      <alignment horizontal="center" vertical="center" textRotation="255" shrinkToFit="1"/>
    </xf>
    <xf numFmtId="0" fontId="32" fillId="0" borderId="110" xfId="2" applyFont="1" applyBorder="1" applyAlignment="1">
      <alignment horizontal="center" vertical="center" shrinkToFit="1"/>
    </xf>
    <xf numFmtId="0" fontId="32" fillId="0" borderId="55" xfId="2" applyFont="1" applyBorder="1" applyAlignment="1">
      <alignment horizontal="center" vertical="center" shrinkToFit="1"/>
    </xf>
    <xf numFmtId="0" fontId="35" fillId="0" borderId="98" xfId="2" applyFont="1" applyBorder="1" applyAlignment="1">
      <alignment horizontal="center" vertical="center" shrinkToFit="1"/>
    </xf>
    <xf numFmtId="0" fontId="35" fillId="0" borderId="101" xfId="2" applyFont="1" applyBorder="1" applyAlignment="1">
      <alignment horizontal="center" vertical="center" shrinkToFit="1"/>
    </xf>
    <xf numFmtId="0" fontId="32" fillId="0" borderId="100" xfId="2" applyFont="1" applyBorder="1" applyAlignment="1">
      <alignment horizontal="center" vertical="center" shrinkToFit="1"/>
    </xf>
    <xf numFmtId="0" fontId="32" fillId="0" borderId="81" xfId="2" applyFont="1" applyBorder="1" applyAlignment="1">
      <alignment horizontal="center" vertical="center" shrinkToFit="1"/>
    </xf>
    <xf numFmtId="0" fontId="35" fillId="0" borderId="97" xfId="2" applyFont="1" applyBorder="1" applyAlignment="1">
      <alignment horizontal="center" vertical="center" shrinkToFit="1"/>
    </xf>
    <xf numFmtId="0" fontId="35" fillId="0" borderId="138" xfId="2" applyFont="1" applyBorder="1" applyAlignment="1">
      <alignment horizontal="center" vertical="center" shrinkToFit="1"/>
    </xf>
    <xf numFmtId="0" fontId="35" fillId="0" borderId="100" xfId="2" applyFont="1" applyBorder="1" applyAlignment="1">
      <alignment horizontal="center" vertical="center" shrinkToFit="1"/>
    </xf>
    <xf numFmtId="0" fontId="32" fillId="0" borderId="97" xfId="2" applyFont="1" applyBorder="1" applyAlignment="1">
      <alignment horizontal="center" vertical="center" textRotation="255" shrinkToFit="1"/>
    </xf>
    <xf numFmtId="0" fontId="32" fillId="0" borderId="110" xfId="2" applyFont="1" applyBorder="1" applyAlignment="1">
      <alignment horizontal="center" vertical="center" textRotation="255" shrinkToFit="1"/>
    </xf>
    <xf numFmtId="0" fontId="32" fillId="0" borderId="112" xfId="2" applyFont="1" applyBorder="1" applyAlignment="1">
      <alignment horizontal="center" vertical="center" shrinkToFit="1"/>
    </xf>
    <xf numFmtId="0" fontId="35" fillId="0" borderId="80" xfId="2" applyFont="1" applyBorder="1" applyAlignment="1">
      <alignment horizontal="center" vertical="center" shrinkToFit="1"/>
    </xf>
    <xf numFmtId="0" fontId="35" fillId="0" borderId="84" xfId="2" applyFont="1" applyBorder="1" applyAlignment="1">
      <alignment horizontal="center" vertical="center" shrinkToFit="1"/>
    </xf>
    <xf numFmtId="0" fontId="35" fillId="0" borderId="81" xfId="2" applyFont="1" applyBorder="1" applyAlignment="1">
      <alignment horizontal="center" vertical="center" shrinkToFit="1"/>
    </xf>
    <xf numFmtId="0" fontId="40" fillId="0" borderId="14" xfId="2" applyFont="1" applyBorder="1" applyAlignment="1">
      <alignment horizontal="center" vertical="center" shrinkToFit="1"/>
    </xf>
    <xf numFmtId="0" fontId="40" fillId="0" borderId="15" xfId="2" applyFont="1" applyBorder="1" applyAlignment="1">
      <alignment horizontal="center" vertical="center" shrinkToFit="1"/>
    </xf>
    <xf numFmtId="0" fontId="35" fillId="0" borderId="143" xfId="2" applyFont="1" applyBorder="1" applyAlignment="1">
      <alignment horizontal="center" vertical="center" shrinkToFit="1"/>
    </xf>
    <xf numFmtId="0" fontId="35" fillId="0" borderId="86" xfId="2" applyFont="1" applyBorder="1" applyAlignment="1">
      <alignment horizontal="center" vertical="center" shrinkToFit="1"/>
    </xf>
    <xf numFmtId="0" fontId="40" fillId="0" borderId="146" xfId="2" applyFont="1" applyBorder="1" applyAlignment="1">
      <alignment horizontal="center" vertical="center"/>
    </xf>
    <xf numFmtId="0" fontId="40" fillId="0" borderId="147" xfId="2" applyFont="1" applyBorder="1" applyAlignment="1">
      <alignment horizontal="center" vertical="center"/>
    </xf>
    <xf numFmtId="0" fontId="40" fillId="0" borderId="148" xfId="2" applyFont="1" applyBorder="1" applyAlignment="1">
      <alignment horizontal="center" vertical="center"/>
    </xf>
    <xf numFmtId="0" fontId="32" fillId="0" borderId="96" xfId="2" quotePrefix="1" applyFont="1" applyBorder="1" applyAlignment="1">
      <alignment horizontal="center" vertical="center" shrinkToFit="1"/>
    </xf>
    <xf numFmtId="0" fontId="32" fillId="0" borderId="83" xfId="2" quotePrefix="1" applyFont="1" applyBorder="1" applyAlignment="1">
      <alignment horizontal="center" vertical="center" shrinkToFit="1"/>
    </xf>
    <xf numFmtId="0" fontId="32" fillId="0" borderId="106" xfId="2" applyFont="1" applyBorder="1" applyAlignment="1">
      <alignment horizontal="center" vertical="center" shrinkToFit="1"/>
    </xf>
    <xf numFmtId="0" fontId="32" fillId="0" borderId="103" xfId="2" applyFont="1" applyBorder="1" applyAlignment="1">
      <alignment horizontal="center" vertical="center" shrinkToFit="1"/>
    </xf>
    <xf numFmtId="0" fontId="40" fillId="0" borderId="73" xfId="2" applyFont="1" applyBorder="1" applyAlignment="1">
      <alignment horizontal="center" vertical="center" shrinkToFit="1"/>
    </xf>
    <xf numFmtId="0" fontId="40" fillId="0" borderId="54" xfId="2" applyFont="1" applyBorder="1" applyAlignment="1">
      <alignment horizontal="center" vertical="center" shrinkToFit="1"/>
    </xf>
    <xf numFmtId="0" fontId="40" fillId="0" borderId="15" xfId="2" applyFont="1" applyBorder="1" applyAlignment="1">
      <alignment horizontal="center" vertical="center"/>
    </xf>
    <xf numFmtId="0" fontId="40" fillId="0" borderId="21" xfId="2" applyFont="1" applyBorder="1" applyAlignment="1">
      <alignment horizontal="center" vertical="center"/>
    </xf>
    <xf numFmtId="0" fontId="40" fillId="0" borderId="12" xfId="2" applyFont="1" applyBorder="1" applyAlignment="1">
      <alignment horizontal="center" vertical="center"/>
    </xf>
    <xf numFmtId="0" fontId="40" fillId="0" borderId="0" xfId="2" applyFont="1" applyAlignment="1">
      <alignment horizontal="center" vertical="center"/>
    </xf>
    <xf numFmtId="0" fontId="40" fillId="0" borderId="37" xfId="2" applyFont="1" applyBorder="1" applyAlignment="1">
      <alignment horizontal="center" vertical="center"/>
    </xf>
    <xf numFmtId="0" fontId="32" fillId="0" borderId="115" xfId="2" applyFont="1" applyBorder="1" applyAlignment="1">
      <alignment horizontal="center" vertical="center" textRotation="255" shrinkToFit="1"/>
    </xf>
    <xf numFmtId="0" fontId="32" fillId="0" borderId="108" xfId="2" applyFont="1" applyBorder="1" applyAlignment="1">
      <alignment horizontal="center" vertical="center" textRotation="255" shrinkToFit="1"/>
    </xf>
    <xf numFmtId="0" fontId="32" fillId="0" borderId="85" xfId="2" applyFont="1" applyBorder="1" applyAlignment="1">
      <alignment horizontal="center" vertical="center" shrinkToFit="1"/>
    </xf>
    <xf numFmtId="0" fontId="35" fillId="0" borderId="103" xfId="2" applyFont="1" applyBorder="1" applyAlignment="1">
      <alignment horizontal="center" vertical="center" shrinkToFit="1"/>
    </xf>
    <xf numFmtId="0" fontId="32" fillId="0" borderId="108" xfId="2" applyFont="1" applyBorder="1" applyAlignment="1">
      <alignment horizontal="center" vertical="center" shrinkToFit="1"/>
    </xf>
    <xf numFmtId="0" fontId="32" fillId="0" borderId="78" xfId="2" applyFont="1" applyBorder="1" applyAlignment="1">
      <alignment horizontal="center" vertical="center" shrinkToFit="1"/>
    </xf>
    <xf numFmtId="0" fontId="32" fillId="0" borderId="104" xfId="2" applyFont="1" applyBorder="1" applyAlignment="1">
      <alignment horizontal="center" vertical="center" shrinkToFit="1"/>
    </xf>
    <xf numFmtId="0" fontId="32" fillId="0" borderId="107" xfId="2" applyFont="1" applyBorder="1" applyAlignment="1">
      <alignment horizontal="center" vertical="center" shrinkToFit="1"/>
    </xf>
    <xf numFmtId="0" fontId="32" fillId="0" borderId="116" xfId="2" applyFont="1" applyBorder="1" applyAlignment="1">
      <alignment horizontal="center" vertical="center" textRotation="255" shrinkToFit="1"/>
    </xf>
    <xf numFmtId="0" fontId="32" fillId="0" borderId="105" xfId="2" applyFont="1" applyBorder="1" applyAlignment="1">
      <alignment horizontal="center" vertical="center" textRotation="255" shrinkToFit="1"/>
    </xf>
    <xf numFmtId="0" fontId="32" fillId="0" borderId="45" xfId="2" applyFont="1" applyBorder="1" applyAlignment="1">
      <alignment horizontal="center" vertical="center" textRotation="255" shrinkToFit="1"/>
    </xf>
    <xf numFmtId="0" fontId="32" fillId="0" borderId="16" xfId="4" applyFont="1" applyBorder="1" applyAlignment="1">
      <alignment horizontal="center" vertical="center" textRotation="255" shrinkToFit="1"/>
    </xf>
    <xf numFmtId="0" fontId="32" fillId="0" borderId="14" xfId="2" applyFont="1" applyBorder="1" applyAlignment="1">
      <alignment horizontal="center" vertical="center" textRotation="255" shrinkToFit="1"/>
    </xf>
    <xf numFmtId="0" fontId="32" fillId="0" borderId="15" xfId="4" applyFont="1" applyBorder="1" applyAlignment="1">
      <alignment horizontal="center" vertical="center" textRotation="255" shrinkToFit="1"/>
    </xf>
    <xf numFmtId="0" fontId="32" fillId="0" borderId="144" xfId="2" applyFont="1" applyBorder="1" applyAlignment="1">
      <alignment horizontal="center" vertical="center" textRotation="255" shrinkToFit="1"/>
    </xf>
    <xf numFmtId="0" fontId="32" fillId="0" borderId="46" xfId="4" applyFont="1" applyBorder="1" applyAlignment="1">
      <alignment horizontal="center" vertical="center" textRotation="255" shrinkToFit="1"/>
    </xf>
    <xf numFmtId="0" fontId="32" fillId="0" borderId="145" xfId="4" applyFont="1" applyBorder="1" applyAlignment="1">
      <alignment horizontal="center" vertical="center" textRotation="255" shrinkToFit="1"/>
    </xf>
    <xf numFmtId="0" fontId="32" fillId="0" borderId="21" xfId="4" applyFont="1" applyBorder="1" applyAlignment="1">
      <alignment horizontal="center" vertical="center" textRotation="255" shrinkToFit="1"/>
    </xf>
    <xf numFmtId="0" fontId="32" fillId="0" borderId="96" xfId="2" applyFont="1" applyBorder="1" applyAlignment="1">
      <alignment horizontal="center" vertical="center" shrinkToFit="1"/>
    </xf>
    <xf numFmtId="0" fontId="32" fillId="0" borderId="113" xfId="2" applyFont="1" applyBorder="1" applyAlignment="1">
      <alignment horizontal="center" vertical="center" textRotation="255" shrinkToFit="1"/>
    </xf>
    <xf numFmtId="0" fontId="32" fillId="0" borderId="82" xfId="2" applyFont="1" applyBorder="1" applyAlignment="1">
      <alignment horizontal="center" vertical="center" textRotation="255" shrinkToFit="1"/>
    </xf>
    <xf numFmtId="0" fontId="32" fillId="0" borderId="109" xfId="2" applyFont="1" applyBorder="1" applyAlignment="1">
      <alignment horizontal="center" vertical="center" textRotation="255" shrinkToFit="1"/>
    </xf>
    <xf numFmtId="0" fontId="32" fillId="0" borderId="83" xfId="2" applyFont="1" applyBorder="1" applyAlignment="1">
      <alignment horizontal="center" vertical="center" textRotation="255" shrinkToFit="1"/>
    </xf>
    <xf numFmtId="0" fontId="32" fillId="0" borderId="98" xfId="2" applyFont="1" applyBorder="1" applyAlignment="1">
      <alignment horizontal="center" vertical="center" shrinkToFit="1"/>
    </xf>
    <xf numFmtId="0" fontId="32" fillId="0" borderId="102" xfId="4" applyFont="1" applyBorder="1" applyAlignment="1">
      <alignment horizontal="center" vertical="center" shrinkToFit="1"/>
    </xf>
    <xf numFmtId="0" fontId="32" fillId="0" borderId="101" xfId="4" applyFont="1" applyBorder="1" applyAlignment="1">
      <alignment horizontal="center" vertical="center" shrinkToFit="1"/>
    </xf>
    <xf numFmtId="0" fontId="32" fillId="0" borderId="95" xfId="2" applyFont="1" applyBorder="1" applyAlignment="1">
      <alignment horizontal="center" vertical="center" shrinkToFit="1"/>
    </xf>
    <xf numFmtId="0" fontId="32" fillId="0" borderId="100" xfId="4" applyFont="1" applyBorder="1" applyAlignment="1">
      <alignment horizontal="center" vertical="center" shrinkToFit="1"/>
    </xf>
    <xf numFmtId="0" fontId="32" fillId="0" borderId="143" xfId="2" applyFont="1" applyBorder="1" applyAlignment="1">
      <alignment horizontal="center" vertical="center" shrinkToFit="1"/>
    </xf>
    <xf numFmtId="0" fontId="32" fillId="0" borderId="105" xfId="2" applyFont="1" applyBorder="1" applyAlignment="1">
      <alignment horizontal="center" vertical="center" shrinkToFit="1"/>
    </xf>
    <xf numFmtId="0" fontId="35" fillId="0" borderId="141" xfId="2" applyFont="1" applyBorder="1" applyAlignment="1">
      <alignment horizontal="center" vertical="center" shrinkToFit="1"/>
    </xf>
    <xf numFmtId="0" fontId="35" fillId="0" borderId="142" xfId="2" applyFont="1" applyBorder="1" applyAlignment="1">
      <alignment horizontal="center" vertical="center" shrinkToFit="1"/>
    </xf>
    <xf numFmtId="0" fontId="32" fillId="0" borderId="84" xfId="4" applyFont="1" applyBorder="1" applyAlignment="1">
      <alignment horizontal="center" vertical="center" shrinkToFit="1"/>
    </xf>
    <xf numFmtId="0" fontId="32" fillId="0" borderId="81" xfId="4" applyFont="1" applyBorder="1" applyAlignment="1">
      <alignment horizontal="center" vertical="center" shrinkToFit="1"/>
    </xf>
    <xf numFmtId="0" fontId="35" fillId="0" borderId="83" xfId="2" applyFont="1" applyBorder="1" applyAlignment="1">
      <alignment horizontal="center" vertical="center" shrinkToFit="1"/>
    </xf>
    <xf numFmtId="0" fontId="35" fillId="0" borderId="116" xfId="2" applyFont="1" applyBorder="1" applyAlignment="1">
      <alignment horizontal="center" vertical="center" shrinkToFit="1"/>
    </xf>
    <xf numFmtId="0" fontId="32" fillId="0" borderId="138" xfId="4" applyFont="1" applyBorder="1" applyAlignment="1">
      <alignment horizontal="center" shrinkToFit="1"/>
    </xf>
    <xf numFmtId="0" fontId="32" fillId="0" borderId="101" xfId="2" applyFont="1" applyBorder="1" applyAlignment="1">
      <alignment horizontal="center" vertical="center" shrinkToFit="1"/>
    </xf>
    <xf numFmtId="0" fontId="32" fillId="0" borderId="14" xfId="2" applyFont="1" applyBorder="1" applyAlignment="1">
      <alignment horizontal="center" vertical="center" shrinkToFit="1"/>
    </xf>
    <xf numFmtId="0" fontId="32" fillId="0" borderId="21" xfId="2" applyFont="1" applyBorder="1" applyAlignment="1">
      <alignment horizontal="center" vertical="center" shrinkToFit="1"/>
    </xf>
    <xf numFmtId="0" fontId="32" fillId="0" borderId="73" xfId="2" applyFont="1" applyBorder="1" applyAlignment="1">
      <alignment horizontal="center" vertical="center" shrinkToFit="1"/>
    </xf>
    <xf numFmtId="0" fontId="32" fillId="0" borderId="54" xfId="2" applyFont="1" applyBorder="1" applyAlignment="1">
      <alignment horizontal="center" vertical="center" shrinkToFit="1"/>
    </xf>
    <xf numFmtId="0" fontId="32" fillId="0" borderId="24" xfId="2" applyFont="1" applyBorder="1" applyAlignment="1">
      <alignment horizontal="center" vertical="center" shrinkToFit="1"/>
    </xf>
    <xf numFmtId="0" fontId="32" fillId="0" borderId="140" xfId="2" applyFont="1" applyBorder="1" applyAlignment="1">
      <alignment horizontal="center" vertical="center" shrinkToFit="1"/>
    </xf>
    <xf numFmtId="0" fontId="32" fillId="0" borderId="79" xfId="2" applyFont="1" applyBorder="1" applyAlignment="1">
      <alignment horizontal="center" vertical="center" shrinkToFit="1"/>
    </xf>
    <xf numFmtId="0" fontId="32" fillId="0" borderId="102" xfId="4" applyFont="1" applyBorder="1" applyAlignment="1">
      <alignment horizontal="center" shrinkToFit="1"/>
    </xf>
    <xf numFmtId="0" fontId="35" fillId="0" borderId="105" xfId="2" applyFont="1" applyBorder="1" applyAlignment="1">
      <alignment horizontal="center" vertical="center" shrinkToFit="1"/>
    </xf>
    <xf numFmtId="0" fontId="32" fillId="0" borderId="84" xfId="4" applyFont="1" applyBorder="1" applyAlignment="1">
      <alignment horizontal="center" shrinkToFit="1"/>
    </xf>
    <xf numFmtId="0" fontId="40" fillId="0" borderId="15" xfId="2" applyFont="1" applyBorder="1" applyAlignment="1">
      <alignment horizontal="left" vertical="center"/>
    </xf>
    <xf numFmtId="0" fontId="40" fillId="0" borderId="45" xfId="2" applyFont="1" applyBorder="1" applyAlignment="1">
      <alignment horizontal="left" vertical="top" wrapText="1"/>
    </xf>
    <xf numFmtId="0" fontId="40" fillId="0" borderId="16" xfId="2" applyFont="1" applyBorder="1" applyAlignment="1">
      <alignment horizontal="left" vertical="top" wrapText="1"/>
    </xf>
    <xf numFmtId="0" fontId="40" fillId="0" borderId="46" xfId="2" applyFont="1" applyBorder="1" applyAlignment="1">
      <alignment horizontal="left" vertical="top" wrapText="1"/>
    </xf>
    <xf numFmtId="0" fontId="40" fillId="0" borderId="12" xfId="2" applyFont="1" applyBorder="1" applyAlignment="1">
      <alignment horizontal="left" vertical="top" wrapText="1"/>
    </xf>
    <xf numFmtId="0" fontId="40" fillId="0" borderId="0" xfId="2" applyFont="1" applyAlignment="1">
      <alignment horizontal="left" vertical="top" wrapText="1"/>
    </xf>
    <xf numFmtId="0" fontId="40" fillId="0" borderId="37" xfId="2" applyFont="1" applyBorder="1" applyAlignment="1">
      <alignment horizontal="left" vertical="top" wrapText="1"/>
    </xf>
    <xf numFmtId="0" fontId="40" fillId="0" borderId="14" xfId="2" applyFont="1" applyBorder="1" applyAlignment="1">
      <alignment horizontal="left" vertical="top" wrapText="1"/>
    </xf>
    <xf numFmtId="0" fontId="40" fillId="0" borderId="15" xfId="2" applyFont="1" applyBorder="1" applyAlignment="1">
      <alignment horizontal="left" vertical="top" wrapText="1"/>
    </xf>
    <xf numFmtId="0" fontId="40" fillId="0" borderId="21" xfId="2" applyFont="1" applyBorder="1" applyAlignment="1">
      <alignment horizontal="left" vertical="top" wrapText="1"/>
    </xf>
    <xf numFmtId="0" fontId="32" fillId="0" borderId="0" xfId="2" applyFont="1" applyAlignment="1">
      <alignment horizontal="left" vertical="center" shrinkToFit="1"/>
    </xf>
    <xf numFmtId="0" fontId="32" fillId="0" borderId="16" xfId="2" applyFont="1" applyBorder="1" applyAlignment="1">
      <alignment horizontal="left" vertical="center" shrinkToFit="1"/>
    </xf>
    <xf numFmtId="0" fontId="40" fillId="0" borderId="97" xfId="2" applyFont="1" applyBorder="1" applyAlignment="1">
      <alignment horizontal="center" vertical="center" shrinkToFit="1"/>
    </xf>
    <xf numFmtId="0" fontId="40" fillId="0" borderId="138" xfId="2" applyFont="1" applyBorder="1" applyAlignment="1">
      <alignment horizontal="center" vertical="center" shrinkToFit="1"/>
    </xf>
    <xf numFmtId="0" fontId="40" fillId="0" borderId="100" xfId="2" applyFont="1" applyBorder="1" applyAlignment="1">
      <alignment horizontal="center" vertical="center" shrinkToFit="1"/>
    </xf>
    <xf numFmtId="0" fontId="40" fillId="0" borderId="97" xfId="2" applyFont="1" applyBorder="1" applyAlignment="1">
      <alignment horizontal="center" vertical="center"/>
    </xf>
    <xf numFmtId="0" fontId="21" fillId="0" borderId="138" xfId="4" applyFont="1" applyBorder="1" applyAlignment="1">
      <alignment horizontal="center" vertical="center"/>
    </xf>
    <xf numFmtId="0" fontId="40" fillId="0" borderId="138" xfId="2" applyFont="1" applyBorder="1" applyAlignment="1">
      <alignment horizontal="center" vertical="center"/>
    </xf>
    <xf numFmtId="0" fontId="21" fillId="0" borderId="100" xfId="4" applyFont="1" applyBorder="1" applyAlignment="1">
      <alignment horizontal="center" vertical="center"/>
    </xf>
    <xf numFmtId="0" fontId="40" fillId="0" borderId="80" xfId="2" applyFont="1" applyBorder="1" applyAlignment="1">
      <alignment horizontal="center" vertical="center" shrinkToFit="1"/>
    </xf>
    <xf numFmtId="0" fontId="40" fillId="0" borderId="84" xfId="2" applyFont="1" applyBorder="1" applyAlignment="1">
      <alignment horizontal="center" vertical="center" shrinkToFit="1"/>
    </xf>
    <xf numFmtId="0" fontId="40" fillId="0" borderId="81" xfId="2" applyFont="1" applyBorder="1" applyAlignment="1">
      <alignment horizontal="center" vertical="center" shrinkToFit="1"/>
    </xf>
    <xf numFmtId="0" fontId="40" fillId="0" borderId="80" xfId="2" applyFont="1" applyBorder="1" applyAlignment="1">
      <alignment horizontal="center" vertical="center"/>
    </xf>
    <xf numFmtId="0" fontId="21" fillId="0" borderId="84" xfId="4" applyFont="1" applyBorder="1" applyAlignment="1">
      <alignment horizontal="center" vertical="center"/>
    </xf>
    <xf numFmtId="0" fontId="32" fillId="0" borderId="16" xfId="4" applyFont="1" applyBorder="1" applyAlignment="1">
      <alignment horizontal="left" vertical="center" shrinkToFit="1"/>
    </xf>
    <xf numFmtId="0" fontId="40" fillId="0" borderId="0" xfId="2" applyFont="1" applyAlignment="1">
      <alignment horizontal="left" vertical="center" shrinkToFit="1"/>
    </xf>
    <xf numFmtId="0" fontId="40" fillId="0" borderId="84" xfId="2" applyFont="1" applyBorder="1" applyAlignment="1">
      <alignment horizontal="center" vertical="center"/>
    </xf>
    <xf numFmtId="0" fontId="21" fillId="0" borderId="81" xfId="4" applyFont="1" applyBorder="1" applyAlignment="1">
      <alignment horizontal="center" vertical="center"/>
    </xf>
    <xf numFmtId="0" fontId="46" fillId="0" borderId="12" xfId="2" applyFont="1" applyBorder="1" applyAlignment="1">
      <alignment horizontal="right" vertical="center" indent="1"/>
    </xf>
    <xf numFmtId="0" fontId="46" fillId="0" borderId="0" xfId="4" applyFont="1" applyAlignment="1">
      <alignment horizontal="right" vertical="center" indent="1"/>
    </xf>
    <xf numFmtId="0" fontId="34" fillId="0" borderId="0" xfId="4" applyFont="1" applyAlignment="1">
      <alignment horizontal="right" vertical="center" indent="1"/>
    </xf>
    <xf numFmtId="0" fontId="34" fillId="0" borderId="37" xfId="4" applyFont="1" applyBorder="1" applyAlignment="1">
      <alignment horizontal="right" vertical="center" indent="1"/>
    </xf>
    <xf numFmtId="0" fontId="44" fillId="0" borderId="12" xfId="2" applyFont="1" applyBorder="1" applyAlignment="1">
      <alignment horizontal="center" vertical="center" shrinkToFit="1"/>
    </xf>
    <xf numFmtId="0" fontId="44" fillId="0" borderId="0" xfId="2" applyFont="1" applyAlignment="1">
      <alignment horizontal="center" vertical="center" shrinkToFit="1"/>
    </xf>
    <xf numFmtId="0" fontId="44" fillId="0" borderId="37" xfId="2" applyFont="1" applyBorder="1" applyAlignment="1">
      <alignment horizontal="center" vertical="center" shrinkToFit="1"/>
    </xf>
    <xf numFmtId="0" fontId="45" fillId="0" borderId="0" xfId="0" applyFont="1">
      <alignment vertical="center"/>
    </xf>
    <xf numFmtId="0" fontId="45" fillId="0" borderId="37" xfId="0" applyFont="1" applyBorder="1">
      <alignment vertical="center"/>
    </xf>
    <xf numFmtId="0" fontId="45" fillId="0" borderId="12" xfId="0" applyFont="1" applyBorder="1">
      <alignment vertical="center"/>
    </xf>
    <xf numFmtId="0" fontId="43" fillId="0" borderId="116" xfId="2" applyFont="1" applyBorder="1" applyAlignment="1">
      <alignment horizontal="center" vertical="center"/>
    </xf>
    <xf numFmtId="0" fontId="43" fillId="0" borderId="100" xfId="2" applyFont="1" applyBorder="1" applyAlignment="1">
      <alignment horizontal="center" vertical="center"/>
    </xf>
    <xf numFmtId="0" fontId="42" fillId="0" borderId="16" xfId="2" applyFont="1" applyBorder="1" applyAlignment="1">
      <alignment horizontal="center" vertical="center"/>
    </xf>
    <xf numFmtId="0" fontId="42" fillId="0" borderId="46" xfId="2" applyFont="1" applyBorder="1" applyAlignment="1">
      <alignment horizontal="center" vertical="center"/>
    </xf>
    <xf numFmtId="0" fontId="42" fillId="0" borderId="0" xfId="2" applyFont="1" applyAlignment="1">
      <alignment horizontal="center" vertical="center"/>
    </xf>
    <xf numFmtId="0" fontId="42" fillId="0" borderId="37" xfId="2" applyFont="1" applyBorder="1" applyAlignment="1">
      <alignment horizontal="center" vertical="center"/>
    </xf>
    <xf numFmtId="0" fontId="42" fillId="0" borderId="15" xfId="2" applyFont="1" applyBorder="1" applyAlignment="1">
      <alignment horizontal="center" vertical="center"/>
    </xf>
    <xf numFmtId="0" fontId="42" fillId="0" borderId="21" xfId="2" applyFont="1" applyBorder="1" applyAlignment="1">
      <alignment horizontal="center" vertical="center"/>
    </xf>
    <xf numFmtId="0" fontId="43" fillId="0" borderId="80" xfId="2" applyFont="1" applyBorder="1" applyAlignment="1">
      <alignment horizontal="center" vertical="center"/>
    </xf>
    <xf numFmtId="0" fontId="43" fillId="0" borderId="108" xfId="2" applyFont="1" applyBorder="1" applyAlignment="1">
      <alignment horizontal="center" vertical="center"/>
    </xf>
    <xf numFmtId="0" fontId="32" fillId="0" borderId="84" xfId="2" applyFont="1" applyBorder="1" applyAlignment="1">
      <alignment horizontal="center" vertical="center" shrinkToFit="1"/>
    </xf>
    <xf numFmtId="0" fontId="42" fillId="0" borderId="45" xfId="2" applyFont="1" applyBorder="1" applyAlignment="1">
      <alignment horizontal="center" vertical="center"/>
    </xf>
    <xf numFmtId="0" fontId="42" fillId="0" borderId="12" xfId="2" applyFont="1" applyBorder="1" applyAlignment="1">
      <alignment horizontal="center" vertical="center"/>
    </xf>
    <xf numFmtId="0" fontId="42" fillId="0" borderId="14" xfId="2" applyFont="1" applyBorder="1" applyAlignment="1">
      <alignment horizontal="center" vertical="center"/>
    </xf>
    <xf numFmtId="0" fontId="32" fillId="0" borderId="118" xfId="2" applyFont="1" applyBorder="1" applyAlignment="1">
      <alignment horizontal="center" vertical="center" shrinkToFit="1"/>
    </xf>
    <xf numFmtId="0" fontId="32" fillId="0" borderId="117" xfId="2" applyFont="1" applyBorder="1" applyAlignment="1">
      <alignment horizontal="center" vertical="center" shrinkToFit="1"/>
    </xf>
    <xf numFmtId="0" fontId="15" fillId="3" borderId="121" xfId="0" applyFont="1" applyFill="1" applyBorder="1">
      <alignment vertical="center"/>
    </xf>
    <xf numFmtId="0" fontId="13" fillId="0" borderId="0" xfId="0" applyFont="1">
      <alignment vertical="center"/>
    </xf>
    <xf numFmtId="0" fontId="9" fillId="5" borderId="0" xfId="0" applyFont="1" applyFill="1" applyAlignment="1">
      <alignment horizontal="left" vertical="center" wrapText="1"/>
    </xf>
    <xf numFmtId="0" fontId="11" fillId="0" borderId="0" xfId="0" applyFont="1" applyAlignment="1">
      <alignment horizontal="left"/>
    </xf>
    <xf numFmtId="0" fontId="16" fillId="3" borderId="0" xfId="0" applyFont="1" applyFill="1" applyAlignment="1">
      <alignment horizontal="left" vertical="center" wrapText="1"/>
    </xf>
    <xf numFmtId="0" fontId="13" fillId="0" borderId="0" xfId="0" applyFont="1" applyAlignment="1">
      <alignment horizontal="left" vertical="center"/>
    </xf>
    <xf numFmtId="0" fontId="15" fillId="3" borderId="0" xfId="0" applyFont="1" applyFill="1" applyAlignment="1">
      <alignment horizontal="center" wrapText="1"/>
    </xf>
    <xf numFmtId="0" fontId="15" fillId="3" borderId="0" xfId="0" applyFont="1" applyFill="1" applyAlignment="1">
      <alignment horizontal="center"/>
    </xf>
    <xf numFmtId="0" fontId="15" fillId="3" borderId="121" xfId="0" applyFont="1" applyFill="1" applyBorder="1" applyAlignment="1">
      <alignment vertical="center" shrinkToFit="1"/>
    </xf>
    <xf numFmtId="0" fontId="13" fillId="0" borderId="0" xfId="0" applyFont="1" applyAlignment="1">
      <alignment vertical="center" shrinkToFit="1"/>
    </xf>
    <xf numFmtId="0" fontId="13" fillId="2" borderId="61" xfId="0" applyFont="1" applyFill="1" applyBorder="1" applyAlignment="1" applyProtection="1">
      <alignment horizontal="center" vertical="center" shrinkToFit="1"/>
      <protection locked="0"/>
    </xf>
    <xf numFmtId="0" fontId="13" fillId="0" borderId="67" xfId="0" applyFont="1" applyBorder="1" applyAlignment="1">
      <alignment vertical="center" shrinkToFit="1"/>
    </xf>
    <xf numFmtId="0" fontId="13" fillId="0" borderId="151" xfId="0" applyFont="1" applyBorder="1" applyAlignment="1">
      <alignment vertical="center" shrinkToFit="1"/>
    </xf>
    <xf numFmtId="0" fontId="13" fillId="2" borderId="61" xfId="0" applyFont="1" applyFill="1" applyBorder="1" applyAlignment="1" applyProtection="1">
      <alignment vertical="center" wrapText="1" shrinkToFit="1"/>
      <protection locked="0"/>
    </xf>
    <xf numFmtId="0" fontId="18" fillId="3" borderId="121" xfId="0" applyFont="1" applyFill="1" applyBorder="1" applyAlignment="1">
      <alignment horizontal="left" vertical="center" wrapText="1" shrinkToFit="1"/>
    </xf>
    <xf numFmtId="0" fontId="18" fillId="3" borderId="0" xfId="0" applyFont="1" applyFill="1" applyAlignment="1">
      <alignment horizontal="left" vertical="center" wrapText="1" shrinkToFit="1"/>
    </xf>
    <xf numFmtId="0" fontId="17" fillId="6" borderId="151" xfId="0" applyFont="1" applyFill="1" applyBorder="1" applyAlignment="1">
      <alignment horizontal="center" vertical="center" shrinkToFit="1"/>
    </xf>
    <xf numFmtId="0" fontId="17" fillId="6" borderId="38" xfId="0" applyFont="1" applyFill="1" applyBorder="1" applyAlignment="1">
      <alignment horizontal="center" vertical="center" shrinkToFit="1"/>
    </xf>
    <xf numFmtId="0" fontId="13" fillId="0" borderId="38" xfId="0" applyFont="1" applyBorder="1" applyAlignment="1">
      <alignment vertical="center" shrinkToFit="1"/>
    </xf>
    <xf numFmtId="0" fontId="16" fillId="3" borderId="0" xfId="0" applyFont="1" applyFill="1" applyAlignment="1">
      <alignment horizontal="left"/>
    </xf>
    <xf numFmtId="0" fontId="19" fillId="3" borderId="0" xfId="0" applyFont="1" applyFill="1" applyAlignment="1"/>
    <xf numFmtId="0" fontId="17" fillId="6" borderId="0" xfId="0" applyFont="1" applyFill="1" applyAlignment="1">
      <alignment horizontal="center" vertical="center" wrapText="1"/>
    </xf>
    <xf numFmtId="0" fontId="17" fillId="6" borderId="0" xfId="0" applyFont="1" applyFill="1" applyAlignment="1">
      <alignment horizontal="center" vertical="center"/>
    </xf>
    <xf numFmtId="0" fontId="17" fillId="6" borderId="77" xfId="0" applyFont="1" applyFill="1" applyBorder="1" applyAlignment="1">
      <alignment horizontal="center" vertical="center"/>
    </xf>
    <xf numFmtId="0" fontId="13" fillId="2" borderId="43" xfId="0" applyFont="1" applyFill="1" applyBorder="1" applyAlignment="1" applyProtection="1">
      <alignment vertical="top" wrapText="1" shrinkToFit="1"/>
      <protection locked="0"/>
    </xf>
    <xf numFmtId="0" fontId="13" fillId="2" borderId="44" xfId="0" applyFont="1" applyFill="1" applyBorder="1" applyAlignment="1" applyProtection="1">
      <alignment vertical="top" wrapText="1" shrinkToFit="1"/>
      <protection locked="0"/>
    </xf>
    <xf numFmtId="0" fontId="13" fillId="2" borderId="153" xfId="0" applyFont="1" applyFill="1" applyBorder="1" applyAlignment="1" applyProtection="1">
      <alignment vertical="top" wrapText="1" shrinkToFit="1"/>
      <protection locked="0"/>
    </xf>
    <xf numFmtId="0" fontId="13" fillId="2" borderId="121" xfId="0" applyFont="1" applyFill="1" applyBorder="1" applyAlignment="1" applyProtection="1">
      <alignment vertical="top" wrapText="1" shrinkToFit="1"/>
      <protection locked="0"/>
    </xf>
    <xf numFmtId="0" fontId="13" fillId="2" borderId="0" xfId="0" applyFont="1" applyFill="1" applyAlignment="1" applyProtection="1">
      <alignment vertical="top" wrapText="1" shrinkToFit="1"/>
      <protection locked="0"/>
    </xf>
    <xf numFmtId="0" fontId="13" fillId="2" borderId="77" xfId="0" applyFont="1" applyFill="1" applyBorder="1" applyAlignment="1" applyProtection="1">
      <alignment vertical="top" wrapText="1" shrinkToFit="1"/>
      <protection locked="0"/>
    </xf>
    <xf numFmtId="0" fontId="13" fillId="2" borderId="122" xfId="0" applyFont="1" applyFill="1" applyBorder="1" applyAlignment="1" applyProtection="1">
      <alignment vertical="top" wrapText="1" shrinkToFit="1"/>
      <protection locked="0"/>
    </xf>
    <xf numFmtId="0" fontId="13" fillId="2" borderId="38" xfId="0" applyFont="1" applyFill="1" applyBorder="1" applyAlignment="1" applyProtection="1">
      <alignment vertical="top" wrapText="1" shrinkToFit="1"/>
      <protection locked="0"/>
    </xf>
    <xf numFmtId="0" fontId="13" fillId="2" borderId="123" xfId="0" applyFont="1" applyFill="1" applyBorder="1" applyAlignment="1" applyProtection="1">
      <alignment vertical="top" wrapText="1" shrinkToFit="1"/>
      <protection locked="0"/>
    </xf>
    <xf numFmtId="0" fontId="16" fillId="3" borderId="0" xfId="0" applyFont="1" applyFill="1" applyAlignment="1">
      <alignment horizontal="left" vertical="top"/>
    </xf>
    <xf numFmtId="0" fontId="19" fillId="3" borderId="0" xfId="0" applyFont="1" applyFill="1" applyAlignment="1">
      <alignment vertical="top"/>
    </xf>
    <xf numFmtId="0" fontId="20" fillId="6" borderId="0" xfId="0" applyFont="1" applyFill="1" applyAlignment="1">
      <alignment horizontal="center" vertical="center" shrinkToFit="1"/>
    </xf>
    <xf numFmtId="0" fontId="20" fillId="6" borderId="77" xfId="0" applyFont="1" applyFill="1" applyBorder="1" applyAlignment="1">
      <alignment horizontal="center" vertical="center" shrinkToFit="1"/>
    </xf>
    <xf numFmtId="0" fontId="13" fillId="2" borderId="61" xfId="0" applyFont="1" applyFill="1" applyBorder="1" applyAlignment="1" applyProtection="1">
      <alignment vertical="center" shrinkToFit="1"/>
      <protection locked="0"/>
    </xf>
  </cellXfs>
  <cellStyles count="5">
    <cellStyle name="標準" xfId="0" builtinId="0"/>
    <cellStyle name="標準 2" xfId="1" xr:uid="{00000000-0005-0000-0000-000001000000}"/>
    <cellStyle name="標準_ﾒﾝﾊﾞｰ公式記録SMPL" xfId="2" xr:uid="{00000000-0005-0000-0000-000002000000}"/>
    <cellStyle name="標準_県体トーナメント2" xfId="3" xr:uid="{00000000-0005-0000-0000-000003000000}"/>
    <cellStyle name="標準_北信越各種処理ファイル" xfId="4" xr:uid="{00000000-0005-0000-0000-000004000000}"/>
  </cellStyles>
  <dxfs count="435">
    <dxf>
      <fill>
        <patternFill>
          <bgColor rgb="FFFFFF00"/>
        </patternFill>
      </fill>
    </dxf>
    <dxf>
      <fill>
        <patternFill>
          <bgColor rgb="FFFFFF00"/>
        </patternFill>
      </fill>
    </dxf>
    <dxf>
      <font>
        <color theme="0"/>
      </font>
    </dxf>
    <dxf>
      <border>
        <left style="thin">
          <color auto="1"/>
        </left>
        <vertical/>
        <horizontal/>
      </border>
    </dxf>
    <dxf>
      <border>
        <bottom style="thin">
          <color auto="1"/>
        </bottom>
        <vertical/>
        <horizontal/>
      </border>
    </dxf>
    <dxf>
      <border>
        <bottom style="thin">
          <color auto="1"/>
        </bottom>
        <vertical/>
        <horizontal/>
      </border>
    </dxf>
    <dxf>
      <border>
        <right style="thin">
          <color auto="1"/>
        </right>
        <bottom style="thin">
          <color auto="1"/>
        </bottom>
        <vertical/>
        <horizontal/>
      </border>
    </dxf>
    <dxf>
      <border>
        <bottom style="thin">
          <color auto="1"/>
        </bottom>
        <vertical/>
        <horizontal/>
      </border>
    </dxf>
    <dxf>
      <border>
        <left/>
        <right/>
        <top/>
        <bottom/>
        <vertical/>
        <horizontal/>
      </border>
    </dxf>
    <dxf>
      <border>
        <right style="thin">
          <color auto="1"/>
        </right>
        <vertical/>
        <horizontal/>
      </border>
    </dxf>
    <dxf>
      <font>
        <color theme="0"/>
      </font>
    </dxf>
    <dxf>
      <border>
        <left style="thin">
          <color auto="1"/>
        </left>
        <vertical/>
        <horizontal/>
      </border>
    </dxf>
    <dxf>
      <border>
        <bottom style="thin">
          <color auto="1"/>
        </bottom>
        <vertical/>
        <horizontal/>
      </border>
    </dxf>
    <dxf>
      <border>
        <left style="thin">
          <color auto="1"/>
        </left>
        <bottom style="thin">
          <color auto="1"/>
        </bottom>
        <vertical/>
        <horizontal/>
      </border>
    </dxf>
    <dxf>
      <border>
        <bottom style="thin">
          <color auto="1"/>
        </bottom>
        <vertical/>
        <horizontal/>
      </border>
    </dxf>
    <dxf>
      <border>
        <left style="thin">
          <color auto="1"/>
        </left>
        <vertical/>
        <horizontal/>
      </border>
    </dxf>
    <dxf>
      <border>
        <bottom style="thin">
          <color auto="1"/>
        </bottom>
        <vertical/>
        <horizontal/>
      </border>
    </dxf>
    <dxf>
      <border>
        <bottom style="thin">
          <color auto="1"/>
        </bottom>
        <vertical/>
        <horizontal/>
      </border>
    </dxf>
    <dxf>
      <border>
        <right style="thin">
          <color auto="1"/>
        </right>
        <bottom style="thin">
          <color auto="1"/>
        </bottom>
        <vertical/>
        <horizontal/>
      </border>
    </dxf>
    <dxf>
      <border>
        <bottom style="thin">
          <color auto="1"/>
        </bottom>
        <vertical/>
        <horizontal/>
      </border>
    </dxf>
    <dxf>
      <border>
        <bottom style="thin">
          <color auto="1"/>
        </bottom>
        <vertical/>
        <horizontal/>
      </border>
    </dxf>
    <dxf>
      <font>
        <color theme="0"/>
      </font>
    </dxf>
    <dxf>
      <border>
        <bottom style="thin">
          <color auto="1"/>
        </bottom>
        <vertical/>
        <horizontal/>
      </border>
    </dxf>
    <dxf>
      <border>
        <right style="thin">
          <color auto="1"/>
        </right>
        <vertical/>
        <horizontal/>
      </border>
    </dxf>
    <dxf>
      <border>
        <bottom style="thin">
          <color auto="1"/>
        </bottom>
        <vertical/>
        <horizontal/>
      </border>
    </dxf>
    <dxf>
      <border>
        <left style="thin">
          <color auto="1"/>
        </left>
        <bottom style="thin">
          <color auto="1"/>
        </bottom>
        <vertical/>
        <horizontal/>
      </border>
    </dxf>
    <dxf>
      <border>
        <left style="thin">
          <color auto="1"/>
        </left>
        <vertical/>
        <horizontal/>
      </border>
    </dxf>
    <dxf>
      <border>
        <bottom style="thin">
          <color auto="1"/>
        </bottom>
        <vertical/>
        <horizontal/>
      </border>
    </dxf>
    <dxf>
      <border>
        <left style="thin">
          <color auto="1"/>
        </left>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right style="thin">
          <color auto="1"/>
        </right>
        <vertical/>
        <horizontal/>
      </border>
    </dxf>
    <dxf>
      <border>
        <bottom style="thin">
          <color auto="1"/>
        </bottom>
        <vertical/>
        <horizontal/>
      </border>
    </dxf>
    <dxf>
      <border>
        <right style="thin">
          <color auto="1"/>
        </right>
        <bottom style="thin">
          <color auto="1"/>
        </bottom>
        <vertical/>
        <horizontal/>
      </border>
    </dxf>
    <dxf>
      <border>
        <bottom style="thin">
          <color auto="1"/>
        </bottom>
        <vertical/>
        <horizontal/>
      </border>
    </dxf>
    <dxf>
      <border>
        <right style="thin">
          <color auto="1"/>
        </right>
        <vertical/>
        <horizontal/>
      </border>
    </dxf>
    <dxf>
      <border>
        <bottom style="thin">
          <color indexed="64"/>
        </bottom>
      </border>
    </dxf>
    <dxf>
      <border>
        <bottom style="thin">
          <color indexed="64"/>
        </bottom>
      </border>
    </dxf>
    <dxf>
      <border>
        <right style="thin">
          <color indexed="64"/>
        </right>
        <bottom style="thin">
          <color indexed="64"/>
        </bottom>
      </border>
    </dxf>
    <dxf>
      <border>
        <left style="thin">
          <color auto="1"/>
        </left>
        <vertical/>
        <horizontal/>
      </border>
    </dxf>
    <dxf>
      <border>
        <bottom style="thin">
          <color auto="1"/>
        </bottom>
        <vertical/>
        <horizontal/>
      </border>
    </dxf>
    <dxf>
      <border>
        <bottom style="thin">
          <color auto="1"/>
        </bottom>
        <vertical/>
        <horizontal/>
      </border>
    </dxf>
    <dxf>
      <border>
        <left style="thin">
          <color auto="1"/>
        </left>
        <bottom style="thin">
          <color auto="1"/>
        </bottom>
        <vertical/>
        <horizontal/>
      </border>
    </dxf>
    <dxf>
      <border>
        <left style="thin">
          <color auto="1"/>
        </left>
        <vertical/>
        <horizontal/>
      </border>
    </dxf>
    <dxf>
      <border>
        <bottom style="thin">
          <color auto="1"/>
        </bottom>
        <vertical/>
        <horizontal/>
      </border>
    </dxf>
    <dxf>
      <border>
        <bottom style="thin">
          <color auto="1"/>
        </bottom>
        <vertical/>
        <horizontal/>
      </border>
    </dxf>
    <dxf>
      <border>
        <right style="thin">
          <color auto="1"/>
        </right>
        <bottom style="thin">
          <color auto="1"/>
        </bottom>
        <vertical/>
        <horizontal/>
      </border>
    </dxf>
    <dxf>
      <border>
        <bottom style="thin">
          <color auto="1"/>
        </bottom>
        <vertical/>
        <horizontal/>
      </border>
    </dxf>
    <dxf>
      <border>
        <bottom style="thin">
          <color auto="1"/>
        </bottom>
        <vertical/>
        <horizontal/>
      </border>
    </dxf>
    <dxf>
      <border>
        <right style="thin">
          <color auto="1"/>
        </right>
        <vertical/>
        <horizontal/>
      </border>
    </dxf>
    <dxf>
      <border>
        <bottom style="thin">
          <color indexed="64"/>
        </bottom>
      </border>
    </dxf>
    <dxf>
      <border>
        <bottom style="thin">
          <color auto="1"/>
        </bottom>
        <vertical/>
        <horizontal/>
      </border>
    </dxf>
    <dxf>
      <border>
        <right style="thin">
          <color auto="1"/>
        </right>
        <bottom style="thin">
          <color auto="1"/>
        </bottom>
        <vertical/>
        <horizontal/>
      </border>
    </dxf>
    <dxf>
      <border>
        <bottom style="thin">
          <color auto="1"/>
        </bottom>
        <vertical/>
        <horizontal/>
      </border>
    </dxf>
    <dxf>
      <border>
        <left style="thin">
          <color auto="1"/>
        </left>
        <vertical/>
        <horizontal/>
      </border>
    </dxf>
    <dxf>
      <border>
        <bottom style="thin">
          <color auto="1"/>
        </bottom>
        <vertical/>
        <horizontal/>
      </border>
    </dxf>
    <dxf>
      <border>
        <left style="thin">
          <color auto="1"/>
        </left>
        <bottom style="thin">
          <color auto="1"/>
        </bottom>
        <vertical/>
        <horizontal/>
      </border>
    </dxf>
    <dxf>
      <border>
        <bottom style="thin">
          <color auto="1"/>
        </bottom>
        <vertical/>
        <horizontal/>
      </border>
    </dxf>
    <dxf>
      <border>
        <bottom style="thin">
          <color indexed="64"/>
        </bottom>
      </border>
    </dxf>
    <dxf>
      <border>
        <bottom style="thin">
          <color auto="1"/>
        </bottom>
        <vertical/>
        <horizontal/>
      </border>
    </dxf>
    <dxf>
      <border>
        <bottom style="thin">
          <color auto="1"/>
        </bottom>
        <vertical/>
        <horizontal/>
      </border>
    </dxf>
    <dxf>
      <border>
        <bottom style="thin">
          <color auto="1"/>
        </bottom>
        <vertical/>
        <horizontal/>
      </border>
    </dxf>
    <dxf>
      <border>
        <right style="thin">
          <color auto="1"/>
        </right>
        <vertical/>
        <horizontal/>
      </border>
    </dxf>
    <dxf>
      <border>
        <right style="thin">
          <color auto="1"/>
        </right>
        <bottom style="thin">
          <color auto="1"/>
        </bottom>
        <vertical/>
        <horizontal/>
      </border>
    </dxf>
    <dxf>
      <border>
        <bottom style="thin">
          <color auto="1"/>
        </bottom>
        <vertical/>
        <horizontal/>
      </border>
    </dxf>
    <dxf>
      <border>
        <bottom style="thin">
          <color auto="1"/>
        </bottom>
        <vertical/>
        <horizontal/>
      </border>
    </dxf>
    <dxf>
      <font>
        <color theme="0"/>
      </font>
    </dxf>
    <dxf>
      <border>
        <right style="thin">
          <color auto="1"/>
        </right>
        <vertical/>
        <horizontal/>
      </border>
    </dxf>
    <dxf>
      <font>
        <color theme="0"/>
      </font>
    </dxf>
    <dxf>
      <border>
        <left style="thin">
          <color auto="1"/>
        </left>
        <vertical/>
        <horizontal/>
      </border>
    </dxf>
    <dxf>
      <border>
        <bottom style="thin">
          <color auto="1"/>
        </bottom>
        <vertical/>
        <horizontal/>
      </border>
    </dxf>
    <dxf>
      <border>
        <left style="thin">
          <color auto="1"/>
        </left>
        <bottom style="thin">
          <color auto="1"/>
        </bottom>
        <vertical/>
        <horizontal/>
      </border>
    </dxf>
    <dxf>
      <border>
        <bottom style="thin">
          <color auto="1"/>
        </bottom>
        <vertical/>
        <horizontal/>
      </border>
    </dxf>
    <dxf>
      <border>
        <bottom style="thin">
          <color auto="1"/>
        </bottom>
        <vertical/>
        <horizontal/>
      </border>
    </dxf>
    <dxf>
      <border>
        <right style="thin">
          <color auto="1"/>
        </right>
        <vertical/>
        <horizontal/>
      </border>
    </dxf>
    <dxf>
      <border>
        <bottom style="thin">
          <color auto="1"/>
        </bottom>
        <vertical/>
        <horizontal/>
      </border>
    </dxf>
    <dxf>
      <border>
        <bottom style="thin">
          <color auto="1"/>
        </bottom>
        <vertical/>
        <horizontal/>
      </border>
    </dxf>
    <dxf>
      <border>
        <left style="thin">
          <color auto="1"/>
        </left>
        <bottom style="thin">
          <color auto="1"/>
        </bottom>
        <vertical/>
        <horizontal/>
      </border>
    </dxf>
    <dxf>
      <border>
        <left style="thin">
          <color auto="1"/>
        </left>
        <vertical/>
        <horizontal/>
      </border>
    </dxf>
    <dxf>
      <border>
        <bottom style="thin">
          <color auto="1"/>
        </bottom>
        <vertical/>
        <horizontal/>
      </border>
    </dxf>
    <dxf>
      <border>
        <bottom style="thin">
          <color auto="1"/>
        </bottom>
        <vertical/>
        <horizontal/>
      </border>
    </dxf>
    <dxf>
      <border>
        <right style="thin">
          <color auto="1"/>
        </right>
        <bottom style="thin">
          <color auto="1"/>
        </bottom>
        <vertical/>
        <horizontal/>
      </border>
    </dxf>
    <dxf>
      <border>
        <bottom style="thin">
          <color auto="1"/>
        </bottom>
        <vertical/>
        <horizontal/>
      </border>
    </dxf>
    <dxf>
      <border>
        <bottom style="thin">
          <color auto="1"/>
        </bottom>
        <vertical/>
        <horizontal/>
      </border>
    </dxf>
    <dxf>
      <border>
        <right style="thin">
          <color auto="1"/>
        </right>
        <vertical/>
        <horizontal/>
      </border>
    </dxf>
    <dxf>
      <border>
        <top style="thin">
          <color auto="1"/>
        </top>
        <vertical/>
        <horizontal/>
      </border>
    </dxf>
    <dxf>
      <border>
        <bottom style="thin">
          <color auto="1"/>
        </bottom>
        <vertical/>
        <horizontal/>
      </border>
    </dxf>
    <dxf>
      <border>
        <top style="thin">
          <color auto="1"/>
        </top>
        <vertical/>
        <horizontal/>
      </border>
    </dxf>
    <dxf>
      <border>
        <bottom style="thin">
          <color auto="1"/>
        </bottom>
        <vertical/>
        <horizontal/>
      </border>
    </dxf>
    <dxf>
      <border>
        <bottom style="thin">
          <color auto="1"/>
        </bottom>
        <vertical/>
        <horizontal/>
      </border>
    </dxf>
    <dxf>
      <border>
        <right style="thin">
          <color auto="1"/>
        </right>
        <vertical/>
        <horizontal/>
      </border>
    </dxf>
    <dxf>
      <border>
        <right style="thin">
          <color auto="1"/>
        </right>
        <vertical/>
        <horizontal/>
      </border>
    </dxf>
    <dxf>
      <border>
        <right style="thin">
          <color auto="1"/>
        </right>
        <bottom style="thin">
          <color auto="1"/>
        </bottom>
        <vertical/>
        <horizontal/>
      </border>
    </dxf>
    <dxf>
      <border>
        <bottom style="thin">
          <color auto="1"/>
        </bottom>
        <vertical/>
        <horizontal/>
      </border>
    </dxf>
    <dxf>
      <border>
        <left style="thin">
          <color auto="1"/>
        </left>
        <vertical/>
        <horizontal/>
      </border>
    </dxf>
    <dxf>
      <border>
        <right style="thin">
          <color auto="1"/>
        </right>
        <bottom style="thin">
          <color auto="1"/>
        </bottom>
        <vertical/>
        <horizontal/>
      </border>
    </dxf>
    <dxf>
      <border>
        <right style="thin">
          <color auto="1"/>
        </right>
        <vertical/>
        <horizontal/>
      </border>
    </dxf>
    <dxf>
      <border>
        <bottom style="thin">
          <color auto="1"/>
        </bottom>
        <vertical/>
        <horizontal/>
      </border>
    </dxf>
    <dxf>
      <border>
        <left style="thin">
          <color auto="1"/>
        </left>
        <bottom style="thin">
          <color auto="1"/>
        </bottom>
        <vertical/>
        <horizontal/>
      </border>
    </dxf>
    <dxf>
      <border>
        <bottom style="thin">
          <color auto="1"/>
        </bottom>
        <vertical/>
        <horizontal/>
      </border>
    </dxf>
    <dxf>
      <border>
        <bottom style="thin">
          <color auto="1"/>
        </bottom>
        <vertical/>
        <horizontal/>
      </border>
    </dxf>
    <dxf>
      <border>
        <right style="thin">
          <color auto="1"/>
        </right>
        <vertical/>
        <horizontal/>
      </border>
    </dxf>
    <dxf>
      <border>
        <bottom style="thin">
          <color auto="1"/>
        </bottom>
        <vertical/>
        <horizontal/>
      </border>
    </dxf>
    <dxf>
      <border>
        <bottom style="thin">
          <color auto="1"/>
        </bottom>
        <vertical/>
        <horizontal/>
      </border>
    </dxf>
    <dxf>
      <border>
        <left style="thin">
          <color auto="1"/>
        </left>
        <vertical/>
        <horizontal/>
      </border>
    </dxf>
    <dxf>
      <border>
        <bottom style="thin">
          <color auto="1"/>
        </bottom>
        <vertical/>
        <horizontal/>
      </border>
    </dxf>
    <dxf>
      <border>
        <right style="thin">
          <color auto="1"/>
        </right>
        <bottom style="thin">
          <color auto="1"/>
        </bottom>
        <vertical/>
        <horizontal/>
      </border>
    </dxf>
    <dxf>
      <border>
        <bottom style="thin">
          <color auto="1"/>
        </bottom>
        <vertical/>
        <horizontal/>
      </border>
    </dxf>
    <dxf>
      <border>
        <bottom style="thin">
          <color auto="1"/>
        </bottom>
        <vertical/>
        <horizontal/>
      </border>
    </dxf>
    <dxf>
      <border>
        <left style="thin">
          <color auto="1"/>
        </left>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right style="thin">
          <color auto="1"/>
        </right>
        <vertical/>
        <horizontal/>
      </border>
    </dxf>
    <dxf>
      <border>
        <bottom style="thin">
          <color auto="1"/>
        </bottom>
        <vertical/>
        <horizontal/>
      </border>
    </dxf>
    <dxf>
      <border>
        <right style="thin">
          <color auto="1"/>
        </right>
        <bottom style="thin">
          <color auto="1"/>
        </bottom>
        <vertical/>
        <horizontal/>
      </border>
    </dxf>
    <dxf>
      <border>
        <bottom style="thin">
          <color auto="1"/>
        </bottom>
        <vertical/>
        <horizontal/>
      </border>
    </dxf>
    <dxf>
      <border>
        <right style="thin">
          <color auto="1"/>
        </right>
        <vertical/>
        <horizontal/>
      </border>
    </dxf>
    <dxf>
      <border>
        <left style="thin">
          <color auto="1"/>
        </left>
        <vertical/>
        <horizontal/>
      </border>
    </dxf>
    <dxf>
      <border>
        <bottom style="thin">
          <color auto="1"/>
        </bottom>
        <vertical/>
        <horizontal/>
      </border>
    </dxf>
    <dxf>
      <border>
        <bottom style="thin">
          <color auto="1"/>
        </bottom>
        <vertical/>
        <horizontal/>
      </border>
    </dxf>
    <dxf>
      <border>
        <left style="thin">
          <color auto="1"/>
        </left>
        <bottom style="thin">
          <color auto="1"/>
        </bottom>
        <vertical/>
        <horizontal/>
      </border>
    </dxf>
    <dxf>
      <border>
        <bottom style="thin">
          <color auto="1"/>
        </bottom>
        <vertical/>
        <horizontal/>
      </border>
    </dxf>
    <dxf>
      <border>
        <right style="thin">
          <color auto="1"/>
        </right>
        <vertical/>
        <horizontal/>
      </border>
    </dxf>
    <dxf>
      <border>
        <bottom style="thin">
          <color auto="1"/>
        </bottom>
        <vertical/>
        <horizontal/>
      </border>
    </dxf>
    <dxf>
      <border>
        <left style="thin">
          <color auto="1"/>
        </left>
        <bottom style="thin">
          <color auto="1"/>
        </bottom>
        <vertical/>
        <horizontal/>
      </border>
    </dxf>
    <dxf>
      <border>
        <bottom style="thin">
          <color auto="1"/>
        </bottom>
        <vertical/>
        <horizontal/>
      </border>
    </dxf>
    <dxf>
      <border>
        <left style="thin">
          <color auto="1"/>
        </left>
        <vertical/>
        <horizontal/>
      </border>
    </dxf>
    <dxf>
      <border>
        <bottom style="thin">
          <color auto="1"/>
        </bottom>
        <vertical/>
        <horizontal/>
      </border>
    </dxf>
    <dxf>
      <border>
        <bottom style="thin">
          <color auto="1"/>
        </bottom>
        <vertical/>
        <horizontal/>
      </border>
    </dxf>
    <dxf>
      <border>
        <bottom style="thin">
          <color auto="1"/>
        </bottom>
        <vertical/>
        <horizontal/>
      </border>
    </dxf>
    <dxf>
      <border>
        <right style="thin">
          <color auto="1"/>
        </right>
        <bottom style="thin">
          <color auto="1"/>
        </bottom>
        <vertical/>
        <horizontal/>
      </border>
    </dxf>
    <dxf>
      <border>
        <bottom style="thin">
          <color auto="1"/>
        </bottom>
        <vertical/>
        <horizontal/>
      </border>
    </dxf>
    <dxf>
      <border>
        <right style="thin">
          <color auto="1"/>
        </right>
        <vertical/>
        <horizontal/>
      </border>
    </dxf>
    <dxf>
      <border>
        <top style="thin">
          <color auto="1"/>
        </top>
        <vertical/>
        <horizontal/>
      </border>
    </dxf>
    <dxf>
      <border>
        <bottom style="thin">
          <color auto="1"/>
        </bottom>
        <vertical/>
        <horizontal/>
      </border>
    </dxf>
    <dxf>
      <border>
        <top style="thin">
          <color auto="1"/>
        </top>
        <vertical/>
        <horizontal/>
      </border>
    </dxf>
    <dxf>
      <border>
        <bottom style="thin">
          <color auto="1"/>
        </bottom>
        <vertical/>
        <horizontal/>
      </border>
    </dxf>
    <dxf>
      <border>
        <bottom style="thin">
          <color auto="1"/>
        </bottom>
        <vertical/>
        <horizontal/>
      </border>
    </dxf>
    <dxf>
      <border>
        <right style="thin">
          <color auto="1"/>
        </right>
        <vertical/>
        <horizontal/>
      </border>
    </dxf>
    <dxf>
      <border>
        <right style="thin">
          <color auto="1"/>
        </right>
        <vertical/>
        <horizontal/>
      </border>
    </dxf>
    <dxf>
      <border>
        <right style="thin">
          <color auto="1"/>
        </right>
        <bottom style="thin">
          <color auto="1"/>
        </bottom>
        <vertical/>
        <horizontal/>
      </border>
    </dxf>
    <dxf>
      <border>
        <bottom style="thin">
          <color auto="1"/>
        </bottom>
        <vertical/>
        <horizontal/>
      </border>
    </dxf>
    <dxf>
      <border>
        <left style="thin">
          <color auto="1"/>
        </left>
        <vertical/>
        <horizontal/>
      </border>
    </dxf>
    <dxf>
      <border>
        <right style="thin">
          <color auto="1"/>
        </right>
        <bottom style="thin">
          <color auto="1"/>
        </bottom>
        <vertical/>
        <horizontal/>
      </border>
    </dxf>
    <dxf>
      <border>
        <right style="thin">
          <color auto="1"/>
        </right>
        <vertical/>
        <horizontal/>
      </border>
    </dxf>
    <dxf>
      <border>
        <bottom style="thin">
          <color auto="1"/>
        </bottom>
        <vertical/>
        <horizontal/>
      </border>
    </dxf>
    <dxf>
      <border>
        <bottom style="thin">
          <color auto="1"/>
        </bottom>
        <vertical/>
        <horizontal/>
      </border>
    </dxf>
    <dxf>
      <border>
        <left style="thin">
          <color auto="1"/>
        </left>
        <bottom style="thin">
          <color auto="1"/>
        </bottom>
        <vertical/>
        <horizontal/>
      </border>
    </dxf>
    <dxf>
      <border>
        <bottom style="thin">
          <color auto="1"/>
        </bottom>
        <vertical/>
        <horizontal/>
      </border>
    </dxf>
    <dxf>
      <border>
        <right style="thin">
          <color auto="1"/>
        </right>
        <vertical/>
        <horizontal/>
      </border>
    </dxf>
    <dxf>
      <border>
        <bottom style="thin">
          <color auto="1"/>
        </bottom>
        <vertical/>
        <horizontal/>
      </border>
    </dxf>
    <dxf>
      <border>
        <bottom style="thin">
          <color auto="1"/>
        </bottom>
        <vertical/>
        <horizontal/>
      </border>
    </dxf>
    <dxf>
      <border>
        <left style="thin">
          <color auto="1"/>
        </left>
        <vertical/>
        <horizontal/>
      </border>
    </dxf>
    <dxf>
      <border>
        <bottom style="thin">
          <color auto="1"/>
        </bottom>
        <vertical/>
        <horizontal/>
      </border>
    </dxf>
    <dxf>
      <border>
        <right style="thin">
          <color auto="1"/>
        </right>
        <bottom style="thin">
          <color auto="1"/>
        </bottom>
        <vertical/>
        <horizontal/>
      </border>
    </dxf>
    <dxf>
      <border>
        <bottom style="thin">
          <color auto="1"/>
        </bottom>
        <vertical/>
        <horizontal/>
      </border>
    </dxf>
    <dxf>
      <border>
        <left style="thin">
          <color auto="1"/>
        </left>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right style="thin">
          <color auto="1"/>
        </right>
        <vertical/>
        <horizontal/>
      </border>
    </dxf>
    <dxf>
      <border>
        <bottom style="thin">
          <color auto="1"/>
        </bottom>
        <vertical/>
        <horizontal/>
      </border>
    </dxf>
    <dxf>
      <border>
        <right style="thin">
          <color auto="1"/>
        </right>
        <bottom style="thin">
          <color auto="1"/>
        </bottom>
        <vertical/>
        <horizontal/>
      </border>
    </dxf>
    <dxf>
      <border>
        <bottom style="thin">
          <color auto="1"/>
        </bottom>
        <vertical/>
        <horizontal/>
      </border>
    </dxf>
    <dxf>
      <border>
        <right style="thin">
          <color auto="1"/>
        </right>
        <vertical/>
        <horizontal/>
      </border>
    </dxf>
    <dxf>
      <border>
        <left style="thin">
          <color indexed="64"/>
        </left>
      </border>
    </dxf>
    <dxf>
      <border>
        <bottom style="thin">
          <color indexed="64"/>
        </bottom>
      </border>
    </dxf>
    <dxf>
      <border>
        <bottom style="thin">
          <color indexed="64"/>
        </bottom>
      </border>
    </dxf>
    <dxf>
      <border>
        <left style="thin">
          <color indexed="64"/>
        </left>
        <bottom style="thin">
          <color indexed="64"/>
        </bottom>
      </border>
    </dxf>
    <dxf>
      <border>
        <left style="thin">
          <color indexed="64"/>
        </left>
      </border>
    </dxf>
    <dxf>
      <border>
        <left style="thin">
          <color indexed="64"/>
        </left>
      </border>
    </dxf>
    <dxf>
      <border>
        <bottom style="thin">
          <color indexed="64"/>
        </bottom>
      </border>
    </dxf>
    <dxf>
      <border>
        <bottom style="thin">
          <color indexed="64"/>
        </bottom>
      </border>
    </dxf>
    <dxf>
      <border>
        <bottom style="thin">
          <color indexed="64"/>
        </bottom>
      </border>
    </dxf>
    <dxf>
      <border>
        <right style="thin">
          <color indexed="64"/>
        </right>
        <bottom style="thin">
          <color indexed="64"/>
        </bottom>
      </border>
    </dxf>
    <dxf>
      <border>
        <bottom style="thin">
          <color indexed="64"/>
        </bottom>
      </border>
    </dxf>
    <dxf>
      <border>
        <bottom style="thin">
          <color indexed="64"/>
        </bottom>
      </border>
    </dxf>
    <dxf>
      <border>
        <bottom style="thin">
          <color auto="1"/>
        </bottom>
        <vertical/>
        <horizontal/>
      </border>
    </dxf>
    <dxf>
      <border>
        <left style="thin">
          <color auto="1"/>
        </left>
        <bottom style="thin">
          <color auto="1"/>
        </bottom>
        <vertical/>
        <horizontal/>
      </border>
    </dxf>
    <dxf>
      <border>
        <bottom style="thin">
          <color indexed="64"/>
        </bottom>
      </border>
    </dxf>
    <dxf>
      <border>
        <right style="thin">
          <color indexed="64"/>
        </right>
      </border>
    </dxf>
    <dxf>
      <border>
        <bottom style="thin">
          <color indexed="64"/>
        </bottom>
      </border>
    </dxf>
    <dxf>
      <border>
        <right style="thin">
          <color indexed="64"/>
        </right>
        <bottom style="thin">
          <color indexed="64"/>
        </bottom>
      </border>
    </dxf>
    <dxf>
      <border>
        <left style="thin">
          <color indexed="64"/>
        </left>
      </border>
    </dxf>
    <dxf>
      <border>
        <bottom style="thin">
          <color indexed="64"/>
        </bottom>
      </border>
    </dxf>
    <dxf>
      <border>
        <bottom style="thin">
          <color indexed="64"/>
        </bottom>
      </border>
    </dxf>
    <dxf>
      <border>
        <bottom style="thin">
          <color auto="1"/>
        </bottom>
        <vertical/>
        <horizontal/>
      </border>
    </dxf>
    <dxf>
      <border>
        <right style="thin">
          <color indexed="64"/>
        </right>
      </border>
    </dxf>
    <dxf>
      <border>
        <right style="thin">
          <color auto="1"/>
        </right>
        <bottom style="thin">
          <color auto="1"/>
        </bottom>
        <vertical/>
        <horizontal/>
      </border>
    </dxf>
    <dxf>
      <border>
        <bottom style="thin">
          <color auto="1"/>
        </bottom>
        <vertical/>
        <horizontal/>
      </border>
    </dxf>
    <dxf>
      <border>
        <bottom style="thin">
          <color indexed="64"/>
        </bottom>
      </border>
    </dxf>
    <dxf>
      <font>
        <strike val="0"/>
        <color theme="0"/>
      </font>
      <border>
        <left/>
        <right/>
        <top/>
        <bottom/>
      </border>
    </dxf>
    <dxf>
      <border>
        <right style="thin">
          <color indexed="64"/>
        </right>
      </border>
    </dxf>
    <dxf>
      <border>
        <left style="thin">
          <color auto="1"/>
        </left>
        <bottom style="thin">
          <color auto="1"/>
        </bottom>
        <vertical/>
        <horizontal/>
      </border>
    </dxf>
    <dxf>
      <border>
        <bottom style="thin">
          <color auto="1"/>
        </bottom>
        <vertical/>
        <horizontal/>
      </border>
    </dxf>
    <dxf>
      <border>
        <bottom style="thin">
          <color auto="1"/>
        </bottom>
        <vertical/>
        <horizontal/>
      </border>
    </dxf>
    <dxf>
      <border>
        <left style="thin">
          <color indexed="64"/>
        </left>
      </border>
    </dxf>
    <dxf>
      <border>
        <bottom style="thin">
          <color auto="1"/>
        </bottom>
        <vertical/>
        <horizontal/>
      </border>
    </dxf>
    <dxf>
      <border>
        <left style="thin">
          <color auto="1"/>
        </left>
        <bottom style="thin">
          <color auto="1"/>
        </bottom>
        <vertical/>
        <horizontal/>
      </border>
    </dxf>
    <dxf>
      <border>
        <bottom style="thin">
          <color indexed="64"/>
        </bottom>
      </border>
    </dxf>
    <dxf>
      <border>
        <bottom style="thin">
          <color indexed="64"/>
        </bottom>
      </border>
    </dxf>
    <dxf>
      <border>
        <left style="thin">
          <color indexed="64"/>
        </left>
        <bottom style="thin">
          <color indexed="64"/>
        </bottom>
      </border>
    </dxf>
    <dxf>
      <border>
        <left style="thin">
          <color indexed="64"/>
        </left>
      </border>
    </dxf>
    <dxf>
      <border>
        <bottom style="thin">
          <color indexed="64"/>
        </bottom>
      </border>
    </dxf>
    <dxf>
      <border>
        <bottom style="thin">
          <color indexed="64"/>
        </bottom>
      </border>
    </dxf>
    <dxf>
      <border>
        <bottom style="thin">
          <color indexed="64"/>
        </bottom>
      </border>
    </dxf>
    <dxf>
      <border>
        <right style="thin">
          <color indexed="64"/>
        </right>
        <bottom style="thin">
          <color indexed="64"/>
        </bottom>
      </border>
    </dxf>
    <dxf>
      <border>
        <bottom style="thin">
          <color indexed="64"/>
        </bottom>
      </border>
    </dxf>
    <dxf>
      <border>
        <right style="thin">
          <color indexed="64"/>
        </right>
      </border>
    </dxf>
    <dxf>
      <border>
        <bottom style="thin">
          <color auto="1"/>
        </bottom>
        <vertical/>
        <horizontal/>
      </border>
    </dxf>
    <dxf>
      <border>
        <bottom style="thin">
          <color indexed="64"/>
        </bottom>
      </border>
    </dxf>
    <dxf>
      <border>
        <right style="thin">
          <color indexed="64"/>
        </right>
        <bottom style="thin">
          <color indexed="64"/>
        </bottom>
      </border>
    </dxf>
    <dxf>
      <border>
        <bottom style="thin">
          <color indexed="64"/>
        </bottom>
      </border>
    </dxf>
    <dxf>
      <border>
        <left style="thin">
          <color indexed="64"/>
        </left>
      </border>
    </dxf>
    <dxf>
      <border>
        <top style="thin">
          <color auto="1"/>
        </top>
        <vertical/>
        <horizontal/>
      </border>
    </dxf>
    <dxf>
      <border>
        <bottom style="thin">
          <color auto="1"/>
        </bottom>
        <vertical/>
        <horizontal/>
      </border>
    </dxf>
    <dxf>
      <border>
        <bottom style="thin">
          <color indexed="64"/>
        </bottom>
      </border>
    </dxf>
    <dxf>
      <border>
        <right style="thin">
          <color auto="1"/>
        </right>
        <vertical/>
        <horizontal/>
      </border>
    </dxf>
    <dxf>
      <border>
        <right style="thin">
          <color auto="1"/>
        </right>
        <vertical/>
        <horizontal/>
      </border>
    </dxf>
    <dxf>
      <border>
        <right style="thin">
          <color auto="1"/>
        </right>
        <bottom style="thin">
          <color auto="1"/>
        </bottom>
        <vertical/>
        <horizontal/>
      </border>
    </dxf>
    <dxf>
      <border>
        <left style="thin">
          <color indexed="64"/>
        </left>
        <bottom style="thin">
          <color indexed="64"/>
        </bottom>
      </border>
    </dxf>
    <dxf>
      <border>
        <bottom style="thin">
          <color indexed="64"/>
        </bottom>
      </border>
    </dxf>
    <dxf>
      <border>
        <bottom style="thin">
          <color indexed="64"/>
        </bottom>
      </border>
    </dxf>
    <dxf>
      <border>
        <right style="thin">
          <color indexed="64"/>
        </right>
      </border>
    </dxf>
    <dxf>
      <border>
        <bottom style="thin">
          <color indexed="64"/>
        </bottom>
      </border>
    </dxf>
    <dxf>
      <border>
        <bottom style="thin">
          <color indexed="64"/>
        </bottom>
      </border>
    </dxf>
    <dxf>
      <border>
        <right style="thin">
          <color indexed="64"/>
        </right>
        <bottom style="thin">
          <color indexed="64"/>
        </bottom>
      </border>
    </dxf>
    <dxf>
      <border>
        <bottom style="thin">
          <color indexed="64"/>
        </bottom>
      </border>
    </dxf>
    <dxf>
      <border>
        <bottom style="thin">
          <color indexed="64"/>
        </bottom>
      </border>
    </dxf>
    <dxf>
      <border>
        <right style="thin">
          <color indexed="64"/>
        </right>
      </border>
    </dxf>
    <dxf>
      <border>
        <bottom style="thin">
          <color auto="1"/>
        </bottom>
        <vertical/>
        <horizontal/>
      </border>
    </dxf>
    <dxf>
      <font>
        <condense val="0"/>
        <extend val="0"/>
        <color indexed="9"/>
      </font>
    </dxf>
    <dxf>
      <border>
        <right style="thin">
          <color indexed="64"/>
        </right>
        <bottom style="thin">
          <color indexed="64"/>
        </bottom>
      </border>
    </dxf>
    <dxf>
      <border>
        <bottom style="thin">
          <color indexed="64"/>
        </bottom>
      </border>
    </dxf>
    <dxf>
      <border>
        <bottom style="thin">
          <color auto="1"/>
        </bottom>
        <vertical/>
        <horizontal/>
      </border>
    </dxf>
    <dxf>
      <border>
        <left style="thin">
          <color indexed="64"/>
        </left>
      </border>
    </dxf>
    <dxf>
      <border>
        <bottom style="thin">
          <color indexed="64"/>
        </bottom>
      </border>
    </dxf>
    <dxf>
      <border>
        <bottom style="thin">
          <color indexed="64"/>
        </bottom>
      </border>
    </dxf>
    <dxf>
      <border>
        <left style="thin">
          <color indexed="64"/>
        </left>
        <bottom style="thin">
          <color indexed="64"/>
        </bottom>
      </border>
    </dxf>
    <dxf>
      <border>
        <left style="thin">
          <color indexed="64"/>
        </left>
      </border>
    </dxf>
    <dxf>
      <border>
        <bottom style="thin">
          <color indexed="64"/>
        </bottom>
      </border>
    </dxf>
    <dxf>
      <border>
        <bottom style="thin">
          <color indexed="64"/>
        </bottom>
      </border>
    </dxf>
    <dxf>
      <border>
        <right style="thin">
          <color indexed="64"/>
        </right>
        <bottom style="thin">
          <color indexed="64"/>
        </bottom>
      </border>
    </dxf>
    <dxf>
      <border>
        <bottom style="thin">
          <color indexed="64"/>
        </bottom>
      </border>
    </dxf>
    <dxf>
      <border>
        <bottom style="thin">
          <color indexed="64"/>
        </bottom>
      </border>
    </dxf>
    <dxf>
      <border>
        <right style="thin">
          <color indexed="64"/>
        </right>
      </border>
    </dxf>
    <dxf>
      <border>
        <bottom style="thin">
          <color indexed="64"/>
        </bottom>
      </border>
    </dxf>
    <dxf>
      <border>
        <bottom style="thin">
          <color auto="1"/>
        </bottom>
        <vertical/>
        <horizontal/>
      </border>
    </dxf>
    <dxf>
      <border>
        <bottom style="thin">
          <color indexed="64"/>
        </bottom>
      </border>
    </dxf>
    <dxf>
      <border>
        <left style="thin">
          <color indexed="64"/>
        </left>
        <bottom style="thin">
          <color indexed="64"/>
        </bottom>
      </border>
    </dxf>
    <dxf>
      <border>
        <left style="thin">
          <color auto="1"/>
        </left>
        <vertical/>
        <horizontal/>
      </border>
    </dxf>
    <dxf>
      <border>
        <left style="thin">
          <color auto="1"/>
        </left>
        <vertical/>
        <horizontal/>
      </border>
    </dxf>
    <dxf>
      <border>
        <left style="thin">
          <color auto="1"/>
        </left>
        <bottom style="thin">
          <color auto="1"/>
        </bottom>
        <vertical/>
        <horizontal/>
      </border>
    </dxf>
    <dxf>
      <border>
        <left style="thin">
          <color indexed="64"/>
        </left>
      </border>
    </dxf>
    <dxf>
      <border>
        <bottom style="thin">
          <color indexed="64"/>
        </bottom>
      </border>
    </dxf>
    <dxf>
      <border>
        <left style="thin">
          <color indexed="64"/>
        </left>
        <bottom style="thin">
          <color indexed="64"/>
        </bottom>
      </border>
    </dxf>
    <dxf>
      <border>
        <bottom style="thin">
          <color indexed="64"/>
        </bottom>
      </border>
    </dxf>
    <dxf>
      <border>
        <bottom style="thin">
          <color indexed="64"/>
        </bottom>
      </border>
    </dxf>
    <dxf>
      <border>
        <right style="thin">
          <color indexed="64"/>
        </right>
      </border>
    </dxf>
    <dxf>
      <border>
        <bottom style="thin">
          <color indexed="64"/>
        </bottom>
      </border>
    </dxf>
    <dxf>
      <border>
        <bottom style="thin">
          <color indexed="64"/>
        </bottom>
      </border>
    </dxf>
    <dxf>
      <border>
        <bottom style="thin">
          <color indexed="64"/>
        </bottom>
      </border>
    </dxf>
    <dxf>
      <border>
        <right style="thin">
          <color indexed="64"/>
        </right>
        <bottom style="thin">
          <color indexed="64"/>
        </bottom>
      </border>
    </dxf>
    <dxf>
      <border>
        <bottom style="thin">
          <color indexed="64"/>
        </bottom>
      </border>
    </dxf>
    <dxf>
      <border>
        <right style="thin">
          <color indexed="64"/>
        </right>
      </border>
    </dxf>
    <dxf>
      <border>
        <bottom style="thin">
          <color indexed="64"/>
        </bottom>
      </border>
    </dxf>
    <dxf>
      <border>
        <bottom style="thin">
          <color indexed="64"/>
        </bottom>
      </border>
    </dxf>
    <dxf>
      <border>
        <bottom style="thin">
          <color auto="1"/>
        </bottom>
        <vertical/>
        <horizontal/>
      </border>
    </dxf>
    <dxf>
      <border>
        <right style="thin">
          <color auto="1"/>
        </right>
        <bottom style="thin">
          <color auto="1"/>
        </bottom>
        <vertical/>
        <horizontal/>
      </border>
    </dxf>
    <dxf>
      <border>
        <left style="thin">
          <color indexed="64"/>
        </left>
      </border>
    </dxf>
    <dxf>
      <border>
        <bottom style="thin">
          <color auto="1"/>
        </bottom>
        <vertical/>
        <horizontal/>
      </border>
    </dxf>
    <dxf>
      <border>
        <bottom style="thin">
          <color auto="1"/>
        </bottom>
        <vertical/>
        <horizontal/>
      </border>
    </dxf>
    <dxf>
      <border>
        <left style="thin">
          <color auto="1"/>
        </left>
        <bottom style="thin">
          <color auto="1"/>
        </bottom>
        <vertical/>
        <horizontal/>
      </border>
    </dxf>
    <dxf>
      <border>
        <left style="thin">
          <color indexed="64"/>
        </left>
      </border>
    </dxf>
    <dxf>
      <border>
        <top style="thin">
          <color auto="1"/>
        </top>
        <vertical/>
        <horizontal/>
      </border>
    </dxf>
    <dxf>
      <border>
        <bottom style="thin">
          <color auto="1"/>
        </bottom>
        <vertical/>
        <horizontal/>
      </border>
    </dxf>
    <dxf>
      <border>
        <bottom style="thin">
          <color auto="1"/>
        </bottom>
        <vertical/>
        <horizontal/>
      </border>
    </dxf>
    <dxf>
      <border>
        <bottom style="thin">
          <color indexed="64"/>
        </bottom>
      </border>
    </dxf>
    <dxf>
      <border>
        <bottom style="thin">
          <color indexed="64"/>
        </bottom>
      </border>
    </dxf>
    <dxf>
      <border>
        <right style="thin">
          <color indexed="64"/>
        </right>
        <bottom style="thin">
          <color indexed="64"/>
        </bottom>
      </border>
    </dxf>
    <dxf>
      <border>
        <bottom style="thin">
          <color indexed="64"/>
        </bottom>
      </border>
    </dxf>
    <dxf>
      <border>
        <right style="thin">
          <color indexed="64"/>
        </right>
      </border>
    </dxf>
    <dxf>
      <border>
        <bottom style="thin">
          <color auto="1"/>
        </bottom>
        <vertical/>
        <horizontal/>
      </border>
    </dxf>
    <dxf>
      <border>
        <bottom style="thin">
          <color indexed="64"/>
        </bottom>
      </border>
    </dxf>
    <dxf>
      <border>
        <right style="thin">
          <color auto="1"/>
        </right>
        <bottom style="thin">
          <color auto="1"/>
        </bottom>
        <vertical/>
        <horizontal/>
      </border>
    </dxf>
    <dxf>
      <border>
        <bottom style="thin">
          <color auto="1"/>
        </bottom>
        <vertical/>
        <horizontal/>
      </border>
    </dxf>
    <dxf>
      <border>
        <left style="thin">
          <color indexed="64"/>
        </left>
      </border>
    </dxf>
    <dxf>
      <border>
        <bottom style="thin">
          <color indexed="64"/>
        </bottom>
      </border>
    </dxf>
    <dxf>
      <border>
        <bottom style="thin">
          <color indexed="64"/>
        </bottom>
      </border>
    </dxf>
    <dxf>
      <border>
        <left style="thin">
          <color indexed="64"/>
        </left>
        <bottom style="thin">
          <color indexed="64"/>
        </bottom>
      </border>
    </dxf>
    <dxf>
      <border>
        <bottom style="thin">
          <color indexed="64"/>
        </bottom>
      </border>
    </dxf>
    <dxf>
      <border>
        <right style="thin">
          <color indexed="64"/>
        </right>
      </border>
    </dxf>
    <dxf>
      <border>
        <bottom style="thin">
          <color indexed="64"/>
        </bottom>
      </border>
    </dxf>
    <dxf>
      <border>
        <bottom style="thin">
          <color indexed="64"/>
        </bottom>
      </border>
    </dxf>
    <dxf>
      <border>
        <right style="thin">
          <color indexed="64"/>
        </right>
        <bottom style="thin">
          <color indexed="64"/>
        </bottom>
      </border>
    </dxf>
    <dxf>
      <border>
        <bottom style="thin">
          <color indexed="64"/>
        </bottom>
      </border>
    </dxf>
    <dxf>
      <border>
        <bottom style="thin">
          <color indexed="64"/>
        </bottom>
      </border>
    </dxf>
    <dxf>
      <border>
        <right style="thin">
          <color indexed="64"/>
        </right>
      </border>
    </dxf>
    <dxf>
      <border>
        <left style="thin">
          <color indexed="64"/>
        </left>
      </border>
    </dxf>
    <dxf>
      <border>
        <bottom style="thin">
          <color indexed="64"/>
        </bottom>
      </border>
    </dxf>
    <dxf>
      <border>
        <bottom style="thin">
          <color indexed="64"/>
        </bottom>
      </border>
    </dxf>
    <dxf>
      <border>
        <left style="thin">
          <color indexed="64"/>
        </left>
        <bottom style="thin">
          <color indexed="64"/>
        </bottom>
      </border>
    </dxf>
    <dxf>
      <border>
        <left style="thin">
          <color indexed="64"/>
        </left>
      </border>
    </dxf>
    <dxf>
      <border>
        <left style="thin">
          <color indexed="64"/>
        </left>
      </border>
    </dxf>
    <dxf>
      <border>
        <bottom style="thin">
          <color indexed="64"/>
        </bottom>
      </border>
    </dxf>
    <dxf>
      <border>
        <bottom style="thin">
          <color indexed="64"/>
        </bottom>
      </border>
    </dxf>
    <dxf>
      <border>
        <right style="thin">
          <color indexed="64"/>
        </right>
        <bottom style="thin">
          <color indexed="64"/>
        </bottom>
      </border>
    </dxf>
    <dxf>
      <border>
        <bottom style="thin">
          <color indexed="64"/>
        </bottom>
      </border>
    </dxf>
    <dxf>
      <border>
        <bottom style="thin">
          <color indexed="64"/>
        </bottom>
      </border>
    </dxf>
    <dxf>
      <border>
        <bottom style="thin">
          <color indexed="64"/>
        </bottom>
      </border>
    </dxf>
    <dxf>
      <border>
        <left style="thin">
          <color auto="1"/>
        </left>
        <bottom style="thin">
          <color auto="1"/>
        </bottom>
        <vertical/>
        <horizontal/>
      </border>
    </dxf>
    <dxf>
      <border>
        <bottom style="thin">
          <color auto="1"/>
        </bottom>
        <vertical/>
        <horizontal/>
      </border>
    </dxf>
    <dxf>
      <border>
        <bottom style="thin">
          <color indexed="64"/>
        </bottom>
      </border>
    </dxf>
    <dxf>
      <border>
        <right style="thin">
          <color indexed="64"/>
        </right>
      </border>
    </dxf>
    <dxf>
      <border>
        <right style="thin">
          <color indexed="64"/>
        </right>
        <bottom style="thin">
          <color indexed="64"/>
        </bottom>
      </border>
    </dxf>
    <dxf>
      <border>
        <bottom style="thin">
          <color indexed="64"/>
        </bottom>
      </border>
    </dxf>
    <dxf>
      <border>
        <left style="thin">
          <color indexed="64"/>
        </left>
      </border>
    </dxf>
    <dxf>
      <border>
        <bottom style="thin">
          <color indexed="64"/>
        </bottom>
      </border>
    </dxf>
    <dxf>
      <border>
        <bottom style="thin">
          <color indexed="64"/>
        </bottom>
      </border>
    </dxf>
    <dxf>
      <border>
        <bottom style="thin">
          <color auto="1"/>
        </bottom>
        <vertical/>
        <horizontal/>
      </border>
    </dxf>
    <dxf>
      <border>
        <right style="thin">
          <color indexed="64"/>
        </right>
      </border>
    </dxf>
    <dxf>
      <border>
        <bottom style="thin">
          <color auto="1"/>
        </bottom>
        <vertical/>
        <horizontal/>
      </border>
    </dxf>
    <dxf>
      <border>
        <right style="thin">
          <color auto="1"/>
        </right>
        <bottom style="thin">
          <color auto="1"/>
        </bottom>
        <vertical/>
        <horizontal/>
      </border>
    </dxf>
    <dxf>
      <border>
        <bottom style="thin">
          <color indexed="64"/>
        </bottom>
      </border>
    </dxf>
    <dxf>
      <font>
        <strike val="0"/>
        <color theme="0"/>
      </font>
      <border>
        <left/>
        <right/>
        <top/>
        <bottom/>
      </border>
    </dxf>
    <dxf>
      <border>
        <right style="thin">
          <color indexed="64"/>
        </right>
      </border>
    </dxf>
    <dxf>
      <border>
        <bottom style="thin">
          <color auto="1"/>
        </bottom>
        <vertical/>
        <horizontal/>
      </border>
    </dxf>
    <dxf>
      <border>
        <left style="thin">
          <color auto="1"/>
        </left>
        <bottom style="thin">
          <color auto="1"/>
        </bottom>
        <vertical/>
        <horizontal/>
      </border>
    </dxf>
    <dxf>
      <border>
        <bottom style="thin">
          <color auto="1"/>
        </bottom>
        <vertical/>
        <horizontal/>
      </border>
    </dxf>
    <dxf>
      <border>
        <left style="thin">
          <color indexed="64"/>
        </left>
      </border>
    </dxf>
    <dxf>
      <border>
        <bottom style="thin">
          <color auto="1"/>
        </bottom>
        <vertical/>
        <horizontal/>
      </border>
    </dxf>
    <dxf>
      <border>
        <left style="thin">
          <color auto="1"/>
        </left>
        <bottom style="thin">
          <color auto="1"/>
        </bottom>
        <vertical/>
        <horizontal/>
      </border>
    </dxf>
    <dxf>
      <border>
        <bottom style="thin">
          <color indexed="64"/>
        </bottom>
      </border>
    </dxf>
    <dxf>
      <border>
        <left style="thin">
          <color indexed="64"/>
        </left>
        <bottom style="thin">
          <color indexed="64"/>
        </bottom>
      </border>
    </dxf>
    <dxf>
      <border>
        <bottom style="thin">
          <color indexed="64"/>
        </bottom>
      </border>
    </dxf>
    <dxf>
      <border>
        <left style="thin">
          <color indexed="64"/>
        </left>
      </border>
    </dxf>
    <dxf>
      <border>
        <bottom style="thin">
          <color indexed="64"/>
        </bottom>
      </border>
    </dxf>
    <dxf>
      <border>
        <bottom style="thin">
          <color indexed="64"/>
        </bottom>
      </border>
    </dxf>
    <dxf>
      <border>
        <bottom style="thin">
          <color indexed="64"/>
        </bottom>
      </border>
    </dxf>
    <dxf>
      <border>
        <right style="thin">
          <color indexed="64"/>
        </right>
        <bottom style="thin">
          <color indexed="64"/>
        </bottom>
      </border>
    </dxf>
    <dxf>
      <border>
        <bottom style="thin">
          <color indexed="64"/>
        </bottom>
      </border>
    </dxf>
    <dxf>
      <border>
        <right style="thin">
          <color indexed="64"/>
        </right>
      </border>
    </dxf>
    <dxf>
      <border>
        <bottom style="thin">
          <color auto="1"/>
        </bottom>
        <vertical/>
        <horizontal/>
      </border>
    </dxf>
    <dxf>
      <border>
        <bottom style="thin">
          <color indexed="64"/>
        </bottom>
      </border>
    </dxf>
    <dxf>
      <border>
        <right style="thin">
          <color indexed="64"/>
        </right>
        <bottom style="thin">
          <color indexed="64"/>
        </bottom>
      </border>
    </dxf>
    <dxf>
      <border>
        <bottom style="thin">
          <color indexed="64"/>
        </bottom>
      </border>
    </dxf>
    <dxf>
      <border>
        <left style="thin">
          <color indexed="64"/>
        </left>
      </border>
    </dxf>
    <dxf>
      <border>
        <top style="thin">
          <color auto="1"/>
        </top>
        <vertical/>
        <horizontal/>
      </border>
    </dxf>
    <dxf>
      <border>
        <bottom style="thin">
          <color auto="1"/>
        </bottom>
        <vertical/>
        <horizontal/>
      </border>
    </dxf>
    <dxf>
      <border>
        <bottom style="thin">
          <color indexed="64"/>
        </bottom>
      </border>
    </dxf>
    <dxf>
      <border>
        <right style="thin">
          <color auto="1"/>
        </right>
        <vertical/>
        <horizontal/>
      </border>
    </dxf>
    <dxf>
      <border>
        <right style="thin">
          <color auto="1"/>
        </right>
        <bottom style="thin">
          <color auto="1"/>
        </bottom>
        <vertical/>
        <horizontal/>
      </border>
    </dxf>
    <dxf>
      <border>
        <right style="thin">
          <color auto="1"/>
        </right>
        <vertical/>
        <horizontal/>
      </border>
    </dxf>
    <dxf>
      <border>
        <bottom style="thin">
          <color indexed="64"/>
        </bottom>
      </border>
    </dxf>
    <dxf>
      <border>
        <left style="thin">
          <color indexed="64"/>
        </left>
        <bottom style="thin">
          <color indexed="64"/>
        </bottom>
      </border>
    </dxf>
    <dxf>
      <border>
        <bottom style="thin">
          <color indexed="64"/>
        </bottom>
      </border>
    </dxf>
    <dxf>
      <border>
        <right style="thin">
          <color indexed="64"/>
        </right>
      </border>
    </dxf>
    <dxf>
      <border>
        <bottom style="thin">
          <color indexed="64"/>
        </bottom>
      </border>
    </dxf>
    <dxf>
      <border>
        <bottom style="thin">
          <color indexed="64"/>
        </bottom>
      </border>
    </dxf>
    <dxf>
      <border>
        <right style="thin">
          <color indexed="64"/>
        </right>
        <bottom style="thin">
          <color indexed="64"/>
        </bottom>
      </border>
    </dxf>
    <dxf>
      <border>
        <bottom style="thin">
          <color indexed="64"/>
        </bottom>
      </border>
    </dxf>
    <dxf>
      <border>
        <bottom style="thin">
          <color indexed="64"/>
        </bottom>
      </border>
    </dxf>
    <dxf>
      <border>
        <right style="thin">
          <color indexed="64"/>
        </right>
      </border>
    </dxf>
    <dxf>
      <border>
        <bottom style="thin">
          <color auto="1"/>
        </bottom>
        <vertical/>
        <horizontal/>
      </border>
    </dxf>
    <dxf>
      <border>
        <bottom style="thin">
          <color indexed="64"/>
        </bottom>
      </border>
    </dxf>
    <dxf>
      <border>
        <right style="thin">
          <color indexed="64"/>
        </right>
        <bottom style="thin">
          <color indexed="64"/>
        </bottom>
      </border>
    </dxf>
    <dxf>
      <border>
        <bottom style="thin">
          <color auto="1"/>
        </bottom>
        <vertical/>
        <horizontal/>
      </border>
    </dxf>
    <dxf>
      <border>
        <left style="thin">
          <color indexed="64"/>
        </left>
      </border>
    </dxf>
    <dxf>
      <border>
        <bottom style="thin">
          <color indexed="64"/>
        </bottom>
      </border>
    </dxf>
    <dxf>
      <border>
        <bottom style="thin">
          <color indexed="64"/>
        </bottom>
      </border>
    </dxf>
    <dxf>
      <border>
        <left style="thin">
          <color indexed="64"/>
        </left>
        <bottom style="thin">
          <color indexed="64"/>
        </bottom>
      </border>
    </dxf>
    <dxf>
      <border>
        <left style="thin">
          <color indexed="64"/>
        </left>
      </border>
    </dxf>
    <dxf>
      <border>
        <bottom style="thin">
          <color indexed="64"/>
        </bottom>
      </border>
    </dxf>
    <dxf>
      <border>
        <bottom style="thin">
          <color indexed="64"/>
        </bottom>
      </border>
    </dxf>
    <dxf>
      <border>
        <right style="thin">
          <color indexed="64"/>
        </right>
        <bottom style="thin">
          <color indexed="64"/>
        </bottom>
      </border>
    </dxf>
    <dxf>
      <border>
        <bottom style="thin">
          <color indexed="64"/>
        </bottom>
      </border>
    </dxf>
    <dxf>
      <border>
        <bottom style="thin">
          <color indexed="64"/>
        </bottom>
      </border>
    </dxf>
    <dxf>
      <border>
        <right style="thin">
          <color indexed="64"/>
        </right>
      </border>
    </dxf>
    <dxf>
      <border>
        <bottom style="thin">
          <color indexed="64"/>
        </bottom>
      </border>
    </dxf>
    <dxf>
      <border>
        <bottom style="thin">
          <color auto="1"/>
        </bottom>
        <vertical/>
        <horizontal/>
      </border>
    </dxf>
    <dxf>
      <border>
        <left style="thin">
          <color indexed="64"/>
        </left>
        <bottom style="thin">
          <color indexed="64"/>
        </bottom>
      </border>
    </dxf>
    <dxf>
      <border>
        <bottom style="thin">
          <color indexed="64"/>
        </bottom>
      </border>
    </dxf>
    <dxf>
      <border>
        <left style="thin">
          <color auto="1"/>
        </left>
        <vertical/>
        <horizontal/>
      </border>
    </dxf>
    <dxf>
      <border>
        <left style="thin">
          <color auto="1"/>
        </left>
        <vertical/>
        <horizontal/>
      </border>
    </dxf>
    <dxf>
      <border>
        <left style="thin">
          <color auto="1"/>
        </left>
        <bottom style="thin">
          <color auto="1"/>
        </bottom>
        <vertical/>
        <horizontal/>
      </border>
    </dxf>
    <dxf>
      <border>
        <left style="thin">
          <color indexed="64"/>
        </left>
      </border>
    </dxf>
    <dxf>
      <border>
        <bottom style="thin">
          <color indexed="64"/>
        </bottom>
      </border>
    </dxf>
    <dxf>
      <border>
        <left style="thin">
          <color indexed="64"/>
        </left>
        <bottom style="thin">
          <color indexed="64"/>
        </bottom>
      </border>
    </dxf>
    <dxf>
      <border>
        <bottom style="thin">
          <color indexed="64"/>
        </bottom>
      </border>
    </dxf>
    <dxf>
      <font>
        <condense val="0"/>
        <extend val="0"/>
        <color indexed="9"/>
      </font>
    </dxf>
    <dxf>
      <border>
        <bottom style="thin">
          <color indexed="64"/>
        </bottom>
      </border>
    </dxf>
    <dxf>
      <border>
        <right style="thin">
          <color indexed="64"/>
        </right>
      </border>
    </dxf>
    <dxf>
      <border>
        <bottom style="thin">
          <color indexed="64"/>
        </bottom>
      </border>
    </dxf>
    <dxf>
      <border>
        <bottom style="thin">
          <color indexed="64"/>
        </bottom>
      </border>
    </dxf>
    <dxf>
      <border>
        <bottom style="thin">
          <color indexed="64"/>
        </bottom>
      </border>
    </dxf>
    <dxf>
      <border>
        <right style="thin">
          <color indexed="64"/>
        </right>
        <bottom style="thin">
          <color indexed="64"/>
        </bottom>
      </border>
    </dxf>
    <dxf>
      <border>
        <bottom style="thin">
          <color indexed="64"/>
        </bottom>
      </border>
    </dxf>
    <dxf>
      <border>
        <right style="thin">
          <color indexed="64"/>
        </right>
      </border>
    </dxf>
    <dxf>
      <border>
        <bottom style="thin">
          <color indexed="64"/>
        </bottom>
      </border>
    </dxf>
    <dxf>
      <border>
        <bottom style="thin">
          <color indexed="64"/>
        </bottom>
      </border>
    </dxf>
    <dxf>
      <border>
        <right style="thin">
          <color auto="1"/>
        </right>
        <bottom style="thin">
          <color auto="1"/>
        </bottom>
        <vertical/>
        <horizontal/>
      </border>
    </dxf>
    <dxf>
      <border>
        <bottom style="thin">
          <color auto="1"/>
        </bottom>
        <vertical/>
        <horizontal/>
      </border>
    </dxf>
    <dxf>
      <border>
        <left style="thin">
          <color indexed="64"/>
        </left>
      </border>
    </dxf>
    <dxf>
      <border>
        <bottom style="thin">
          <color auto="1"/>
        </bottom>
        <vertical/>
        <horizontal/>
      </border>
    </dxf>
    <dxf>
      <border>
        <bottom style="thin">
          <color auto="1"/>
        </bottom>
        <vertical/>
        <horizontal/>
      </border>
    </dxf>
    <dxf>
      <border>
        <left style="thin">
          <color auto="1"/>
        </left>
        <bottom style="thin">
          <color auto="1"/>
        </bottom>
        <vertical/>
        <horizontal/>
      </border>
    </dxf>
    <dxf>
      <border>
        <left style="thin">
          <color indexed="64"/>
        </left>
      </border>
    </dxf>
    <dxf>
      <border>
        <top style="thin">
          <color auto="1"/>
        </top>
        <vertical/>
        <horizontal/>
      </border>
    </dxf>
    <dxf>
      <border>
        <bottom style="thin">
          <color auto="1"/>
        </bottom>
        <vertical/>
        <horizontal/>
      </border>
    </dxf>
    <dxf>
      <border>
        <bottom style="thin">
          <color auto="1"/>
        </bottom>
        <vertical/>
        <horizontal/>
      </border>
    </dxf>
    <dxf>
      <border>
        <bottom style="thin">
          <color indexed="64"/>
        </bottom>
      </border>
    </dxf>
    <dxf>
      <border>
        <bottom style="thin">
          <color indexed="64"/>
        </bottom>
      </border>
    </dxf>
    <dxf>
      <border>
        <right style="thin">
          <color indexed="64"/>
        </right>
        <bottom style="thin">
          <color indexed="64"/>
        </bottom>
      </border>
    </dxf>
    <dxf>
      <border>
        <bottom style="thin">
          <color indexed="64"/>
        </bottom>
      </border>
    </dxf>
    <dxf>
      <border>
        <right style="thin">
          <color indexed="64"/>
        </right>
      </border>
    </dxf>
    <dxf>
      <border>
        <bottom style="thin">
          <color auto="1"/>
        </bottom>
        <vertical/>
        <horizontal/>
      </border>
    </dxf>
    <dxf>
      <border>
        <bottom style="thin">
          <color indexed="64"/>
        </bottom>
      </border>
    </dxf>
    <dxf>
      <border>
        <right style="thin">
          <color auto="1"/>
        </right>
        <bottom style="thin">
          <color auto="1"/>
        </bottom>
        <vertical/>
        <horizontal/>
      </border>
    </dxf>
    <dxf>
      <border>
        <bottom style="thin">
          <color auto="1"/>
        </bottom>
        <vertical/>
        <horizontal/>
      </border>
    </dxf>
    <dxf>
      <border>
        <left style="thin">
          <color indexed="64"/>
        </left>
      </border>
    </dxf>
    <dxf>
      <border>
        <bottom style="thin">
          <color indexed="64"/>
        </bottom>
      </border>
    </dxf>
    <dxf>
      <border>
        <bottom style="thin">
          <color indexed="64"/>
        </bottom>
      </border>
    </dxf>
    <dxf>
      <border>
        <left style="thin">
          <color indexed="64"/>
        </left>
        <bottom style="thin">
          <color indexed="64"/>
        </bottom>
      </border>
    </dxf>
    <dxf>
      <border>
        <bottom style="thin">
          <color indexed="64"/>
        </bottom>
      </border>
    </dxf>
    <dxf>
      <border>
        <right style="thin">
          <color indexed="64"/>
        </right>
      </border>
    </dxf>
    <dxf>
      <border>
        <bottom style="thin">
          <color indexed="64"/>
        </bottom>
      </border>
    </dxf>
    <dxf>
      <border>
        <bottom style="thin">
          <color indexed="64"/>
        </bottom>
      </border>
    </dxf>
    <dxf>
      <border>
        <right style="thin">
          <color indexed="64"/>
        </right>
        <bottom style="thin">
          <color indexed="64"/>
        </bottom>
      </border>
    </dxf>
    <dxf>
      <border>
        <bottom style="thin">
          <color indexed="64"/>
        </bottom>
      </border>
    </dxf>
    <dxf>
      <border>
        <bottom style="thin">
          <color indexed="64"/>
        </bottom>
      </border>
    </dxf>
    <dxf>
      <border>
        <right style="thin">
          <color indexed="64"/>
        </right>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 Id="rId30" Type="http://schemas.openxmlformats.org/officeDocument/2006/relationships/customXml" Target="../customXml/item3.xml"/></Relationships>
</file>

<file path=xl/ctrlProps/ctrlProp1.xml><?xml version="1.0" encoding="utf-8"?>
<formControlPr xmlns="http://schemas.microsoft.com/office/spreadsheetml/2009/9/main" objectType="CheckBox" fmlaLink="$EI$1" lockText="1"/>
</file>

<file path=xl/ctrlProps/ctrlProp2.xml><?xml version="1.0" encoding="utf-8"?>
<formControlPr xmlns="http://schemas.microsoft.com/office/spreadsheetml/2009/9/main" objectType="CheckBox" fmlaLink="$EI$1" lockText="1"/>
</file>

<file path=xl/ctrlProps/ctrlProp3.xml><?xml version="1.0" encoding="utf-8"?>
<formControlPr xmlns="http://schemas.microsoft.com/office/spreadsheetml/2009/9/main" objectType="CheckBox" fmlaLink="$BM$5" lockText="1"/>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10</xdr:col>
      <xdr:colOff>0</xdr:colOff>
      <xdr:row>33</xdr:row>
      <xdr:rowOff>0</xdr:rowOff>
    </xdr:from>
    <xdr:to>
      <xdr:col>15</xdr:col>
      <xdr:colOff>0</xdr:colOff>
      <xdr:row>35</xdr:row>
      <xdr:rowOff>0</xdr:rowOff>
    </xdr:to>
    <xdr:sp macro="" textlink="">
      <xdr:nvSpPr>
        <xdr:cNvPr id="5" name="大かっこ 4">
          <a:extLst>
            <a:ext uri="{FF2B5EF4-FFF2-40B4-BE49-F238E27FC236}">
              <a16:creationId xmlns:a16="http://schemas.microsoft.com/office/drawing/2014/main" id="{71B1AB20-D272-4B3E-92CC-B5D8BB1C2685}"/>
            </a:ext>
          </a:extLst>
        </xdr:cNvPr>
        <xdr:cNvSpPr/>
      </xdr:nvSpPr>
      <xdr:spPr>
        <a:xfrm>
          <a:off x="1238250" y="2828925"/>
          <a:ext cx="714375"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10</xdr:col>
      <xdr:colOff>0</xdr:colOff>
      <xdr:row>33</xdr:row>
      <xdr:rowOff>0</xdr:rowOff>
    </xdr:from>
    <xdr:to>
      <xdr:col>15</xdr:col>
      <xdr:colOff>0</xdr:colOff>
      <xdr:row>35</xdr:row>
      <xdr:rowOff>0</xdr:rowOff>
    </xdr:to>
    <xdr:sp macro="" textlink="">
      <xdr:nvSpPr>
        <xdr:cNvPr id="6" name="大かっこ 5">
          <a:extLst>
            <a:ext uri="{FF2B5EF4-FFF2-40B4-BE49-F238E27FC236}">
              <a16:creationId xmlns:a16="http://schemas.microsoft.com/office/drawing/2014/main" id="{D1597B68-FE42-4A1E-9D18-D4F0DBA3043B}"/>
            </a:ext>
          </a:extLst>
        </xdr:cNvPr>
        <xdr:cNvSpPr/>
      </xdr:nvSpPr>
      <xdr:spPr>
        <a:xfrm>
          <a:off x="1238250" y="2828925"/>
          <a:ext cx="714375"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17</xdr:col>
      <xdr:colOff>0</xdr:colOff>
      <xdr:row>33</xdr:row>
      <xdr:rowOff>0</xdr:rowOff>
    </xdr:from>
    <xdr:to>
      <xdr:col>22</xdr:col>
      <xdr:colOff>0</xdr:colOff>
      <xdr:row>35</xdr:row>
      <xdr:rowOff>0</xdr:rowOff>
    </xdr:to>
    <xdr:sp macro="" textlink="">
      <xdr:nvSpPr>
        <xdr:cNvPr id="7" name="大かっこ 6">
          <a:extLst>
            <a:ext uri="{FF2B5EF4-FFF2-40B4-BE49-F238E27FC236}">
              <a16:creationId xmlns:a16="http://schemas.microsoft.com/office/drawing/2014/main" id="{990C5BE1-3AA2-4BC7-8CC9-97073B5FD429}"/>
            </a:ext>
          </a:extLst>
        </xdr:cNvPr>
        <xdr:cNvSpPr/>
      </xdr:nvSpPr>
      <xdr:spPr>
        <a:xfrm>
          <a:off x="2047875" y="2828925"/>
          <a:ext cx="714375"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17</xdr:col>
      <xdr:colOff>0</xdr:colOff>
      <xdr:row>33</xdr:row>
      <xdr:rowOff>0</xdr:rowOff>
    </xdr:from>
    <xdr:to>
      <xdr:col>22</xdr:col>
      <xdr:colOff>0</xdr:colOff>
      <xdr:row>35</xdr:row>
      <xdr:rowOff>0</xdr:rowOff>
    </xdr:to>
    <xdr:sp macro="" textlink="">
      <xdr:nvSpPr>
        <xdr:cNvPr id="8" name="大かっこ 7">
          <a:extLst>
            <a:ext uri="{FF2B5EF4-FFF2-40B4-BE49-F238E27FC236}">
              <a16:creationId xmlns:a16="http://schemas.microsoft.com/office/drawing/2014/main" id="{B3E357E3-5E6E-46AC-8FE7-84989900FC3E}"/>
            </a:ext>
          </a:extLst>
        </xdr:cNvPr>
        <xdr:cNvSpPr/>
      </xdr:nvSpPr>
      <xdr:spPr>
        <a:xfrm>
          <a:off x="2047875" y="2828925"/>
          <a:ext cx="714375"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24</xdr:col>
      <xdr:colOff>0</xdr:colOff>
      <xdr:row>33</xdr:row>
      <xdr:rowOff>0</xdr:rowOff>
    </xdr:from>
    <xdr:to>
      <xdr:col>29</xdr:col>
      <xdr:colOff>0</xdr:colOff>
      <xdr:row>35</xdr:row>
      <xdr:rowOff>0</xdr:rowOff>
    </xdr:to>
    <xdr:sp macro="" textlink="">
      <xdr:nvSpPr>
        <xdr:cNvPr id="9" name="大かっこ 8">
          <a:extLst>
            <a:ext uri="{FF2B5EF4-FFF2-40B4-BE49-F238E27FC236}">
              <a16:creationId xmlns:a16="http://schemas.microsoft.com/office/drawing/2014/main" id="{8E1182F2-97EB-44E0-B052-701B3F5C4A7C}"/>
            </a:ext>
          </a:extLst>
        </xdr:cNvPr>
        <xdr:cNvSpPr/>
      </xdr:nvSpPr>
      <xdr:spPr>
        <a:xfrm>
          <a:off x="2857500" y="2828925"/>
          <a:ext cx="714375"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24</xdr:col>
      <xdr:colOff>0</xdr:colOff>
      <xdr:row>33</xdr:row>
      <xdr:rowOff>0</xdr:rowOff>
    </xdr:from>
    <xdr:to>
      <xdr:col>29</xdr:col>
      <xdr:colOff>0</xdr:colOff>
      <xdr:row>35</xdr:row>
      <xdr:rowOff>0</xdr:rowOff>
    </xdr:to>
    <xdr:sp macro="" textlink="">
      <xdr:nvSpPr>
        <xdr:cNvPr id="10" name="大かっこ 9">
          <a:extLst>
            <a:ext uri="{FF2B5EF4-FFF2-40B4-BE49-F238E27FC236}">
              <a16:creationId xmlns:a16="http://schemas.microsoft.com/office/drawing/2014/main" id="{6BB15779-A9D3-4656-B584-D4E4409536C9}"/>
            </a:ext>
          </a:extLst>
        </xdr:cNvPr>
        <xdr:cNvSpPr/>
      </xdr:nvSpPr>
      <xdr:spPr>
        <a:xfrm>
          <a:off x="2857500" y="2828925"/>
          <a:ext cx="714375"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31</xdr:col>
      <xdr:colOff>0</xdr:colOff>
      <xdr:row>33</xdr:row>
      <xdr:rowOff>0</xdr:rowOff>
    </xdr:from>
    <xdr:to>
      <xdr:col>36</xdr:col>
      <xdr:colOff>0</xdr:colOff>
      <xdr:row>35</xdr:row>
      <xdr:rowOff>0</xdr:rowOff>
    </xdr:to>
    <xdr:sp macro="" textlink="">
      <xdr:nvSpPr>
        <xdr:cNvPr id="11" name="大かっこ 10">
          <a:extLst>
            <a:ext uri="{FF2B5EF4-FFF2-40B4-BE49-F238E27FC236}">
              <a16:creationId xmlns:a16="http://schemas.microsoft.com/office/drawing/2014/main" id="{20DE17A5-0524-4087-BDA8-B8B0DC7FBF9F}"/>
            </a:ext>
          </a:extLst>
        </xdr:cNvPr>
        <xdr:cNvSpPr/>
      </xdr:nvSpPr>
      <xdr:spPr>
        <a:xfrm>
          <a:off x="3667125" y="2828925"/>
          <a:ext cx="714375"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31</xdr:col>
      <xdr:colOff>0</xdr:colOff>
      <xdr:row>33</xdr:row>
      <xdr:rowOff>0</xdr:rowOff>
    </xdr:from>
    <xdr:to>
      <xdr:col>36</xdr:col>
      <xdr:colOff>0</xdr:colOff>
      <xdr:row>35</xdr:row>
      <xdr:rowOff>0</xdr:rowOff>
    </xdr:to>
    <xdr:sp macro="" textlink="">
      <xdr:nvSpPr>
        <xdr:cNvPr id="12" name="大かっこ 11">
          <a:extLst>
            <a:ext uri="{FF2B5EF4-FFF2-40B4-BE49-F238E27FC236}">
              <a16:creationId xmlns:a16="http://schemas.microsoft.com/office/drawing/2014/main" id="{54479397-9174-41D8-BD94-7DE19DE58DBC}"/>
            </a:ext>
          </a:extLst>
        </xdr:cNvPr>
        <xdr:cNvSpPr/>
      </xdr:nvSpPr>
      <xdr:spPr>
        <a:xfrm>
          <a:off x="3667125" y="2828925"/>
          <a:ext cx="714375"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17</xdr:col>
      <xdr:colOff>0</xdr:colOff>
      <xdr:row>37</xdr:row>
      <xdr:rowOff>0</xdr:rowOff>
    </xdr:from>
    <xdr:to>
      <xdr:col>22</xdr:col>
      <xdr:colOff>0</xdr:colOff>
      <xdr:row>39</xdr:row>
      <xdr:rowOff>0</xdr:rowOff>
    </xdr:to>
    <xdr:sp macro="" textlink="">
      <xdr:nvSpPr>
        <xdr:cNvPr id="13" name="大かっこ 12">
          <a:extLst>
            <a:ext uri="{FF2B5EF4-FFF2-40B4-BE49-F238E27FC236}">
              <a16:creationId xmlns:a16="http://schemas.microsoft.com/office/drawing/2014/main" id="{DA4B4247-BCF6-40C4-A3B8-537ACB666B87}"/>
            </a:ext>
          </a:extLst>
        </xdr:cNvPr>
        <xdr:cNvSpPr/>
      </xdr:nvSpPr>
      <xdr:spPr>
        <a:xfrm>
          <a:off x="2047875" y="3619500"/>
          <a:ext cx="714375"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17</xdr:col>
      <xdr:colOff>0</xdr:colOff>
      <xdr:row>37</xdr:row>
      <xdr:rowOff>0</xdr:rowOff>
    </xdr:from>
    <xdr:to>
      <xdr:col>22</xdr:col>
      <xdr:colOff>0</xdr:colOff>
      <xdr:row>39</xdr:row>
      <xdr:rowOff>0</xdr:rowOff>
    </xdr:to>
    <xdr:sp macro="" textlink="">
      <xdr:nvSpPr>
        <xdr:cNvPr id="14" name="大かっこ 13">
          <a:extLst>
            <a:ext uri="{FF2B5EF4-FFF2-40B4-BE49-F238E27FC236}">
              <a16:creationId xmlns:a16="http://schemas.microsoft.com/office/drawing/2014/main" id="{790E66A1-E976-49FA-9FDE-3B56265788E7}"/>
            </a:ext>
          </a:extLst>
        </xdr:cNvPr>
        <xdr:cNvSpPr/>
      </xdr:nvSpPr>
      <xdr:spPr>
        <a:xfrm>
          <a:off x="2047875" y="3619500"/>
          <a:ext cx="714375"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24</xdr:col>
      <xdr:colOff>0</xdr:colOff>
      <xdr:row>37</xdr:row>
      <xdr:rowOff>0</xdr:rowOff>
    </xdr:from>
    <xdr:to>
      <xdr:col>29</xdr:col>
      <xdr:colOff>0</xdr:colOff>
      <xdr:row>39</xdr:row>
      <xdr:rowOff>0</xdr:rowOff>
    </xdr:to>
    <xdr:sp macro="" textlink="">
      <xdr:nvSpPr>
        <xdr:cNvPr id="15" name="大かっこ 14">
          <a:extLst>
            <a:ext uri="{FF2B5EF4-FFF2-40B4-BE49-F238E27FC236}">
              <a16:creationId xmlns:a16="http://schemas.microsoft.com/office/drawing/2014/main" id="{58257B99-9EE6-4FAA-BC05-1F1320E8C378}"/>
            </a:ext>
          </a:extLst>
        </xdr:cNvPr>
        <xdr:cNvSpPr/>
      </xdr:nvSpPr>
      <xdr:spPr>
        <a:xfrm>
          <a:off x="2857500" y="3619500"/>
          <a:ext cx="714375"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24</xdr:col>
      <xdr:colOff>0</xdr:colOff>
      <xdr:row>37</xdr:row>
      <xdr:rowOff>0</xdr:rowOff>
    </xdr:from>
    <xdr:to>
      <xdr:col>29</xdr:col>
      <xdr:colOff>0</xdr:colOff>
      <xdr:row>39</xdr:row>
      <xdr:rowOff>0</xdr:rowOff>
    </xdr:to>
    <xdr:sp macro="" textlink="">
      <xdr:nvSpPr>
        <xdr:cNvPr id="16" name="大かっこ 15">
          <a:extLst>
            <a:ext uri="{FF2B5EF4-FFF2-40B4-BE49-F238E27FC236}">
              <a16:creationId xmlns:a16="http://schemas.microsoft.com/office/drawing/2014/main" id="{FAA1C9A2-A6B0-4C25-929C-8346E5AAB123}"/>
            </a:ext>
          </a:extLst>
        </xdr:cNvPr>
        <xdr:cNvSpPr/>
      </xdr:nvSpPr>
      <xdr:spPr>
        <a:xfrm>
          <a:off x="2857500" y="3619500"/>
          <a:ext cx="714375"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31</xdr:col>
      <xdr:colOff>0</xdr:colOff>
      <xdr:row>37</xdr:row>
      <xdr:rowOff>0</xdr:rowOff>
    </xdr:from>
    <xdr:to>
      <xdr:col>36</xdr:col>
      <xdr:colOff>0</xdr:colOff>
      <xdr:row>39</xdr:row>
      <xdr:rowOff>0</xdr:rowOff>
    </xdr:to>
    <xdr:sp macro="" textlink="">
      <xdr:nvSpPr>
        <xdr:cNvPr id="17" name="大かっこ 16">
          <a:extLst>
            <a:ext uri="{FF2B5EF4-FFF2-40B4-BE49-F238E27FC236}">
              <a16:creationId xmlns:a16="http://schemas.microsoft.com/office/drawing/2014/main" id="{200CE7CF-2774-4C24-8246-83E25482626C}"/>
            </a:ext>
          </a:extLst>
        </xdr:cNvPr>
        <xdr:cNvSpPr/>
      </xdr:nvSpPr>
      <xdr:spPr>
        <a:xfrm>
          <a:off x="3667125" y="3619500"/>
          <a:ext cx="714375"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31</xdr:col>
      <xdr:colOff>0</xdr:colOff>
      <xdr:row>37</xdr:row>
      <xdr:rowOff>0</xdr:rowOff>
    </xdr:from>
    <xdr:to>
      <xdr:col>36</xdr:col>
      <xdr:colOff>0</xdr:colOff>
      <xdr:row>39</xdr:row>
      <xdr:rowOff>0</xdr:rowOff>
    </xdr:to>
    <xdr:sp macro="" textlink="">
      <xdr:nvSpPr>
        <xdr:cNvPr id="18" name="大かっこ 17">
          <a:extLst>
            <a:ext uri="{FF2B5EF4-FFF2-40B4-BE49-F238E27FC236}">
              <a16:creationId xmlns:a16="http://schemas.microsoft.com/office/drawing/2014/main" id="{9B1AD11E-B1AA-439A-9B7E-7DFD1DD997E3}"/>
            </a:ext>
          </a:extLst>
        </xdr:cNvPr>
        <xdr:cNvSpPr/>
      </xdr:nvSpPr>
      <xdr:spPr>
        <a:xfrm>
          <a:off x="3667125" y="3619500"/>
          <a:ext cx="714375"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24</xdr:col>
      <xdr:colOff>0</xdr:colOff>
      <xdr:row>41</xdr:row>
      <xdr:rowOff>0</xdr:rowOff>
    </xdr:from>
    <xdr:to>
      <xdr:col>29</xdr:col>
      <xdr:colOff>0</xdr:colOff>
      <xdr:row>43</xdr:row>
      <xdr:rowOff>0</xdr:rowOff>
    </xdr:to>
    <xdr:sp macro="" textlink="">
      <xdr:nvSpPr>
        <xdr:cNvPr id="19" name="大かっこ 18">
          <a:extLst>
            <a:ext uri="{FF2B5EF4-FFF2-40B4-BE49-F238E27FC236}">
              <a16:creationId xmlns:a16="http://schemas.microsoft.com/office/drawing/2014/main" id="{94A7FC9C-EF67-45AE-AF62-F8D8B51B6F06}"/>
            </a:ext>
          </a:extLst>
        </xdr:cNvPr>
        <xdr:cNvSpPr/>
      </xdr:nvSpPr>
      <xdr:spPr>
        <a:xfrm>
          <a:off x="2857500" y="4410075"/>
          <a:ext cx="714375"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24</xdr:col>
      <xdr:colOff>0</xdr:colOff>
      <xdr:row>41</xdr:row>
      <xdr:rowOff>0</xdr:rowOff>
    </xdr:from>
    <xdr:to>
      <xdr:col>29</xdr:col>
      <xdr:colOff>0</xdr:colOff>
      <xdr:row>43</xdr:row>
      <xdr:rowOff>0</xdr:rowOff>
    </xdr:to>
    <xdr:sp macro="" textlink="">
      <xdr:nvSpPr>
        <xdr:cNvPr id="20" name="大かっこ 19">
          <a:extLst>
            <a:ext uri="{FF2B5EF4-FFF2-40B4-BE49-F238E27FC236}">
              <a16:creationId xmlns:a16="http://schemas.microsoft.com/office/drawing/2014/main" id="{C86A22FF-E328-4EC4-A4AA-364ECD4AF200}"/>
            </a:ext>
          </a:extLst>
        </xdr:cNvPr>
        <xdr:cNvSpPr/>
      </xdr:nvSpPr>
      <xdr:spPr>
        <a:xfrm>
          <a:off x="2857500" y="4410075"/>
          <a:ext cx="714375"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31</xdr:col>
      <xdr:colOff>0</xdr:colOff>
      <xdr:row>41</xdr:row>
      <xdr:rowOff>0</xdr:rowOff>
    </xdr:from>
    <xdr:to>
      <xdr:col>36</xdr:col>
      <xdr:colOff>0</xdr:colOff>
      <xdr:row>43</xdr:row>
      <xdr:rowOff>0</xdr:rowOff>
    </xdr:to>
    <xdr:sp macro="" textlink="">
      <xdr:nvSpPr>
        <xdr:cNvPr id="21" name="大かっこ 20">
          <a:extLst>
            <a:ext uri="{FF2B5EF4-FFF2-40B4-BE49-F238E27FC236}">
              <a16:creationId xmlns:a16="http://schemas.microsoft.com/office/drawing/2014/main" id="{C4D4A7FC-B62D-4C8B-8FED-685B1A9826FF}"/>
            </a:ext>
          </a:extLst>
        </xdr:cNvPr>
        <xdr:cNvSpPr/>
      </xdr:nvSpPr>
      <xdr:spPr>
        <a:xfrm>
          <a:off x="3667125" y="4410075"/>
          <a:ext cx="714375"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31</xdr:col>
      <xdr:colOff>0</xdr:colOff>
      <xdr:row>41</xdr:row>
      <xdr:rowOff>0</xdr:rowOff>
    </xdr:from>
    <xdr:to>
      <xdr:col>36</xdr:col>
      <xdr:colOff>0</xdr:colOff>
      <xdr:row>43</xdr:row>
      <xdr:rowOff>0</xdr:rowOff>
    </xdr:to>
    <xdr:sp macro="" textlink="">
      <xdr:nvSpPr>
        <xdr:cNvPr id="22" name="大かっこ 21">
          <a:extLst>
            <a:ext uri="{FF2B5EF4-FFF2-40B4-BE49-F238E27FC236}">
              <a16:creationId xmlns:a16="http://schemas.microsoft.com/office/drawing/2014/main" id="{096C8F5C-9087-40E1-BEB0-C8EF5B1F97E3}"/>
            </a:ext>
          </a:extLst>
        </xdr:cNvPr>
        <xdr:cNvSpPr/>
      </xdr:nvSpPr>
      <xdr:spPr>
        <a:xfrm>
          <a:off x="3667125" y="4410075"/>
          <a:ext cx="714375"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31</xdr:col>
      <xdr:colOff>0</xdr:colOff>
      <xdr:row>45</xdr:row>
      <xdr:rowOff>0</xdr:rowOff>
    </xdr:from>
    <xdr:to>
      <xdr:col>36</xdr:col>
      <xdr:colOff>0</xdr:colOff>
      <xdr:row>47</xdr:row>
      <xdr:rowOff>0</xdr:rowOff>
    </xdr:to>
    <xdr:sp macro="" textlink="">
      <xdr:nvSpPr>
        <xdr:cNvPr id="23" name="大かっこ 22">
          <a:extLst>
            <a:ext uri="{FF2B5EF4-FFF2-40B4-BE49-F238E27FC236}">
              <a16:creationId xmlns:a16="http://schemas.microsoft.com/office/drawing/2014/main" id="{7B5AE4A6-3B71-4982-AA31-E2BF11C77DFE}"/>
            </a:ext>
          </a:extLst>
        </xdr:cNvPr>
        <xdr:cNvSpPr/>
      </xdr:nvSpPr>
      <xdr:spPr>
        <a:xfrm>
          <a:off x="3667125" y="5200650"/>
          <a:ext cx="714375"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31</xdr:col>
      <xdr:colOff>0</xdr:colOff>
      <xdr:row>45</xdr:row>
      <xdr:rowOff>0</xdr:rowOff>
    </xdr:from>
    <xdr:to>
      <xdr:col>36</xdr:col>
      <xdr:colOff>0</xdr:colOff>
      <xdr:row>47</xdr:row>
      <xdr:rowOff>0</xdr:rowOff>
    </xdr:to>
    <xdr:sp macro="" textlink="">
      <xdr:nvSpPr>
        <xdr:cNvPr id="24" name="大かっこ 23">
          <a:extLst>
            <a:ext uri="{FF2B5EF4-FFF2-40B4-BE49-F238E27FC236}">
              <a16:creationId xmlns:a16="http://schemas.microsoft.com/office/drawing/2014/main" id="{398CEE7E-D2A4-404D-AF6E-77CC0923D9FF}"/>
            </a:ext>
          </a:extLst>
        </xdr:cNvPr>
        <xdr:cNvSpPr/>
      </xdr:nvSpPr>
      <xdr:spPr>
        <a:xfrm>
          <a:off x="3667125" y="5200650"/>
          <a:ext cx="714375"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0</xdr:colOff>
      <xdr:row>37</xdr:row>
      <xdr:rowOff>0</xdr:rowOff>
    </xdr:from>
    <xdr:to>
      <xdr:col>8</xdr:col>
      <xdr:colOff>0</xdr:colOff>
      <xdr:row>39</xdr:row>
      <xdr:rowOff>0</xdr:rowOff>
    </xdr:to>
    <xdr:sp macro="" textlink="">
      <xdr:nvSpPr>
        <xdr:cNvPr id="25" name="大かっこ 24">
          <a:extLst>
            <a:ext uri="{FF2B5EF4-FFF2-40B4-BE49-F238E27FC236}">
              <a16:creationId xmlns:a16="http://schemas.microsoft.com/office/drawing/2014/main" id="{DA0D8165-31AC-44FC-B230-2FE717110347}"/>
            </a:ext>
          </a:extLst>
        </xdr:cNvPr>
        <xdr:cNvSpPr/>
      </xdr:nvSpPr>
      <xdr:spPr>
        <a:xfrm>
          <a:off x="428625" y="3619500"/>
          <a:ext cx="714375"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0</xdr:colOff>
      <xdr:row>37</xdr:row>
      <xdr:rowOff>0</xdr:rowOff>
    </xdr:from>
    <xdr:to>
      <xdr:col>8</xdr:col>
      <xdr:colOff>0</xdr:colOff>
      <xdr:row>39</xdr:row>
      <xdr:rowOff>0</xdr:rowOff>
    </xdr:to>
    <xdr:sp macro="" textlink="">
      <xdr:nvSpPr>
        <xdr:cNvPr id="26" name="大かっこ 25">
          <a:extLst>
            <a:ext uri="{FF2B5EF4-FFF2-40B4-BE49-F238E27FC236}">
              <a16:creationId xmlns:a16="http://schemas.microsoft.com/office/drawing/2014/main" id="{8D945AA5-BDF1-4769-80D5-0341F6976E32}"/>
            </a:ext>
          </a:extLst>
        </xdr:cNvPr>
        <xdr:cNvSpPr/>
      </xdr:nvSpPr>
      <xdr:spPr>
        <a:xfrm>
          <a:off x="428625" y="3619500"/>
          <a:ext cx="714375"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en-US" altLang="ja-JP"/>
        </a:p>
        <a:p>
          <a:endParaRPr lang="ja-JP" altLang="en-US"/>
        </a:p>
      </xdr:txBody>
    </xdr:sp>
    <xdr:clientData/>
  </xdr:twoCellAnchor>
  <xdr:twoCellAnchor>
    <xdr:from>
      <xdr:col>10</xdr:col>
      <xdr:colOff>0</xdr:colOff>
      <xdr:row>41</xdr:row>
      <xdr:rowOff>0</xdr:rowOff>
    </xdr:from>
    <xdr:to>
      <xdr:col>15</xdr:col>
      <xdr:colOff>0</xdr:colOff>
      <xdr:row>43</xdr:row>
      <xdr:rowOff>0</xdr:rowOff>
    </xdr:to>
    <xdr:sp macro="" textlink="">
      <xdr:nvSpPr>
        <xdr:cNvPr id="27" name="大かっこ 26">
          <a:extLst>
            <a:ext uri="{FF2B5EF4-FFF2-40B4-BE49-F238E27FC236}">
              <a16:creationId xmlns:a16="http://schemas.microsoft.com/office/drawing/2014/main" id="{0367DC1E-FC8C-4F01-AEA1-C8E516C04CF4}"/>
            </a:ext>
          </a:extLst>
        </xdr:cNvPr>
        <xdr:cNvSpPr/>
      </xdr:nvSpPr>
      <xdr:spPr>
        <a:xfrm>
          <a:off x="1238250" y="4410075"/>
          <a:ext cx="714375"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10</xdr:col>
      <xdr:colOff>0</xdr:colOff>
      <xdr:row>41</xdr:row>
      <xdr:rowOff>0</xdr:rowOff>
    </xdr:from>
    <xdr:to>
      <xdr:col>15</xdr:col>
      <xdr:colOff>0</xdr:colOff>
      <xdr:row>43</xdr:row>
      <xdr:rowOff>0</xdr:rowOff>
    </xdr:to>
    <xdr:sp macro="" textlink="">
      <xdr:nvSpPr>
        <xdr:cNvPr id="28" name="大かっこ 27">
          <a:extLst>
            <a:ext uri="{FF2B5EF4-FFF2-40B4-BE49-F238E27FC236}">
              <a16:creationId xmlns:a16="http://schemas.microsoft.com/office/drawing/2014/main" id="{D2CEBF33-B77D-4FB1-A447-7E676C1834FA}"/>
            </a:ext>
          </a:extLst>
        </xdr:cNvPr>
        <xdr:cNvSpPr/>
      </xdr:nvSpPr>
      <xdr:spPr>
        <a:xfrm>
          <a:off x="1238250" y="4410075"/>
          <a:ext cx="714375"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en-US" altLang="ja-JP"/>
        </a:p>
        <a:p>
          <a:endParaRPr lang="ja-JP" altLang="en-US"/>
        </a:p>
      </xdr:txBody>
    </xdr:sp>
    <xdr:clientData/>
  </xdr:twoCellAnchor>
  <xdr:twoCellAnchor>
    <xdr:from>
      <xdr:col>17</xdr:col>
      <xdr:colOff>0</xdr:colOff>
      <xdr:row>45</xdr:row>
      <xdr:rowOff>0</xdr:rowOff>
    </xdr:from>
    <xdr:to>
      <xdr:col>22</xdr:col>
      <xdr:colOff>0</xdr:colOff>
      <xdr:row>47</xdr:row>
      <xdr:rowOff>0</xdr:rowOff>
    </xdr:to>
    <xdr:sp macro="" textlink="">
      <xdr:nvSpPr>
        <xdr:cNvPr id="29" name="大かっこ 28">
          <a:extLst>
            <a:ext uri="{FF2B5EF4-FFF2-40B4-BE49-F238E27FC236}">
              <a16:creationId xmlns:a16="http://schemas.microsoft.com/office/drawing/2014/main" id="{78E4CD14-1AFB-413C-AF7B-0FBDB7AA34CD}"/>
            </a:ext>
          </a:extLst>
        </xdr:cNvPr>
        <xdr:cNvSpPr/>
      </xdr:nvSpPr>
      <xdr:spPr>
        <a:xfrm>
          <a:off x="2047875" y="5200650"/>
          <a:ext cx="714375"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17</xdr:col>
      <xdr:colOff>0</xdr:colOff>
      <xdr:row>45</xdr:row>
      <xdr:rowOff>0</xdr:rowOff>
    </xdr:from>
    <xdr:to>
      <xdr:col>22</xdr:col>
      <xdr:colOff>0</xdr:colOff>
      <xdr:row>47</xdr:row>
      <xdr:rowOff>0</xdr:rowOff>
    </xdr:to>
    <xdr:sp macro="" textlink="">
      <xdr:nvSpPr>
        <xdr:cNvPr id="30" name="大かっこ 29">
          <a:extLst>
            <a:ext uri="{FF2B5EF4-FFF2-40B4-BE49-F238E27FC236}">
              <a16:creationId xmlns:a16="http://schemas.microsoft.com/office/drawing/2014/main" id="{085FEED5-C928-4474-8D12-96D8ABC41AA6}"/>
            </a:ext>
          </a:extLst>
        </xdr:cNvPr>
        <xdr:cNvSpPr/>
      </xdr:nvSpPr>
      <xdr:spPr>
        <a:xfrm>
          <a:off x="2047875" y="5200650"/>
          <a:ext cx="714375"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en-US" altLang="ja-JP"/>
        </a:p>
        <a:p>
          <a:endParaRPr lang="ja-JP" altLang="en-US"/>
        </a:p>
      </xdr:txBody>
    </xdr:sp>
    <xdr:clientData/>
  </xdr:twoCellAnchor>
  <xdr:twoCellAnchor>
    <xdr:from>
      <xdr:col>24</xdr:col>
      <xdr:colOff>0</xdr:colOff>
      <xdr:row>49</xdr:row>
      <xdr:rowOff>0</xdr:rowOff>
    </xdr:from>
    <xdr:to>
      <xdr:col>29</xdr:col>
      <xdr:colOff>0</xdr:colOff>
      <xdr:row>51</xdr:row>
      <xdr:rowOff>0</xdr:rowOff>
    </xdr:to>
    <xdr:sp macro="" textlink="">
      <xdr:nvSpPr>
        <xdr:cNvPr id="31" name="大かっこ 30">
          <a:extLst>
            <a:ext uri="{FF2B5EF4-FFF2-40B4-BE49-F238E27FC236}">
              <a16:creationId xmlns:a16="http://schemas.microsoft.com/office/drawing/2014/main" id="{5AFE1EB9-0DA1-44FC-9DF8-BE1EA1134523}"/>
            </a:ext>
          </a:extLst>
        </xdr:cNvPr>
        <xdr:cNvSpPr/>
      </xdr:nvSpPr>
      <xdr:spPr>
        <a:xfrm>
          <a:off x="2857500" y="5991225"/>
          <a:ext cx="714375"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24</xdr:col>
      <xdr:colOff>0</xdr:colOff>
      <xdr:row>49</xdr:row>
      <xdr:rowOff>0</xdr:rowOff>
    </xdr:from>
    <xdr:to>
      <xdr:col>29</xdr:col>
      <xdr:colOff>0</xdr:colOff>
      <xdr:row>51</xdr:row>
      <xdr:rowOff>0</xdr:rowOff>
    </xdr:to>
    <xdr:sp macro="" textlink="">
      <xdr:nvSpPr>
        <xdr:cNvPr id="32" name="大かっこ 31">
          <a:extLst>
            <a:ext uri="{FF2B5EF4-FFF2-40B4-BE49-F238E27FC236}">
              <a16:creationId xmlns:a16="http://schemas.microsoft.com/office/drawing/2014/main" id="{DCEEFB4D-2D8E-4AA0-9CC9-E2A3170DDB7E}"/>
            </a:ext>
          </a:extLst>
        </xdr:cNvPr>
        <xdr:cNvSpPr/>
      </xdr:nvSpPr>
      <xdr:spPr>
        <a:xfrm>
          <a:off x="2857500" y="5991225"/>
          <a:ext cx="714375"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en-US" altLang="ja-JP"/>
        </a:p>
        <a:p>
          <a:endParaRPr lang="ja-JP" altLang="en-US"/>
        </a:p>
      </xdr:txBody>
    </xdr:sp>
    <xdr:clientData/>
  </xdr:twoCellAnchor>
  <xdr:twoCellAnchor>
    <xdr:from>
      <xdr:col>3</xdr:col>
      <xdr:colOff>0</xdr:colOff>
      <xdr:row>41</xdr:row>
      <xdr:rowOff>0</xdr:rowOff>
    </xdr:from>
    <xdr:to>
      <xdr:col>8</xdr:col>
      <xdr:colOff>0</xdr:colOff>
      <xdr:row>43</xdr:row>
      <xdr:rowOff>0</xdr:rowOff>
    </xdr:to>
    <xdr:sp macro="" textlink="">
      <xdr:nvSpPr>
        <xdr:cNvPr id="33" name="大かっこ 32">
          <a:extLst>
            <a:ext uri="{FF2B5EF4-FFF2-40B4-BE49-F238E27FC236}">
              <a16:creationId xmlns:a16="http://schemas.microsoft.com/office/drawing/2014/main" id="{8977CD99-61C0-4E1F-AA8A-8A561990703B}"/>
            </a:ext>
          </a:extLst>
        </xdr:cNvPr>
        <xdr:cNvSpPr/>
      </xdr:nvSpPr>
      <xdr:spPr>
        <a:xfrm>
          <a:off x="428625" y="4410075"/>
          <a:ext cx="714375"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0</xdr:colOff>
      <xdr:row>41</xdr:row>
      <xdr:rowOff>0</xdr:rowOff>
    </xdr:from>
    <xdr:to>
      <xdr:col>8</xdr:col>
      <xdr:colOff>0</xdr:colOff>
      <xdr:row>43</xdr:row>
      <xdr:rowOff>0</xdr:rowOff>
    </xdr:to>
    <xdr:sp macro="" textlink="">
      <xdr:nvSpPr>
        <xdr:cNvPr id="34" name="大かっこ 33">
          <a:extLst>
            <a:ext uri="{FF2B5EF4-FFF2-40B4-BE49-F238E27FC236}">
              <a16:creationId xmlns:a16="http://schemas.microsoft.com/office/drawing/2014/main" id="{FD83FA57-64E3-4627-AB3F-912C3695BB37}"/>
            </a:ext>
          </a:extLst>
        </xdr:cNvPr>
        <xdr:cNvSpPr/>
      </xdr:nvSpPr>
      <xdr:spPr>
        <a:xfrm>
          <a:off x="428625" y="4410075"/>
          <a:ext cx="714375"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10</xdr:col>
      <xdr:colOff>0</xdr:colOff>
      <xdr:row>45</xdr:row>
      <xdr:rowOff>0</xdr:rowOff>
    </xdr:from>
    <xdr:to>
      <xdr:col>15</xdr:col>
      <xdr:colOff>0</xdr:colOff>
      <xdr:row>47</xdr:row>
      <xdr:rowOff>0</xdr:rowOff>
    </xdr:to>
    <xdr:sp macro="" textlink="">
      <xdr:nvSpPr>
        <xdr:cNvPr id="35" name="大かっこ 34">
          <a:extLst>
            <a:ext uri="{FF2B5EF4-FFF2-40B4-BE49-F238E27FC236}">
              <a16:creationId xmlns:a16="http://schemas.microsoft.com/office/drawing/2014/main" id="{5DE5810A-2DE8-48A7-ACAB-84AD3E7A172C}"/>
            </a:ext>
          </a:extLst>
        </xdr:cNvPr>
        <xdr:cNvSpPr/>
      </xdr:nvSpPr>
      <xdr:spPr>
        <a:xfrm>
          <a:off x="1238250" y="5200650"/>
          <a:ext cx="714375"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10</xdr:col>
      <xdr:colOff>0</xdr:colOff>
      <xdr:row>45</xdr:row>
      <xdr:rowOff>0</xdr:rowOff>
    </xdr:from>
    <xdr:to>
      <xdr:col>15</xdr:col>
      <xdr:colOff>0</xdr:colOff>
      <xdr:row>47</xdr:row>
      <xdr:rowOff>0</xdr:rowOff>
    </xdr:to>
    <xdr:sp macro="" textlink="">
      <xdr:nvSpPr>
        <xdr:cNvPr id="36" name="大かっこ 35">
          <a:extLst>
            <a:ext uri="{FF2B5EF4-FFF2-40B4-BE49-F238E27FC236}">
              <a16:creationId xmlns:a16="http://schemas.microsoft.com/office/drawing/2014/main" id="{DDB8C6EC-8CFB-4668-A048-7C4194B7DF01}"/>
            </a:ext>
          </a:extLst>
        </xdr:cNvPr>
        <xdr:cNvSpPr/>
      </xdr:nvSpPr>
      <xdr:spPr>
        <a:xfrm>
          <a:off x="1238250" y="5200650"/>
          <a:ext cx="714375"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17</xdr:col>
      <xdr:colOff>0</xdr:colOff>
      <xdr:row>49</xdr:row>
      <xdr:rowOff>0</xdr:rowOff>
    </xdr:from>
    <xdr:to>
      <xdr:col>22</xdr:col>
      <xdr:colOff>0</xdr:colOff>
      <xdr:row>51</xdr:row>
      <xdr:rowOff>0</xdr:rowOff>
    </xdr:to>
    <xdr:sp macro="" textlink="">
      <xdr:nvSpPr>
        <xdr:cNvPr id="37" name="大かっこ 36">
          <a:extLst>
            <a:ext uri="{FF2B5EF4-FFF2-40B4-BE49-F238E27FC236}">
              <a16:creationId xmlns:a16="http://schemas.microsoft.com/office/drawing/2014/main" id="{D3A7E1F7-47D0-4D2D-A85E-A707AB48E6AB}"/>
            </a:ext>
          </a:extLst>
        </xdr:cNvPr>
        <xdr:cNvSpPr/>
      </xdr:nvSpPr>
      <xdr:spPr>
        <a:xfrm>
          <a:off x="2047875" y="5991225"/>
          <a:ext cx="714375"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17</xdr:col>
      <xdr:colOff>0</xdr:colOff>
      <xdr:row>49</xdr:row>
      <xdr:rowOff>0</xdr:rowOff>
    </xdr:from>
    <xdr:to>
      <xdr:col>22</xdr:col>
      <xdr:colOff>0</xdr:colOff>
      <xdr:row>51</xdr:row>
      <xdr:rowOff>0</xdr:rowOff>
    </xdr:to>
    <xdr:sp macro="" textlink="">
      <xdr:nvSpPr>
        <xdr:cNvPr id="38" name="大かっこ 37">
          <a:extLst>
            <a:ext uri="{FF2B5EF4-FFF2-40B4-BE49-F238E27FC236}">
              <a16:creationId xmlns:a16="http://schemas.microsoft.com/office/drawing/2014/main" id="{F9E30FC3-E8EB-4BA9-AC24-A03E51CADB4D}"/>
            </a:ext>
          </a:extLst>
        </xdr:cNvPr>
        <xdr:cNvSpPr/>
      </xdr:nvSpPr>
      <xdr:spPr>
        <a:xfrm>
          <a:off x="2047875" y="5991225"/>
          <a:ext cx="714375"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0</xdr:colOff>
      <xdr:row>45</xdr:row>
      <xdr:rowOff>0</xdr:rowOff>
    </xdr:from>
    <xdr:to>
      <xdr:col>8</xdr:col>
      <xdr:colOff>0</xdr:colOff>
      <xdr:row>47</xdr:row>
      <xdr:rowOff>0</xdr:rowOff>
    </xdr:to>
    <xdr:sp macro="" textlink="">
      <xdr:nvSpPr>
        <xdr:cNvPr id="39" name="大かっこ 38">
          <a:extLst>
            <a:ext uri="{FF2B5EF4-FFF2-40B4-BE49-F238E27FC236}">
              <a16:creationId xmlns:a16="http://schemas.microsoft.com/office/drawing/2014/main" id="{8191686D-E232-4A67-9A98-2841904155A9}"/>
            </a:ext>
          </a:extLst>
        </xdr:cNvPr>
        <xdr:cNvSpPr/>
      </xdr:nvSpPr>
      <xdr:spPr>
        <a:xfrm>
          <a:off x="428625" y="5200650"/>
          <a:ext cx="714375"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0</xdr:colOff>
      <xdr:row>45</xdr:row>
      <xdr:rowOff>0</xdr:rowOff>
    </xdr:from>
    <xdr:to>
      <xdr:col>8</xdr:col>
      <xdr:colOff>0</xdr:colOff>
      <xdr:row>47</xdr:row>
      <xdr:rowOff>0</xdr:rowOff>
    </xdr:to>
    <xdr:sp macro="" textlink="">
      <xdr:nvSpPr>
        <xdr:cNvPr id="40" name="大かっこ 39">
          <a:extLst>
            <a:ext uri="{FF2B5EF4-FFF2-40B4-BE49-F238E27FC236}">
              <a16:creationId xmlns:a16="http://schemas.microsoft.com/office/drawing/2014/main" id="{87BB8B26-B59C-428D-874B-63387DFC4BFA}"/>
            </a:ext>
          </a:extLst>
        </xdr:cNvPr>
        <xdr:cNvSpPr/>
      </xdr:nvSpPr>
      <xdr:spPr>
        <a:xfrm>
          <a:off x="428625" y="5200650"/>
          <a:ext cx="714375"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10</xdr:col>
      <xdr:colOff>0</xdr:colOff>
      <xdr:row>49</xdr:row>
      <xdr:rowOff>0</xdr:rowOff>
    </xdr:from>
    <xdr:to>
      <xdr:col>15</xdr:col>
      <xdr:colOff>0</xdr:colOff>
      <xdr:row>51</xdr:row>
      <xdr:rowOff>0</xdr:rowOff>
    </xdr:to>
    <xdr:sp macro="" textlink="">
      <xdr:nvSpPr>
        <xdr:cNvPr id="41" name="大かっこ 40">
          <a:extLst>
            <a:ext uri="{FF2B5EF4-FFF2-40B4-BE49-F238E27FC236}">
              <a16:creationId xmlns:a16="http://schemas.microsoft.com/office/drawing/2014/main" id="{3062BD70-0C86-471A-ABC0-E759538AA22C}"/>
            </a:ext>
          </a:extLst>
        </xdr:cNvPr>
        <xdr:cNvSpPr/>
      </xdr:nvSpPr>
      <xdr:spPr>
        <a:xfrm>
          <a:off x="1238250" y="5991225"/>
          <a:ext cx="714375"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10</xdr:col>
      <xdr:colOff>0</xdr:colOff>
      <xdr:row>49</xdr:row>
      <xdr:rowOff>0</xdr:rowOff>
    </xdr:from>
    <xdr:to>
      <xdr:col>15</xdr:col>
      <xdr:colOff>0</xdr:colOff>
      <xdr:row>51</xdr:row>
      <xdr:rowOff>0</xdr:rowOff>
    </xdr:to>
    <xdr:sp macro="" textlink="">
      <xdr:nvSpPr>
        <xdr:cNvPr id="42" name="大かっこ 41">
          <a:extLst>
            <a:ext uri="{FF2B5EF4-FFF2-40B4-BE49-F238E27FC236}">
              <a16:creationId xmlns:a16="http://schemas.microsoft.com/office/drawing/2014/main" id="{88A96AD9-FE75-4898-8265-446A92C3C73A}"/>
            </a:ext>
          </a:extLst>
        </xdr:cNvPr>
        <xdr:cNvSpPr/>
      </xdr:nvSpPr>
      <xdr:spPr>
        <a:xfrm>
          <a:off x="1238250" y="5991225"/>
          <a:ext cx="714375"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0</xdr:colOff>
      <xdr:row>49</xdr:row>
      <xdr:rowOff>0</xdr:rowOff>
    </xdr:from>
    <xdr:to>
      <xdr:col>8</xdr:col>
      <xdr:colOff>0</xdr:colOff>
      <xdr:row>51</xdr:row>
      <xdr:rowOff>0</xdr:rowOff>
    </xdr:to>
    <xdr:sp macro="" textlink="">
      <xdr:nvSpPr>
        <xdr:cNvPr id="43" name="大かっこ 42">
          <a:extLst>
            <a:ext uri="{FF2B5EF4-FFF2-40B4-BE49-F238E27FC236}">
              <a16:creationId xmlns:a16="http://schemas.microsoft.com/office/drawing/2014/main" id="{7EFD4C14-3AF6-422A-95E8-05C5D03A0E11}"/>
            </a:ext>
          </a:extLst>
        </xdr:cNvPr>
        <xdr:cNvSpPr/>
      </xdr:nvSpPr>
      <xdr:spPr>
        <a:xfrm>
          <a:off x="428625" y="5991225"/>
          <a:ext cx="714375"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0</xdr:colOff>
      <xdr:row>49</xdr:row>
      <xdr:rowOff>0</xdr:rowOff>
    </xdr:from>
    <xdr:to>
      <xdr:col>8</xdr:col>
      <xdr:colOff>0</xdr:colOff>
      <xdr:row>51</xdr:row>
      <xdr:rowOff>0</xdr:rowOff>
    </xdr:to>
    <xdr:sp macro="" textlink="">
      <xdr:nvSpPr>
        <xdr:cNvPr id="44" name="大かっこ 43">
          <a:extLst>
            <a:ext uri="{FF2B5EF4-FFF2-40B4-BE49-F238E27FC236}">
              <a16:creationId xmlns:a16="http://schemas.microsoft.com/office/drawing/2014/main" id="{372B4F66-11E8-4498-A08D-A8088B488F5E}"/>
            </a:ext>
          </a:extLst>
        </xdr:cNvPr>
        <xdr:cNvSpPr/>
      </xdr:nvSpPr>
      <xdr:spPr>
        <a:xfrm>
          <a:off x="428625" y="5991225"/>
          <a:ext cx="714375"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10</xdr:col>
      <xdr:colOff>0</xdr:colOff>
      <xdr:row>49</xdr:row>
      <xdr:rowOff>0</xdr:rowOff>
    </xdr:from>
    <xdr:to>
      <xdr:col>15</xdr:col>
      <xdr:colOff>0</xdr:colOff>
      <xdr:row>51</xdr:row>
      <xdr:rowOff>0</xdr:rowOff>
    </xdr:to>
    <xdr:sp macro="" textlink="">
      <xdr:nvSpPr>
        <xdr:cNvPr id="45" name="大かっこ 44">
          <a:extLst>
            <a:ext uri="{FF2B5EF4-FFF2-40B4-BE49-F238E27FC236}">
              <a16:creationId xmlns:a16="http://schemas.microsoft.com/office/drawing/2014/main" id="{AD0716B8-3850-420A-95C7-59C974A2FD40}"/>
            </a:ext>
          </a:extLst>
        </xdr:cNvPr>
        <xdr:cNvSpPr/>
      </xdr:nvSpPr>
      <xdr:spPr>
        <a:xfrm>
          <a:off x="1238250" y="5991225"/>
          <a:ext cx="714375"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10</xdr:col>
      <xdr:colOff>0</xdr:colOff>
      <xdr:row>49</xdr:row>
      <xdr:rowOff>0</xdr:rowOff>
    </xdr:from>
    <xdr:to>
      <xdr:col>15</xdr:col>
      <xdr:colOff>0</xdr:colOff>
      <xdr:row>51</xdr:row>
      <xdr:rowOff>0</xdr:rowOff>
    </xdr:to>
    <xdr:sp macro="" textlink="">
      <xdr:nvSpPr>
        <xdr:cNvPr id="46" name="大かっこ 45">
          <a:extLst>
            <a:ext uri="{FF2B5EF4-FFF2-40B4-BE49-F238E27FC236}">
              <a16:creationId xmlns:a16="http://schemas.microsoft.com/office/drawing/2014/main" id="{AB8D7DFD-9B0C-46BE-A853-E48760602DA9}"/>
            </a:ext>
          </a:extLst>
        </xdr:cNvPr>
        <xdr:cNvSpPr/>
      </xdr:nvSpPr>
      <xdr:spPr>
        <a:xfrm>
          <a:off x="1238250" y="5991225"/>
          <a:ext cx="714375"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25950</xdr:colOff>
      <xdr:row>57</xdr:row>
      <xdr:rowOff>12700</xdr:rowOff>
    </xdr:from>
    <xdr:to>
      <xdr:col>14</xdr:col>
      <xdr:colOff>50800</xdr:colOff>
      <xdr:row>59</xdr:row>
      <xdr:rowOff>0</xdr:rowOff>
    </xdr:to>
    <xdr:sp macro="" textlink="">
      <xdr:nvSpPr>
        <xdr:cNvPr id="2" name="大かっこ 1">
          <a:extLst>
            <a:ext uri="{FF2B5EF4-FFF2-40B4-BE49-F238E27FC236}">
              <a16:creationId xmlns:a16="http://schemas.microsoft.com/office/drawing/2014/main" id="{4B8ACEC9-30B4-4050-BF47-878D8198FE97}"/>
            </a:ext>
          </a:extLst>
        </xdr:cNvPr>
        <xdr:cNvSpPr/>
      </xdr:nvSpPr>
      <xdr:spPr>
        <a:xfrm>
          <a:off x="1359450" y="8670925"/>
          <a:ext cx="405850" cy="3302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128</xdr:col>
      <xdr:colOff>0</xdr:colOff>
      <xdr:row>47</xdr:row>
      <xdr:rowOff>0</xdr:rowOff>
    </xdr:from>
    <xdr:to>
      <xdr:col>134</xdr:col>
      <xdr:colOff>0</xdr:colOff>
      <xdr:row>49</xdr:row>
      <xdr:rowOff>1</xdr:rowOff>
    </xdr:to>
    <xdr:sp macro="" textlink="">
      <xdr:nvSpPr>
        <xdr:cNvPr id="3" name="大かっこ 2">
          <a:extLst>
            <a:ext uri="{FF2B5EF4-FFF2-40B4-BE49-F238E27FC236}">
              <a16:creationId xmlns:a16="http://schemas.microsoft.com/office/drawing/2014/main" id="{96617BE7-A133-4A96-AA2B-2C2D4A1E8334}"/>
            </a:ext>
          </a:extLst>
        </xdr:cNvPr>
        <xdr:cNvSpPr/>
      </xdr:nvSpPr>
      <xdr:spPr>
        <a:xfrm>
          <a:off x="10401300" y="7239000"/>
          <a:ext cx="457200" cy="3429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98</xdr:col>
      <xdr:colOff>0</xdr:colOff>
      <xdr:row>47</xdr:row>
      <xdr:rowOff>0</xdr:rowOff>
    </xdr:from>
    <xdr:to>
      <xdr:col>104</xdr:col>
      <xdr:colOff>0</xdr:colOff>
      <xdr:row>49</xdr:row>
      <xdr:rowOff>1</xdr:rowOff>
    </xdr:to>
    <xdr:sp macro="" textlink="">
      <xdr:nvSpPr>
        <xdr:cNvPr id="4" name="大かっこ 3">
          <a:extLst>
            <a:ext uri="{FF2B5EF4-FFF2-40B4-BE49-F238E27FC236}">
              <a16:creationId xmlns:a16="http://schemas.microsoft.com/office/drawing/2014/main" id="{445E2598-8518-4EA0-8A5A-5877E4B7ED23}"/>
            </a:ext>
          </a:extLst>
        </xdr:cNvPr>
        <xdr:cNvSpPr/>
      </xdr:nvSpPr>
      <xdr:spPr>
        <a:xfrm>
          <a:off x="8115300" y="7239000"/>
          <a:ext cx="457200" cy="3429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75</xdr:col>
      <xdr:colOff>38101</xdr:colOff>
      <xdr:row>47</xdr:row>
      <xdr:rowOff>0</xdr:rowOff>
    </xdr:from>
    <xdr:to>
      <xdr:col>82</xdr:col>
      <xdr:colOff>1</xdr:colOff>
      <xdr:row>49</xdr:row>
      <xdr:rowOff>1</xdr:rowOff>
    </xdr:to>
    <xdr:sp macro="" textlink="">
      <xdr:nvSpPr>
        <xdr:cNvPr id="5" name="大かっこ 4">
          <a:extLst>
            <a:ext uri="{FF2B5EF4-FFF2-40B4-BE49-F238E27FC236}">
              <a16:creationId xmlns:a16="http://schemas.microsoft.com/office/drawing/2014/main" id="{9290FF3D-F77B-46B7-8352-D675659DB574}"/>
            </a:ext>
          </a:extLst>
        </xdr:cNvPr>
        <xdr:cNvSpPr/>
      </xdr:nvSpPr>
      <xdr:spPr>
        <a:xfrm>
          <a:off x="6400801" y="7239000"/>
          <a:ext cx="495300" cy="3429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62</xdr:col>
      <xdr:colOff>0</xdr:colOff>
      <xdr:row>47</xdr:row>
      <xdr:rowOff>0</xdr:rowOff>
    </xdr:from>
    <xdr:to>
      <xdr:col>68</xdr:col>
      <xdr:colOff>0</xdr:colOff>
      <xdr:row>49</xdr:row>
      <xdr:rowOff>1</xdr:rowOff>
    </xdr:to>
    <xdr:sp macro="" textlink="">
      <xdr:nvSpPr>
        <xdr:cNvPr id="6" name="大かっこ 5">
          <a:extLst>
            <a:ext uri="{FF2B5EF4-FFF2-40B4-BE49-F238E27FC236}">
              <a16:creationId xmlns:a16="http://schemas.microsoft.com/office/drawing/2014/main" id="{4DB43605-A6B2-42BA-BDA2-C769036315F4}"/>
            </a:ext>
          </a:extLst>
        </xdr:cNvPr>
        <xdr:cNvSpPr/>
      </xdr:nvSpPr>
      <xdr:spPr>
        <a:xfrm>
          <a:off x="5372100" y="7239000"/>
          <a:ext cx="457200" cy="3429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40</xdr:col>
      <xdr:colOff>0</xdr:colOff>
      <xdr:row>47</xdr:row>
      <xdr:rowOff>0</xdr:rowOff>
    </xdr:from>
    <xdr:to>
      <xdr:col>46</xdr:col>
      <xdr:colOff>0</xdr:colOff>
      <xdr:row>49</xdr:row>
      <xdr:rowOff>1</xdr:rowOff>
    </xdr:to>
    <xdr:sp macro="" textlink="">
      <xdr:nvSpPr>
        <xdr:cNvPr id="7" name="大かっこ 6">
          <a:extLst>
            <a:ext uri="{FF2B5EF4-FFF2-40B4-BE49-F238E27FC236}">
              <a16:creationId xmlns:a16="http://schemas.microsoft.com/office/drawing/2014/main" id="{DC06C688-523D-4E17-B3F1-DCD667DFBBEA}"/>
            </a:ext>
          </a:extLst>
        </xdr:cNvPr>
        <xdr:cNvSpPr/>
      </xdr:nvSpPr>
      <xdr:spPr>
        <a:xfrm>
          <a:off x="3695700" y="7239000"/>
          <a:ext cx="457200" cy="3429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34637</xdr:colOff>
      <xdr:row>47</xdr:row>
      <xdr:rowOff>0</xdr:rowOff>
    </xdr:from>
    <xdr:to>
      <xdr:col>10</xdr:col>
      <xdr:colOff>1</xdr:colOff>
      <xdr:row>49</xdr:row>
      <xdr:rowOff>1</xdr:rowOff>
    </xdr:to>
    <xdr:sp macro="" textlink="">
      <xdr:nvSpPr>
        <xdr:cNvPr id="8" name="大かっこ 7">
          <a:extLst>
            <a:ext uri="{FF2B5EF4-FFF2-40B4-BE49-F238E27FC236}">
              <a16:creationId xmlns:a16="http://schemas.microsoft.com/office/drawing/2014/main" id="{4A078E30-46C8-4B74-AE63-BDEF66F08CE2}"/>
            </a:ext>
          </a:extLst>
        </xdr:cNvPr>
        <xdr:cNvSpPr/>
      </xdr:nvSpPr>
      <xdr:spPr>
        <a:xfrm>
          <a:off x="910937" y="7239000"/>
          <a:ext cx="498764" cy="3429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50</xdr:col>
      <xdr:colOff>74543</xdr:colOff>
      <xdr:row>37</xdr:row>
      <xdr:rowOff>0</xdr:rowOff>
    </xdr:from>
    <xdr:to>
      <xdr:col>57</xdr:col>
      <xdr:colOff>0</xdr:colOff>
      <xdr:row>39</xdr:row>
      <xdr:rowOff>1</xdr:rowOff>
    </xdr:to>
    <xdr:sp macro="" textlink="">
      <xdr:nvSpPr>
        <xdr:cNvPr id="9" name="大かっこ 8">
          <a:extLst>
            <a:ext uri="{FF2B5EF4-FFF2-40B4-BE49-F238E27FC236}">
              <a16:creationId xmlns:a16="http://schemas.microsoft.com/office/drawing/2014/main" id="{0B4E627E-B44E-4F03-881C-D90219AB0A70}"/>
            </a:ext>
          </a:extLst>
        </xdr:cNvPr>
        <xdr:cNvSpPr/>
      </xdr:nvSpPr>
      <xdr:spPr>
        <a:xfrm>
          <a:off x="4532243" y="5819775"/>
          <a:ext cx="458857" cy="3429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87</xdr:col>
      <xdr:colOff>0</xdr:colOff>
      <xdr:row>37</xdr:row>
      <xdr:rowOff>0</xdr:rowOff>
    </xdr:from>
    <xdr:to>
      <xdr:col>93</xdr:col>
      <xdr:colOff>0</xdr:colOff>
      <xdr:row>39</xdr:row>
      <xdr:rowOff>1</xdr:rowOff>
    </xdr:to>
    <xdr:sp macro="" textlink="">
      <xdr:nvSpPr>
        <xdr:cNvPr id="10" name="大かっこ 9">
          <a:extLst>
            <a:ext uri="{FF2B5EF4-FFF2-40B4-BE49-F238E27FC236}">
              <a16:creationId xmlns:a16="http://schemas.microsoft.com/office/drawing/2014/main" id="{DA670B85-D4C3-40E1-BEA9-2A4B3805B0C8}"/>
            </a:ext>
          </a:extLst>
        </xdr:cNvPr>
        <xdr:cNvSpPr/>
      </xdr:nvSpPr>
      <xdr:spPr>
        <a:xfrm>
          <a:off x="7277100" y="5819775"/>
          <a:ext cx="457200" cy="3429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69</xdr:col>
      <xdr:colOff>0</xdr:colOff>
      <xdr:row>15</xdr:row>
      <xdr:rowOff>0</xdr:rowOff>
    </xdr:from>
    <xdr:to>
      <xdr:col>75</xdr:col>
      <xdr:colOff>0</xdr:colOff>
      <xdr:row>17</xdr:row>
      <xdr:rowOff>1</xdr:rowOff>
    </xdr:to>
    <xdr:sp macro="" textlink="">
      <xdr:nvSpPr>
        <xdr:cNvPr id="11" name="大かっこ 10">
          <a:extLst>
            <a:ext uri="{FF2B5EF4-FFF2-40B4-BE49-F238E27FC236}">
              <a16:creationId xmlns:a16="http://schemas.microsoft.com/office/drawing/2014/main" id="{51A81F86-1D5A-4601-BA5F-C597F0DB6DCC}"/>
            </a:ext>
          </a:extLst>
        </xdr:cNvPr>
        <xdr:cNvSpPr/>
      </xdr:nvSpPr>
      <xdr:spPr>
        <a:xfrm>
          <a:off x="5905500" y="2638425"/>
          <a:ext cx="457200" cy="3429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45</xdr:col>
      <xdr:colOff>25950</xdr:colOff>
      <xdr:row>57</xdr:row>
      <xdr:rowOff>12700</xdr:rowOff>
    </xdr:from>
    <xdr:to>
      <xdr:col>50</xdr:col>
      <xdr:colOff>50800</xdr:colOff>
      <xdr:row>59</xdr:row>
      <xdr:rowOff>12700</xdr:rowOff>
    </xdr:to>
    <xdr:sp macro="" textlink="">
      <xdr:nvSpPr>
        <xdr:cNvPr id="12" name="大かっこ 11">
          <a:extLst>
            <a:ext uri="{FF2B5EF4-FFF2-40B4-BE49-F238E27FC236}">
              <a16:creationId xmlns:a16="http://schemas.microsoft.com/office/drawing/2014/main" id="{CC254370-BE2A-49BC-94D6-7C772BD22D8F}"/>
            </a:ext>
          </a:extLst>
        </xdr:cNvPr>
        <xdr:cNvSpPr/>
      </xdr:nvSpPr>
      <xdr:spPr>
        <a:xfrm>
          <a:off x="4102650" y="8670925"/>
          <a:ext cx="405850" cy="342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57</xdr:col>
      <xdr:colOff>25950</xdr:colOff>
      <xdr:row>57</xdr:row>
      <xdr:rowOff>12700</xdr:rowOff>
    </xdr:from>
    <xdr:to>
      <xdr:col>62</xdr:col>
      <xdr:colOff>50800</xdr:colOff>
      <xdr:row>59</xdr:row>
      <xdr:rowOff>12700</xdr:rowOff>
    </xdr:to>
    <xdr:sp macro="" textlink="">
      <xdr:nvSpPr>
        <xdr:cNvPr id="13" name="大かっこ 12">
          <a:extLst>
            <a:ext uri="{FF2B5EF4-FFF2-40B4-BE49-F238E27FC236}">
              <a16:creationId xmlns:a16="http://schemas.microsoft.com/office/drawing/2014/main" id="{E99DAFA8-EF09-47DE-B7F7-DBF6FC1A33A9}"/>
            </a:ext>
          </a:extLst>
        </xdr:cNvPr>
        <xdr:cNvSpPr/>
      </xdr:nvSpPr>
      <xdr:spPr>
        <a:xfrm>
          <a:off x="5017050" y="8670925"/>
          <a:ext cx="405850" cy="342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81</xdr:col>
      <xdr:colOff>25950</xdr:colOff>
      <xdr:row>57</xdr:row>
      <xdr:rowOff>12700</xdr:rowOff>
    </xdr:from>
    <xdr:to>
      <xdr:col>86</xdr:col>
      <xdr:colOff>50800</xdr:colOff>
      <xdr:row>59</xdr:row>
      <xdr:rowOff>12700</xdr:rowOff>
    </xdr:to>
    <xdr:sp macro="" textlink="">
      <xdr:nvSpPr>
        <xdr:cNvPr id="14" name="大かっこ 13">
          <a:extLst>
            <a:ext uri="{FF2B5EF4-FFF2-40B4-BE49-F238E27FC236}">
              <a16:creationId xmlns:a16="http://schemas.microsoft.com/office/drawing/2014/main" id="{17B81C18-6E83-4E4C-9308-E91CB515F9BB}"/>
            </a:ext>
          </a:extLst>
        </xdr:cNvPr>
        <xdr:cNvSpPr/>
      </xdr:nvSpPr>
      <xdr:spPr>
        <a:xfrm>
          <a:off x="6845850" y="8670925"/>
          <a:ext cx="405850" cy="342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93</xdr:col>
      <xdr:colOff>25950</xdr:colOff>
      <xdr:row>57</xdr:row>
      <xdr:rowOff>12700</xdr:rowOff>
    </xdr:from>
    <xdr:to>
      <xdr:col>98</xdr:col>
      <xdr:colOff>50800</xdr:colOff>
      <xdr:row>59</xdr:row>
      <xdr:rowOff>12700</xdr:rowOff>
    </xdr:to>
    <xdr:sp macro="" textlink="">
      <xdr:nvSpPr>
        <xdr:cNvPr id="15" name="大かっこ 14">
          <a:extLst>
            <a:ext uri="{FF2B5EF4-FFF2-40B4-BE49-F238E27FC236}">
              <a16:creationId xmlns:a16="http://schemas.microsoft.com/office/drawing/2014/main" id="{BF61FAF2-8498-4065-AE14-3A9890854E05}"/>
            </a:ext>
          </a:extLst>
        </xdr:cNvPr>
        <xdr:cNvSpPr/>
      </xdr:nvSpPr>
      <xdr:spPr>
        <a:xfrm>
          <a:off x="7760250" y="8670925"/>
          <a:ext cx="405850" cy="342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123</xdr:col>
      <xdr:colOff>25950</xdr:colOff>
      <xdr:row>57</xdr:row>
      <xdr:rowOff>12700</xdr:rowOff>
    </xdr:from>
    <xdr:to>
      <xdr:col>128</xdr:col>
      <xdr:colOff>50800</xdr:colOff>
      <xdr:row>59</xdr:row>
      <xdr:rowOff>12700</xdr:rowOff>
    </xdr:to>
    <xdr:sp macro="" textlink="">
      <xdr:nvSpPr>
        <xdr:cNvPr id="16" name="大かっこ 15">
          <a:extLst>
            <a:ext uri="{FF2B5EF4-FFF2-40B4-BE49-F238E27FC236}">
              <a16:creationId xmlns:a16="http://schemas.microsoft.com/office/drawing/2014/main" id="{72F7C9C6-1967-48A7-A3E8-61F4BE0EEAC1}"/>
            </a:ext>
          </a:extLst>
        </xdr:cNvPr>
        <xdr:cNvSpPr/>
      </xdr:nvSpPr>
      <xdr:spPr>
        <a:xfrm>
          <a:off x="10046250" y="8670925"/>
          <a:ext cx="405850" cy="342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111</xdr:col>
      <xdr:colOff>25950</xdr:colOff>
      <xdr:row>47</xdr:row>
      <xdr:rowOff>12700</xdr:rowOff>
    </xdr:from>
    <xdr:to>
      <xdr:col>116</xdr:col>
      <xdr:colOff>50800</xdr:colOff>
      <xdr:row>49</xdr:row>
      <xdr:rowOff>12700</xdr:rowOff>
    </xdr:to>
    <xdr:sp macro="" textlink="">
      <xdr:nvSpPr>
        <xdr:cNvPr id="17" name="大かっこ 16">
          <a:extLst>
            <a:ext uri="{FF2B5EF4-FFF2-40B4-BE49-F238E27FC236}">
              <a16:creationId xmlns:a16="http://schemas.microsoft.com/office/drawing/2014/main" id="{169E09E0-B296-4E81-ACA2-AD8DB17BFEF1}"/>
            </a:ext>
          </a:extLst>
        </xdr:cNvPr>
        <xdr:cNvSpPr/>
      </xdr:nvSpPr>
      <xdr:spPr>
        <a:xfrm>
          <a:off x="9131850" y="7251700"/>
          <a:ext cx="405850" cy="342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120</xdr:col>
      <xdr:colOff>0</xdr:colOff>
      <xdr:row>37</xdr:row>
      <xdr:rowOff>0</xdr:rowOff>
    </xdr:from>
    <xdr:to>
      <xdr:col>126</xdr:col>
      <xdr:colOff>0</xdr:colOff>
      <xdr:row>39</xdr:row>
      <xdr:rowOff>1</xdr:rowOff>
    </xdr:to>
    <xdr:sp macro="" textlink="">
      <xdr:nvSpPr>
        <xdr:cNvPr id="18" name="大かっこ 17">
          <a:extLst>
            <a:ext uri="{FF2B5EF4-FFF2-40B4-BE49-F238E27FC236}">
              <a16:creationId xmlns:a16="http://schemas.microsoft.com/office/drawing/2014/main" id="{EE909979-07FC-4206-B461-D55C1ECDAE9D}"/>
            </a:ext>
          </a:extLst>
        </xdr:cNvPr>
        <xdr:cNvSpPr/>
      </xdr:nvSpPr>
      <xdr:spPr>
        <a:xfrm>
          <a:off x="9791700" y="5819775"/>
          <a:ext cx="457200" cy="3429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32</xdr:col>
      <xdr:colOff>74543</xdr:colOff>
      <xdr:row>27</xdr:row>
      <xdr:rowOff>0</xdr:rowOff>
    </xdr:from>
    <xdr:to>
      <xdr:col>39</xdr:col>
      <xdr:colOff>0</xdr:colOff>
      <xdr:row>29</xdr:row>
      <xdr:rowOff>1</xdr:rowOff>
    </xdr:to>
    <xdr:sp macro="" textlink="">
      <xdr:nvSpPr>
        <xdr:cNvPr id="19" name="大かっこ 18">
          <a:extLst>
            <a:ext uri="{FF2B5EF4-FFF2-40B4-BE49-F238E27FC236}">
              <a16:creationId xmlns:a16="http://schemas.microsoft.com/office/drawing/2014/main" id="{631128C8-3207-4D30-A37B-8D8D56D0FD4E}"/>
            </a:ext>
          </a:extLst>
        </xdr:cNvPr>
        <xdr:cNvSpPr/>
      </xdr:nvSpPr>
      <xdr:spPr>
        <a:xfrm>
          <a:off x="3160643" y="4400550"/>
          <a:ext cx="458857" cy="3429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101</xdr:col>
      <xdr:colOff>74543</xdr:colOff>
      <xdr:row>27</xdr:row>
      <xdr:rowOff>0</xdr:rowOff>
    </xdr:from>
    <xdr:to>
      <xdr:col>108</xdr:col>
      <xdr:colOff>0</xdr:colOff>
      <xdr:row>29</xdr:row>
      <xdr:rowOff>1</xdr:rowOff>
    </xdr:to>
    <xdr:sp macro="" textlink="">
      <xdr:nvSpPr>
        <xdr:cNvPr id="20" name="大かっこ 19">
          <a:extLst>
            <a:ext uri="{FF2B5EF4-FFF2-40B4-BE49-F238E27FC236}">
              <a16:creationId xmlns:a16="http://schemas.microsoft.com/office/drawing/2014/main" id="{2822498F-65BC-4F37-9CF3-ED462A55F2ED}"/>
            </a:ext>
          </a:extLst>
        </xdr:cNvPr>
        <xdr:cNvSpPr/>
      </xdr:nvSpPr>
      <xdr:spPr>
        <a:xfrm>
          <a:off x="8418443" y="4400550"/>
          <a:ext cx="458857" cy="3429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26</xdr:col>
      <xdr:colOff>0</xdr:colOff>
      <xdr:row>47</xdr:row>
      <xdr:rowOff>21167</xdr:rowOff>
    </xdr:from>
    <xdr:to>
      <xdr:col>32</xdr:col>
      <xdr:colOff>0</xdr:colOff>
      <xdr:row>49</xdr:row>
      <xdr:rowOff>21168</xdr:rowOff>
    </xdr:to>
    <xdr:sp macro="" textlink="">
      <xdr:nvSpPr>
        <xdr:cNvPr id="28" name="大かっこ 27">
          <a:extLst>
            <a:ext uri="{FF2B5EF4-FFF2-40B4-BE49-F238E27FC236}">
              <a16:creationId xmlns:a16="http://schemas.microsoft.com/office/drawing/2014/main" id="{E46B0C65-C0DD-41F0-B193-EF023BBF7B89}"/>
            </a:ext>
          </a:extLst>
        </xdr:cNvPr>
        <xdr:cNvSpPr/>
      </xdr:nvSpPr>
      <xdr:spPr>
        <a:xfrm>
          <a:off x="2628900" y="7260167"/>
          <a:ext cx="457200" cy="3429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21</xdr:col>
      <xdr:colOff>25950</xdr:colOff>
      <xdr:row>57</xdr:row>
      <xdr:rowOff>12700</xdr:rowOff>
    </xdr:from>
    <xdr:to>
      <xdr:col>26</xdr:col>
      <xdr:colOff>50800</xdr:colOff>
      <xdr:row>59</xdr:row>
      <xdr:rowOff>12700</xdr:rowOff>
    </xdr:to>
    <xdr:sp macro="" textlink="">
      <xdr:nvSpPr>
        <xdr:cNvPr id="29" name="大かっこ 28">
          <a:extLst>
            <a:ext uri="{FF2B5EF4-FFF2-40B4-BE49-F238E27FC236}">
              <a16:creationId xmlns:a16="http://schemas.microsoft.com/office/drawing/2014/main" id="{1FEF1842-4C19-49D6-A511-67C943AA93BD}"/>
            </a:ext>
          </a:extLst>
        </xdr:cNvPr>
        <xdr:cNvSpPr/>
      </xdr:nvSpPr>
      <xdr:spPr>
        <a:xfrm>
          <a:off x="2273850" y="8670925"/>
          <a:ext cx="405850" cy="342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14</xdr:col>
      <xdr:colOff>69160</xdr:colOff>
      <xdr:row>37</xdr:row>
      <xdr:rowOff>1242</xdr:rowOff>
    </xdr:from>
    <xdr:to>
      <xdr:col>20</xdr:col>
      <xdr:colOff>67090</xdr:colOff>
      <xdr:row>39</xdr:row>
      <xdr:rowOff>1243</xdr:rowOff>
    </xdr:to>
    <xdr:sp macro="" textlink="">
      <xdr:nvSpPr>
        <xdr:cNvPr id="30" name="大かっこ 29">
          <a:extLst>
            <a:ext uri="{FF2B5EF4-FFF2-40B4-BE49-F238E27FC236}">
              <a16:creationId xmlns:a16="http://schemas.microsoft.com/office/drawing/2014/main" id="{D8607A02-0624-4A32-83F8-E475D28CCFCC}"/>
            </a:ext>
          </a:extLst>
        </xdr:cNvPr>
        <xdr:cNvSpPr/>
      </xdr:nvSpPr>
      <xdr:spPr>
        <a:xfrm>
          <a:off x="1011307" y="5923307"/>
          <a:ext cx="432767" cy="35201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43</xdr:col>
      <xdr:colOff>1</xdr:colOff>
      <xdr:row>73</xdr:row>
      <xdr:rowOff>0</xdr:rowOff>
    </xdr:from>
    <xdr:to>
      <xdr:col>51</xdr:col>
      <xdr:colOff>0</xdr:colOff>
      <xdr:row>75</xdr:row>
      <xdr:rowOff>1</xdr:rowOff>
    </xdr:to>
    <xdr:sp macro="" textlink="">
      <xdr:nvSpPr>
        <xdr:cNvPr id="31" name="大かっこ 30">
          <a:extLst>
            <a:ext uri="{FF2B5EF4-FFF2-40B4-BE49-F238E27FC236}">
              <a16:creationId xmlns:a16="http://schemas.microsoft.com/office/drawing/2014/main" id="{427A9889-A3D8-4B3E-AE69-73AD399DE3D5}"/>
            </a:ext>
          </a:extLst>
        </xdr:cNvPr>
        <xdr:cNvSpPr/>
      </xdr:nvSpPr>
      <xdr:spPr>
        <a:xfrm>
          <a:off x="3768588" y="12672391"/>
          <a:ext cx="579782" cy="3623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87</xdr:col>
      <xdr:colOff>1</xdr:colOff>
      <xdr:row>73</xdr:row>
      <xdr:rowOff>0</xdr:rowOff>
    </xdr:from>
    <xdr:to>
      <xdr:col>95</xdr:col>
      <xdr:colOff>0</xdr:colOff>
      <xdr:row>75</xdr:row>
      <xdr:rowOff>1</xdr:rowOff>
    </xdr:to>
    <xdr:sp macro="" textlink="">
      <xdr:nvSpPr>
        <xdr:cNvPr id="32" name="大かっこ 31">
          <a:extLst>
            <a:ext uri="{FF2B5EF4-FFF2-40B4-BE49-F238E27FC236}">
              <a16:creationId xmlns:a16="http://schemas.microsoft.com/office/drawing/2014/main" id="{37250B25-1448-49DB-87B4-30700E47303D}"/>
            </a:ext>
          </a:extLst>
        </xdr:cNvPr>
        <xdr:cNvSpPr/>
      </xdr:nvSpPr>
      <xdr:spPr>
        <a:xfrm>
          <a:off x="6957392" y="12672391"/>
          <a:ext cx="579782" cy="3623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65</xdr:col>
      <xdr:colOff>1</xdr:colOff>
      <xdr:row>75</xdr:row>
      <xdr:rowOff>0</xdr:rowOff>
    </xdr:from>
    <xdr:to>
      <xdr:col>73</xdr:col>
      <xdr:colOff>0</xdr:colOff>
      <xdr:row>77</xdr:row>
      <xdr:rowOff>1</xdr:rowOff>
    </xdr:to>
    <xdr:sp macro="" textlink="">
      <xdr:nvSpPr>
        <xdr:cNvPr id="35" name="大かっこ 34">
          <a:extLst>
            <a:ext uri="{FF2B5EF4-FFF2-40B4-BE49-F238E27FC236}">
              <a16:creationId xmlns:a16="http://schemas.microsoft.com/office/drawing/2014/main" id="{02F5703A-D82E-424E-A933-0178880F60A4}"/>
            </a:ext>
          </a:extLst>
        </xdr:cNvPr>
        <xdr:cNvSpPr/>
      </xdr:nvSpPr>
      <xdr:spPr>
        <a:xfrm>
          <a:off x="3768588" y="12672391"/>
          <a:ext cx="579782" cy="3623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139</xdr:col>
          <xdr:colOff>47625</xdr:colOff>
          <xdr:row>0</xdr:row>
          <xdr:rowOff>276225</xdr:rowOff>
        </xdr:from>
        <xdr:to>
          <xdr:col>139</xdr:col>
          <xdr:colOff>266700</xdr:colOff>
          <xdr:row>2</xdr:row>
          <xdr:rowOff>38100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0000" mc:Ignorable="a14" a14:legacySpreadsheetColorIndex="10"/>
                  </a:solidFill>
                </a14:hiddenFill>
              </a:ext>
            </a:extLst>
          </xdr:spPr>
        </xdr:sp>
        <xdr:clientData/>
      </xdr:twoCellAnchor>
    </mc:Choice>
    <mc:Fallback/>
  </mc:AlternateContent>
  <xdr:twoCellAnchor>
    <xdr:from>
      <xdr:col>138</xdr:col>
      <xdr:colOff>0</xdr:colOff>
      <xdr:row>11</xdr:row>
      <xdr:rowOff>0</xdr:rowOff>
    </xdr:from>
    <xdr:to>
      <xdr:col>138</xdr:col>
      <xdr:colOff>466531</xdr:colOff>
      <xdr:row>15</xdr:row>
      <xdr:rowOff>77756</xdr:rowOff>
    </xdr:to>
    <xdr:sp macro="" textlink="">
      <xdr:nvSpPr>
        <xdr:cNvPr id="22" name="大かっこ 21">
          <a:extLst>
            <a:ext uri="{FF2B5EF4-FFF2-40B4-BE49-F238E27FC236}">
              <a16:creationId xmlns:a16="http://schemas.microsoft.com/office/drawing/2014/main" id="{96BBCBE8-A646-45C6-81F7-0F9019225D74}"/>
            </a:ext>
          </a:extLst>
        </xdr:cNvPr>
        <xdr:cNvSpPr/>
      </xdr:nvSpPr>
      <xdr:spPr>
        <a:xfrm>
          <a:off x="11430000" y="2400689"/>
          <a:ext cx="466531" cy="3498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42</xdr:row>
      <xdr:rowOff>0</xdr:rowOff>
    </xdr:from>
    <xdr:to>
      <xdr:col>138</xdr:col>
      <xdr:colOff>0</xdr:colOff>
      <xdr:row>42</xdr:row>
      <xdr:rowOff>0</xdr:rowOff>
    </xdr:to>
    <xdr:cxnSp macro="">
      <xdr:nvCxnSpPr>
        <xdr:cNvPr id="32" name="直線コネクタ 31">
          <a:extLst>
            <a:ext uri="{FF2B5EF4-FFF2-40B4-BE49-F238E27FC236}">
              <a16:creationId xmlns:a16="http://schemas.microsoft.com/office/drawing/2014/main" id="{CA035C5E-B5FF-91AC-F8B7-A5EA2259851F}"/>
            </a:ext>
          </a:extLst>
        </xdr:cNvPr>
        <xdr:cNvCxnSpPr/>
      </xdr:nvCxnSpPr>
      <xdr:spPr>
        <a:xfrm>
          <a:off x="724728" y="6802092"/>
          <a:ext cx="10115136"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32</xdr:row>
      <xdr:rowOff>0</xdr:rowOff>
    </xdr:from>
    <xdr:to>
      <xdr:col>138</xdr:col>
      <xdr:colOff>0</xdr:colOff>
      <xdr:row>32</xdr:row>
      <xdr:rowOff>0</xdr:rowOff>
    </xdr:to>
    <xdr:cxnSp macro="">
      <xdr:nvCxnSpPr>
        <xdr:cNvPr id="35" name="直線コネクタ 34">
          <a:extLst>
            <a:ext uri="{FF2B5EF4-FFF2-40B4-BE49-F238E27FC236}">
              <a16:creationId xmlns:a16="http://schemas.microsoft.com/office/drawing/2014/main" id="{CD64EC88-B18F-4EF5-A4A8-C6B6B51C29AA}"/>
            </a:ext>
          </a:extLst>
        </xdr:cNvPr>
        <xdr:cNvCxnSpPr/>
      </xdr:nvCxnSpPr>
      <xdr:spPr>
        <a:xfrm>
          <a:off x="724728" y="5342283"/>
          <a:ext cx="10115136"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139</xdr:col>
          <xdr:colOff>47625</xdr:colOff>
          <xdr:row>0</xdr:row>
          <xdr:rowOff>276225</xdr:rowOff>
        </xdr:from>
        <xdr:to>
          <xdr:col>139</xdr:col>
          <xdr:colOff>266700</xdr:colOff>
          <xdr:row>2</xdr:row>
          <xdr:rowOff>38100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0000" mc:Ignorable="a14" a14:legacySpreadsheetColorIndex="10"/>
                  </a:solid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33</xdr:col>
      <xdr:colOff>63501</xdr:colOff>
      <xdr:row>64</xdr:row>
      <xdr:rowOff>1</xdr:rowOff>
    </xdr:from>
    <xdr:to>
      <xdr:col>38</xdr:col>
      <xdr:colOff>63501</xdr:colOff>
      <xdr:row>66</xdr:row>
      <xdr:rowOff>1</xdr:rowOff>
    </xdr:to>
    <xdr:sp macro="" textlink="">
      <xdr:nvSpPr>
        <xdr:cNvPr id="3" name="大かっこ 2">
          <a:extLst>
            <a:ext uri="{FF2B5EF4-FFF2-40B4-BE49-F238E27FC236}">
              <a16:creationId xmlns:a16="http://schemas.microsoft.com/office/drawing/2014/main" id="{3D7110A6-C96A-4448-B6EF-082E9E0DDBBD}"/>
            </a:ext>
          </a:extLst>
        </xdr:cNvPr>
        <xdr:cNvSpPr/>
      </xdr:nvSpPr>
      <xdr:spPr>
        <a:xfrm>
          <a:off x="6540501" y="12135972"/>
          <a:ext cx="672353" cy="35858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36</xdr:col>
      <xdr:colOff>63500</xdr:colOff>
      <xdr:row>37</xdr:row>
      <xdr:rowOff>0</xdr:rowOff>
    </xdr:from>
    <xdr:to>
      <xdr:col>41</xdr:col>
      <xdr:colOff>63500</xdr:colOff>
      <xdr:row>39</xdr:row>
      <xdr:rowOff>1</xdr:rowOff>
    </xdr:to>
    <xdr:sp macro="" textlink="">
      <xdr:nvSpPr>
        <xdr:cNvPr id="5" name="大かっこ 4">
          <a:extLst>
            <a:ext uri="{FF2B5EF4-FFF2-40B4-BE49-F238E27FC236}">
              <a16:creationId xmlns:a16="http://schemas.microsoft.com/office/drawing/2014/main" id="{F7615B06-9BF1-81E2-21FC-1BB8E231E783}"/>
            </a:ext>
          </a:extLst>
        </xdr:cNvPr>
        <xdr:cNvSpPr/>
      </xdr:nvSpPr>
      <xdr:spPr>
        <a:xfrm>
          <a:off x="6943912" y="6488206"/>
          <a:ext cx="672353" cy="35858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48</xdr:col>
      <xdr:colOff>197970</xdr:colOff>
      <xdr:row>37</xdr:row>
      <xdr:rowOff>1</xdr:rowOff>
    </xdr:from>
    <xdr:to>
      <xdr:col>53</xdr:col>
      <xdr:colOff>63500</xdr:colOff>
      <xdr:row>39</xdr:row>
      <xdr:rowOff>1</xdr:rowOff>
    </xdr:to>
    <xdr:sp macro="" textlink="">
      <xdr:nvSpPr>
        <xdr:cNvPr id="6" name="大かっこ 5">
          <a:extLst>
            <a:ext uri="{FF2B5EF4-FFF2-40B4-BE49-F238E27FC236}">
              <a16:creationId xmlns:a16="http://schemas.microsoft.com/office/drawing/2014/main" id="{1498EEB5-6CB0-D139-890C-C9765027E6F1}"/>
            </a:ext>
          </a:extLst>
        </xdr:cNvPr>
        <xdr:cNvSpPr/>
      </xdr:nvSpPr>
      <xdr:spPr>
        <a:xfrm>
          <a:off x="9095441" y="6488207"/>
          <a:ext cx="672353" cy="35858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21</xdr:col>
      <xdr:colOff>209176</xdr:colOff>
      <xdr:row>37</xdr:row>
      <xdr:rowOff>1</xdr:rowOff>
    </xdr:from>
    <xdr:to>
      <xdr:col>26</xdr:col>
      <xdr:colOff>74706</xdr:colOff>
      <xdr:row>39</xdr:row>
      <xdr:rowOff>1</xdr:rowOff>
    </xdr:to>
    <xdr:sp macro="" textlink="">
      <xdr:nvSpPr>
        <xdr:cNvPr id="7" name="大かっこ 6">
          <a:extLst>
            <a:ext uri="{FF2B5EF4-FFF2-40B4-BE49-F238E27FC236}">
              <a16:creationId xmlns:a16="http://schemas.microsoft.com/office/drawing/2014/main" id="{6EBDA96C-0DC4-8AA8-C870-FA9A4317B499}"/>
            </a:ext>
          </a:extLst>
        </xdr:cNvPr>
        <xdr:cNvSpPr/>
      </xdr:nvSpPr>
      <xdr:spPr>
        <a:xfrm>
          <a:off x="4803588" y="6488207"/>
          <a:ext cx="672353" cy="35858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9</xdr:col>
      <xdr:colOff>209177</xdr:colOff>
      <xdr:row>49</xdr:row>
      <xdr:rowOff>0</xdr:rowOff>
    </xdr:from>
    <xdr:to>
      <xdr:col>14</xdr:col>
      <xdr:colOff>74706</xdr:colOff>
      <xdr:row>51</xdr:row>
      <xdr:rowOff>0</xdr:rowOff>
    </xdr:to>
    <xdr:sp macro="" textlink="">
      <xdr:nvSpPr>
        <xdr:cNvPr id="8" name="大かっこ 7">
          <a:extLst>
            <a:ext uri="{FF2B5EF4-FFF2-40B4-BE49-F238E27FC236}">
              <a16:creationId xmlns:a16="http://schemas.microsoft.com/office/drawing/2014/main" id="{7E694BD0-CE08-BEB8-9296-1FDEB71AD074}"/>
            </a:ext>
          </a:extLst>
        </xdr:cNvPr>
        <xdr:cNvSpPr/>
      </xdr:nvSpPr>
      <xdr:spPr>
        <a:xfrm>
          <a:off x="2652059" y="8258735"/>
          <a:ext cx="672353" cy="35858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xdr:col>
      <xdr:colOff>197970</xdr:colOff>
      <xdr:row>37</xdr:row>
      <xdr:rowOff>1</xdr:rowOff>
    </xdr:from>
    <xdr:to>
      <xdr:col>9</xdr:col>
      <xdr:colOff>63500</xdr:colOff>
      <xdr:row>39</xdr:row>
      <xdr:rowOff>1</xdr:rowOff>
    </xdr:to>
    <xdr:sp macro="" textlink="">
      <xdr:nvSpPr>
        <xdr:cNvPr id="9" name="大かっこ 8">
          <a:extLst>
            <a:ext uri="{FF2B5EF4-FFF2-40B4-BE49-F238E27FC236}">
              <a16:creationId xmlns:a16="http://schemas.microsoft.com/office/drawing/2014/main" id="{B0293883-5B8F-32C4-01CE-A0588C405FD4}"/>
            </a:ext>
          </a:extLst>
        </xdr:cNvPr>
        <xdr:cNvSpPr/>
      </xdr:nvSpPr>
      <xdr:spPr>
        <a:xfrm>
          <a:off x="1834029" y="6488207"/>
          <a:ext cx="672353" cy="35858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13</xdr:col>
      <xdr:colOff>63500</xdr:colOff>
      <xdr:row>25</xdr:row>
      <xdr:rowOff>0</xdr:rowOff>
    </xdr:from>
    <xdr:to>
      <xdr:col>18</xdr:col>
      <xdr:colOff>63500</xdr:colOff>
      <xdr:row>27</xdr:row>
      <xdr:rowOff>0</xdr:rowOff>
    </xdr:to>
    <xdr:sp macro="" textlink="">
      <xdr:nvSpPr>
        <xdr:cNvPr id="10" name="大かっこ 9">
          <a:extLst>
            <a:ext uri="{FF2B5EF4-FFF2-40B4-BE49-F238E27FC236}">
              <a16:creationId xmlns:a16="http://schemas.microsoft.com/office/drawing/2014/main" id="{E3807C77-31EA-946A-9DE8-B1433197AFCD}"/>
            </a:ext>
          </a:extLst>
        </xdr:cNvPr>
        <xdr:cNvSpPr/>
      </xdr:nvSpPr>
      <xdr:spPr>
        <a:xfrm>
          <a:off x="3178735" y="4717676"/>
          <a:ext cx="672353" cy="35858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42</xdr:col>
      <xdr:colOff>209176</xdr:colOff>
      <xdr:row>25</xdr:row>
      <xdr:rowOff>0</xdr:rowOff>
    </xdr:from>
    <xdr:to>
      <xdr:col>47</xdr:col>
      <xdr:colOff>74706</xdr:colOff>
      <xdr:row>27</xdr:row>
      <xdr:rowOff>0</xdr:rowOff>
    </xdr:to>
    <xdr:sp macro="" textlink="">
      <xdr:nvSpPr>
        <xdr:cNvPr id="11" name="大かっこ 10">
          <a:extLst>
            <a:ext uri="{FF2B5EF4-FFF2-40B4-BE49-F238E27FC236}">
              <a16:creationId xmlns:a16="http://schemas.microsoft.com/office/drawing/2014/main" id="{AE1A0C38-DDFB-2C88-99EC-CBA7E5EA855D}"/>
            </a:ext>
          </a:extLst>
        </xdr:cNvPr>
        <xdr:cNvSpPr/>
      </xdr:nvSpPr>
      <xdr:spPr>
        <a:xfrm>
          <a:off x="8030882" y="4717676"/>
          <a:ext cx="672353" cy="35858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26</xdr:col>
      <xdr:colOff>209176</xdr:colOff>
      <xdr:row>13</xdr:row>
      <xdr:rowOff>0</xdr:rowOff>
    </xdr:from>
    <xdr:to>
      <xdr:col>31</xdr:col>
      <xdr:colOff>74705</xdr:colOff>
      <xdr:row>15</xdr:row>
      <xdr:rowOff>0</xdr:rowOff>
    </xdr:to>
    <xdr:sp macro="" textlink="">
      <xdr:nvSpPr>
        <xdr:cNvPr id="12" name="大かっこ 11">
          <a:extLst>
            <a:ext uri="{FF2B5EF4-FFF2-40B4-BE49-F238E27FC236}">
              <a16:creationId xmlns:a16="http://schemas.microsoft.com/office/drawing/2014/main" id="{0BD8882B-865E-DD95-A953-E6F942D4CA10}"/>
            </a:ext>
          </a:extLst>
        </xdr:cNvPr>
        <xdr:cNvSpPr/>
      </xdr:nvSpPr>
      <xdr:spPr>
        <a:xfrm>
          <a:off x="5610411" y="2947147"/>
          <a:ext cx="672353" cy="35858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24</xdr:col>
      <xdr:colOff>0</xdr:colOff>
      <xdr:row>14</xdr:row>
      <xdr:rowOff>1</xdr:rowOff>
    </xdr:from>
    <xdr:to>
      <xdr:col>28</xdr:col>
      <xdr:colOff>1</xdr:colOff>
      <xdr:row>16</xdr:row>
      <xdr:rowOff>0</xdr:rowOff>
    </xdr:to>
    <xdr:sp macro="" textlink="">
      <xdr:nvSpPr>
        <xdr:cNvPr id="2" name="大かっこ 1">
          <a:extLst>
            <a:ext uri="{FF2B5EF4-FFF2-40B4-BE49-F238E27FC236}">
              <a16:creationId xmlns:a16="http://schemas.microsoft.com/office/drawing/2014/main" id="{1819F9AB-C395-4EE0-8627-19FE4C404A78}"/>
            </a:ext>
          </a:extLst>
        </xdr:cNvPr>
        <xdr:cNvSpPr/>
      </xdr:nvSpPr>
      <xdr:spPr>
        <a:xfrm>
          <a:off x="3962400" y="2019301"/>
          <a:ext cx="647701" cy="266699"/>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11</xdr:col>
      <xdr:colOff>0</xdr:colOff>
      <xdr:row>28</xdr:row>
      <xdr:rowOff>1</xdr:rowOff>
    </xdr:from>
    <xdr:to>
      <xdr:col>15</xdr:col>
      <xdr:colOff>1</xdr:colOff>
      <xdr:row>30</xdr:row>
      <xdr:rowOff>0</xdr:rowOff>
    </xdr:to>
    <xdr:sp macro="" textlink="">
      <xdr:nvSpPr>
        <xdr:cNvPr id="3" name="大かっこ 2">
          <a:extLst>
            <a:ext uri="{FF2B5EF4-FFF2-40B4-BE49-F238E27FC236}">
              <a16:creationId xmlns:a16="http://schemas.microsoft.com/office/drawing/2014/main" id="{10844679-9359-4F68-ADFD-412E519F3C98}"/>
            </a:ext>
          </a:extLst>
        </xdr:cNvPr>
        <xdr:cNvSpPr/>
      </xdr:nvSpPr>
      <xdr:spPr>
        <a:xfrm>
          <a:off x="2028825" y="3581401"/>
          <a:ext cx="647701" cy="266699"/>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37</xdr:col>
      <xdr:colOff>0</xdr:colOff>
      <xdr:row>28</xdr:row>
      <xdr:rowOff>1</xdr:rowOff>
    </xdr:from>
    <xdr:to>
      <xdr:col>41</xdr:col>
      <xdr:colOff>1</xdr:colOff>
      <xdr:row>30</xdr:row>
      <xdr:rowOff>0</xdr:rowOff>
    </xdr:to>
    <xdr:sp macro="" textlink="">
      <xdr:nvSpPr>
        <xdr:cNvPr id="4" name="大かっこ 3">
          <a:extLst>
            <a:ext uri="{FF2B5EF4-FFF2-40B4-BE49-F238E27FC236}">
              <a16:creationId xmlns:a16="http://schemas.microsoft.com/office/drawing/2014/main" id="{9E1B4F10-7F10-4345-892F-BFDA33C72CF0}"/>
            </a:ext>
          </a:extLst>
        </xdr:cNvPr>
        <xdr:cNvSpPr/>
      </xdr:nvSpPr>
      <xdr:spPr>
        <a:xfrm>
          <a:off x="5895975" y="3581401"/>
          <a:ext cx="647701" cy="266699"/>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xdr:col>
      <xdr:colOff>105834</xdr:colOff>
      <xdr:row>41</xdr:row>
      <xdr:rowOff>43390</xdr:rowOff>
    </xdr:from>
    <xdr:to>
      <xdr:col>7</xdr:col>
      <xdr:colOff>116418</xdr:colOff>
      <xdr:row>43</xdr:row>
      <xdr:rowOff>116416</xdr:rowOff>
    </xdr:to>
    <xdr:sp macro="" textlink="">
      <xdr:nvSpPr>
        <xdr:cNvPr id="5" name="大かっこ 4">
          <a:extLst>
            <a:ext uri="{FF2B5EF4-FFF2-40B4-BE49-F238E27FC236}">
              <a16:creationId xmlns:a16="http://schemas.microsoft.com/office/drawing/2014/main" id="{98C0C6BC-E1AB-46B7-9E49-881913BF9A7F}"/>
            </a:ext>
          </a:extLst>
        </xdr:cNvPr>
        <xdr:cNvSpPr/>
      </xdr:nvSpPr>
      <xdr:spPr>
        <a:xfrm>
          <a:off x="848784" y="5139265"/>
          <a:ext cx="648759" cy="254001"/>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18</xdr:col>
      <xdr:colOff>95251</xdr:colOff>
      <xdr:row>41</xdr:row>
      <xdr:rowOff>52916</xdr:rowOff>
    </xdr:from>
    <xdr:to>
      <xdr:col>23</xdr:col>
      <xdr:colOff>105835</xdr:colOff>
      <xdr:row>43</xdr:row>
      <xdr:rowOff>116416</xdr:rowOff>
    </xdr:to>
    <xdr:sp macro="" textlink="">
      <xdr:nvSpPr>
        <xdr:cNvPr id="6" name="大かっこ 5">
          <a:extLst>
            <a:ext uri="{FF2B5EF4-FFF2-40B4-BE49-F238E27FC236}">
              <a16:creationId xmlns:a16="http://schemas.microsoft.com/office/drawing/2014/main" id="{AFC7D36E-8CE8-4ECF-8DDF-64789CBCB382}"/>
            </a:ext>
          </a:extLst>
        </xdr:cNvPr>
        <xdr:cNvSpPr/>
      </xdr:nvSpPr>
      <xdr:spPr>
        <a:xfrm>
          <a:off x="3200401" y="5139266"/>
          <a:ext cx="648759" cy="254000"/>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28</xdr:col>
      <xdr:colOff>116418</xdr:colOff>
      <xdr:row>42</xdr:row>
      <xdr:rowOff>0</xdr:rowOff>
    </xdr:from>
    <xdr:to>
      <xdr:col>33</xdr:col>
      <xdr:colOff>127002</xdr:colOff>
      <xdr:row>44</xdr:row>
      <xdr:rowOff>0</xdr:rowOff>
    </xdr:to>
    <xdr:sp macro="" textlink="">
      <xdr:nvSpPr>
        <xdr:cNvPr id="7" name="大かっこ 6">
          <a:extLst>
            <a:ext uri="{FF2B5EF4-FFF2-40B4-BE49-F238E27FC236}">
              <a16:creationId xmlns:a16="http://schemas.microsoft.com/office/drawing/2014/main" id="{5D6D41F6-4825-45A1-8E7B-40059338C70B}"/>
            </a:ext>
          </a:extLst>
        </xdr:cNvPr>
        <xdr:cNvSpPr/>
      </xdr:nvSpPr>
      <xdr:spPr>
        <a:xfrm>
          <a:off x="4726518" y="5143500"/>
          <a:ext cx="648759" cy="266700"/>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44</xdr:col>
      <xdr:colOff>105835</xdr:colOff>
      <xdr:row>42</xdr:row>
      <xdr:rowOff>1</xdr:rowOff>
    </xdr:from>
    <xdr:to>
      <xdr:col>49</xdr:col>
      <xdr:colOff>116418</xdr:colOff>
      <xdr:row>44</xdr:row>
      <xdr:rowOff>0</xdr:rowOff>
    </xdr:to>
    <xdr:sp macro="" textlink="">
      <xdr:nvSpPr>
        <xdr:cNvPr id="8" name="大かっこ 7">
          <a:extLst>
            <a:ext uri="{FF2B5EF4-FFF2-40B4-BE49-F238E27FC236}">
              <a16:creationId xmlns:a16="http://schemas.microsoft.com/office/drawing/2014/main" id="{E5AFAEF5-4F0F-420F-B8C9-84EF9A5E6304}"/>
            </a:ext>
          </a:extLst>
        </xdr:cNvPr>
        <xdr:cNvSpPr/>
      </xdr:nvSpPr>
      <xdr:spPr>
        <a:xfrm>
          <a:off x="7078135" y="5143501"/>
          <a:ext cx="648758" cy="266699"/>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15</xdr:col>
      <xdr:colOff>31751</xdr:colOff>
      <xdr:row>56</xdr:row>
      <xdr:rowOff>0</xdr:rowOff>
    </xdr:from>
    <xdr:to>
      <xdr:col>18</xdr:col>
      <xdr:colOff>190500</xdr:colOff>
      <xdr:row>58</xdr:row>
      <xdr:rowOff>0</xdr:rowOff>
    </xdr:to>
    <xdr:sp macro="" textlink="">
      <xdr:nvSpPr>
        <xdr:cNvPr id="9" name="大かっこ 8">
          <a:extLst>
            <a:ext uri="{FF2B5EF4-FFF2-40B4-BE49-F238E27FC236}">
              <a16:creationId xmlns:a16="http://schemas.microsoft.com/office/drawing/2014/main" id="{4C37CC32-4DE1-4545-9FDB-48F184C09DA9}"/>
            </a:ext>
          </a:extLst>
        </xdr:cNvPr>
        <xdr:cNvSpPr/>
      </xdr:nvSpPr>
      <xdr:spPr>
        <a:xfrm>
          <a:off x="2708276" y="6705600"/>
          <a:ext cx="587374" cy="266700"/>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7</xdr:col>
      <xdr:colOff>35984</xdr:colOff>
      <xdr:row>56</xdr:row>
      <xdr:rowOff>0</xdr:rowOff>
    </xdr:from>
    <xdr:to>
      <xdr:col>10</xdr:col>
      <xdr:colOff>194733</xdr:colOff>
      <xdr:row>58</xdr:row>
      <xdr:rowOff>0</xdr:rowOff>
    </xdr:to>
    <xdr:sp macro="" textlink="">
      <xdr:nvSpPr>
        <xdr:cNvPr id="10" name="大かっこ 9">
          <a:extLst>
            <a:ext uri="{FF2B5EF4-FFF2-40B4-BE49-F238E27FC236}">
              <a16:creationId xmlns:a16="http://schemas.microsoft.com/office/drawing/2014/main" id="{72E2D240-4687-4D3A-9A37-BD2754500F72}"/>
            </a:ext>
          </a:extLst>
        </xdr:cNvPr>
        <xdr:cNvSpPr/>
      </xdr:nvSpPr>
      <xdr:spPr>
        <a:xfrm>
          <a:off x="1417109" y="6705600"/>
          <a:ext cx="587374" cy="266700"/>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41</xdr:col>
      <xdr:colOff>29634</xdr:colOff>
      <xdr:row>55</xdr:row>
      <xdr:rowOff>43390</xdr:rowOff>
    </xdr:from>
    <xdr:to>
      <xdr:col>44</xdr:col>
      <xdr:colOff>188384</xdr:colOff>
      <xdr:row>58</xdr:row>
      <xdr:rowOff>0</xdr:rowOff>
    </xdr:to>
    <xdr:sp macro="" textlink="">
      <xdr:nvSpPr>
        <xdr:cNvPr id="11" name="大かっこ 10">
          <a:extLst>
            <a:ext uri="{FF2B5EF4-FFF2-40B4-BE49-F238E27FC236}">
              <a16:creationId xmlns:a16="http://schemas.microsoft.com/office/drawing/2014/main" id="{13C467DB-8D28-452D-9373-0D060D28D768}"/>
            </a:ext>
          </a:extLst>
        </xdr:cNvPr>
        <xdr:cNvSpPr/>
      </xdr:nvSpPr>
      <xdr:spPr>
        <a:xfrm>
          <a:off x="6573309" y="6701365"/>
          <a:ext cx="587375" cy="270935"/>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33</xdr:col>
      <xdr:colOff>33867</xdr:colOff>
      <xdr:row>56</xdr:row>
      <xdr:rowOff>1</xdr:rowOff>
    </xdr:from>
    <xdr:to>
      <xdr:col>36</xdr:col>
      <xdr:colOff>192616</xdr:colOff>
      <xdr:row>58</xdr:row>
      <xdr:rowOff>1</xdr:rowOff>
    </xdr:to>
    <xdr:sp macro="" textlink="">
      <xdr:nvSpPr>
        <xdr:cNvPr id="12" name="大かっこ 11">
          <a:extLst>
            <a:ext uri="{FF2B5EF4-FFF2-40B4-BE49-F238E27FC236}">
              <a16:creationId xmlns:a16="http://schemas.microsoft.com/office/drawing/2014/main" id="{941855F2-969D-4D2D-9DC9-37D151323A92}"/>
            </a:ext>
          </a:extLst>
        </xdr:cNvPr>
        <xdr:cNvSpPr/>
      </xdr:nvSpPr>
      <xdr:spPr>
        <a:xfrm>
          <a:off x="5282142" y="6705601"/>
          <a:ext cx="587374" cy="266700"/>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58</xdr:col>
      <xdr:colOff>74084</xdr:colOff>
      <xdr:row>30</xdr:row>
      <xdr:rowOff>116418</xdr:rowOff>
    </xdr:from>
    <xdr:to>
      <xdr:col>62</xdr:col>
      <xdr:colOff>74083</xdr:colOff>
      <xdr:row>32</xdr:row>
      <xdr:rowOff>116418</xdr:rowOff>
    </xdr:to>
    <xdr:sp macro="" textlink="">
      <xdr:nvSpPr>
        <xdr:cNvPr id="13" name="大かっこ 12">
          <a:extLst>
            <a:ext uri="{FF2B5EF4-FFF2-40B4-BE49-F238E27FC236}">
              <a16:creationId xmlns:a16="http://schemas.microsoft.com/office/drawing/2014/main" id="{EC6E9B8D-EBD8-4ECA-A098-0315B57A0923}"/>
            </a:ext>
          </a:extLst>
        </xdr:cNvPr>
        <xdr:cNvSpPr/>
      </xdr:nvSpPr>
      <xdr:spPr>
        <a:xfrm>
          <a:off x="9376834" y="4074585"/>
          <a:ext cx="507999" cy="275166"/>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40</xdr:col>
          <xdr:colOff>202141</xdr:colOff>
          <xdr:row>4</xdr:row>
          <xdr:rowOff>191559</xdr:rowOff>
        </xdr:from>
        <xdr:to>
          <xdr:col>52</xdr:col>
          <xdr:colOff>85724</xdr:colOff>
          <xdr:row>22</xdr:row>
          <xdr:rowOff>117476</xdr:rowOff>
        </xdr:to>
        <xdr:pic>
          <xdr:nvPicPr>
            <xdr:cNvPr id="14" name="図 13">
              <a:extLst>
                <a:ext uri="{FF2B5EF4-FFF2-40B4-BE49-F238E27FC236}">
                  <a16:creationId xmlns:a16="http://schemas.microsoft.com/office/drawing/2014/main" id="{1EC912F6-47E0-4646-85EA-B3C25552BB3A}"/>
                </a:ext>
              </a:extLst>
            </xdr:cNvPr>
            <xdr:cNvPicPr>
              <a:picLocks noChangeAspect="1" noChangeArrowheads="1"/>
              <a:extLst>
                <a:ext uri="{84589F7E-364E-4C9E-8A38-B11213B215E9}">
                  <a14:cameraTool cellRange="$BC$7:$BN$25" spid="_x0000_s105697"/>
                </a:ext>
              </a:extLst>
            </xdr:cNvPicPr>
          </xdr:nvPicPr>
          <xdr:blipFill>
            <a:blip xmlns:r="http://schemas.openxmlformats.org/officeDocument/2006/relationships" r:embed="rId1"/>
            <a:srcRect/>
            <a:stretch>
              <a:fillRect/>
            </a:stretch>
          </xdr:blipFill>
          <xdr:spPr bwMode="auto">
            <a:xfrm>
              <a:off x="6526741" y="1029759"/>
              <a:ext cx="1674283" cy="217381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133350</xdr:colOff>
          <xdr:row>3</xdr:row>
          <xdr:rowOff>238125</xdr:rowOff>
        </xdr:from>
        <xdr:to>
          <xdr:col>61</xdr:col>
          <xdr:colOff>19050</xdr:colOff>
          <xdr:row>5</xdr:row>
          <xdr:rowOff>19050</xdr:rowOff>
        </xdr:to>
        <xdr:sp macro="" textlink="">
          <xdr:nvSpPr>
            <xdr:cNvPr id="105483" name="Check Box 11" hidden="1">
              <a:extLst>
                <a:ext uri="{63B3BB69-23CF-44E3-9099-C40C66FF867C}">
                  <a14:compatExt spid="_x0000_s105483"/>
                </a:ext>
                <a:ext uri="{FF2B5EF4-FFF2-40B4-BE49-F238E27FC236}">
                  <a16:creationId xmlns:a16="http://schemas.microsoft.com/office/drawing/2014/main" id="{00000000-0008-0000-0700-00000B9C010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0000" mc:Ignorable="a14" a14:legacySpreadsheetColorIndex="10"/>
                  </a:solidFill>
                </a14:hiddenFill>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37</xdr:col>
      <xdr:colOff>179733</xdr:colOff>
      <xdr:row>14</xdr:row>
      <xdr:rowOff>156956</xdr:rowOff>
    </xdr:from>
    <xdr:to>
      <xdr:col>40</xdr:col>
      <xdr:colOff>155299</xdr:colOff>
      <xdr:row>16</xdr:row>
      <xdr:rowOff>96078</xdr:rowOff>
    </xdr:to>
    <xdr:sp macro="" textlink="">
      <xdr:nvSpPr>
        <xdr:cNvPr id="4" name="円/楕円 3">
          <a:extLst>
            <a:ext uri="{FF2B5EF4-FFF2-40B4-BE49-F238E27FC236}">
              <a16:creationId xmlns:a16="http://schemas.microsoft.com/office/drawing/2014/main" id="{00000000-0008-0000-1A00-000004000000}"/>
            </a:ext>
          </a:extLst>
        </xdr:cNvPr>
        <xdr:cNvSpPr/>
      </xdr:nvSpPr>
      <xdr:spPr>
        <a:xfrm>
          <a:off x="8213863" y="2434673"/>
          <a:ext cx="571914" cy="2952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17</xdr:col>
      <xdr:colOff>0</xdr:colOff>
      <xdr:row>0</xdr:row>
      <xdr:rowOff>0</xdr:rowOff>
    </xdr:from>
    <xdr:to>
      <xdr:col>20</xdr:col>
      <xdr:colOff>0</xdr:colOff>
      <xdr:row>3</xdr:row>
      <xdr:rowOff>24847</xdr:rowOff>
    </xdr:to>
    <xdr:pic>
      <xdr:nvPicPr>
        <xdr:cNvPr id="3" name="図 2">
          <a:extLst>
            <a:ext uri="{FF2B5EF4-FFF2-40B4-BE49-F238E27FC236}">
              <a16:creationId xmlns:a16="http://schemas.microsoft.com/office/drawing/2014/main" id="{20B5A0CB-E676-4EF0-BAFB-BA8A2056F001}"/>
            </a:ext>
          </a:extLst>
        </xdr:cNvPr>
        <xdr:cNvPicPr>
          <a:picLocks noChangeAspect="1"/>
        </xdr:cNvPicPr>
      </xdr:nvPicPr>
      <xdr:blipFill>
        <a:blip xmlns:r="http://schemas.openxmlformats.org/officeDocument/2006/relationships" r:embed="rId1" cstate="print">
          <a:biLevel thresh="25000"/>
          <a:extLst>
            <a:ext uri="{28A0092B-C50C-407E-A947-70E740481C1C}">
              <a14:useLocalDpi xmlns:a14="http://schemas.microsoft.com/office/drawing/2010/main" val="0"/>
            </a:ext>
          </a:extLst>
        </a:blip>
        <a:stretch>
          <a:fillRect/>
        </a:stretch>
      </xdr:blipFill>
      <xdr:spPr>
        <a:xfrm>
          <a:off x="3478696" y="0"/>
          <a:ext cx="695739" cy="52180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37</xdr:col>
      <xdr:colOff>179733</xdr:colOff>
      <xdr:row>14</xdr:row>
      <xdr:rowOff>156956</xdr:rowOff>
    </xdr:from>
    <xdr:to>
      <xdr:col>40</xdr:col>
      <xdr:colOff>155299</xdr:colOff>
      <xdr:row>16</xdr:row>
      <xdr:rowOff>96078</xdr:rowOff>
    </xdr:to>
    <xdr:sp macro="" textlink="">
      <xdr:nvSpPr>
        <xdr:cNvPr id="2" name="円/楕円 3">
          <a:extLst>
            <a:ext uri="{FF2B5EF4-FFF2-40B4-BE49-F238E27FC236}">
              <a16:creationId xmlns:a16="http://schemas.microsoft.com/office/drawing/2014/main" id="{2A842266-8EA6-4A43-9FE0-E84EBCAEA6DA}"/>
            </a:ext>
          </a:extLst>
        </xdr:cNvPr>
        <xdr:cNvSpPr/>
      </xdr:nvSpPr>
      <xdr:spPr>
        <a:xfrm>
          <a:off x="8114058" y="2404856"/>
          <a:ext cx="575641" cy="29154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37</xdr:col>
      <xdr:colOff>49697</xdr:colOff>
      <xdr:row>12</xdr:row>
      <xdr:rowOff>99392</xdr:rowOff>
    </xdr:from>
    <xdr:to>
      <xdr:col>40</xdr:col>
      <xdr:colOff>33131</xdr:colOff>
      <xdr:row>13</xdr:row>
      <xdr:rowOff>149088</xdr:rowOff>
    </xdr:to>
    <xdr:sp macro="" textlink="">
      <xdr:nvSpPr>
        <xdr:cNvPr id="3" name="円/楕円 2">
          <a:extLst>
            <a:ext uri="{FF2B5EF4-FFF2-40B4-BE49-F238E27FC236}">
              <a16:creationId xmlns:a16="http://schemas.microsoft.com/office/drawing/2014/main" id="{01AF4D4E-EA07-4290-81CF-47CDCF2A0491}"/>
            </a:ext>
          </a:extLst>
        </xdr:cNvPr>
        <xdr:cNvSpPr/>
      </xdr:nvSpPr>
      <xdr:spPr>
        <a:xfrm>
          <a:off x="8083827" y="1996109"/>
          <a:ext cx="579782" cy="240196"/>
        </a:xfrm>
        <a:prstGeom prst="ellipse">
          <a:avLst/>
        </a:prstGeom>
        <a:solidFill>
          <a:schemeClr val="tx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editAs="oneCell">
    <xdr:from>
      <xdr:col>17</xdr:col>
      <xdr:colOff>0</xdr:colOff>
      <xdr:row>0</xdr:row>
      <xdr:rowOff>0</xdr:rowOff>
    </xdr:from>
    <xdr:to>
      <xdr:col>20</xdr:col>
      <xdr:colOff>0</xdr:colOff>
      <xdr:row>3</xdr:row>
      <xdr:rowOff>24847</xdr:rowOff>
    </xdr:to>
    <xdr:pic>
      <xdr:nvPicPr>
        <xdr:cNvPr id="4" name="図 3">
          <a:extLst>
            <a:ext uri="{FF2B5EF4-FFF2-40B4-BE49-F238E27FC236}">
              <a16:creationId xmlns:a16="http://schemas.microsoft.com/office/drawing/2014/main" id="{2DFA754D-3546-4E2E-A877-26F1E3215F94}"/>
            </a:ext>
          </a:extLst>
        </xdr:cNvPr>
        <xdr:cNvPicPr>
          <a:picLocks noChangeAspect="1"/>
        </xdr:cNvPicPr>
      </xdr:nvPicPr>
      <xdr:blipFill>
        <a:blip xmlns:r="http://schemas.openxmlformats.org/officeDocument/2006/relationships" r:embed="rId1" cstate="print">
          <a:biLevel thresh="25000"/>
          <a:extLst>
            <a:ext uri="{28A0092B-C50C-407E-A947-70E740481C1C}">
              <a14:useLocalDpi xmlns:a14="http://schemas.microsoft.com/office/drawing/2010/main" val="0"/>
            </a:ext>
          </a:extLst>
        </a:blip>
        <a:stretch>
          <a:fillRect/>
        </a:stretch>
      </xdr:blipFill>
      <xdr:spPr>
        <a:xfrm>
          <a:off x="3478696" y="0"/>
          <a:ext cx="695739" cy="52180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ersonal%20Data\My%20Documents\soccer\&#9733;&#22996;&#21729;&#38263;\01&#20013;&#20307;&#36899;\03&#21271;&#20449;&#36234;\2013&#21271;&#20449;&#36234;&#21508;&#31278;&#20966;&#29702;&#12501;&#12449;&#12452;&#12523;new.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Personal%20Data\My%20Documents\soccer\&#9733;&#22996;&#21729;&#38263;\01&#20013;&#20307;&#36899;\03&#21271;&#20449;&#36234;\2013&#21271;&#20449;&#36234;&#21508;&#31278;&#20966;&#29702;&#12501;&#12449;&#12452;&#12523;ne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裏"/>
      <sheetName val="新潟"/>
      <sheetName val="福井"/>
      <sheetName val="富山"/>
      <sheetName val="長野"/>
      <sheetName val="石川"/>
      <sheetName val="くじ引き"/>
      <sheetName val="トーナメント"/>
      <sheetName val="歴代優勝校"/>
      <sheetName val="メンバー表"/>
      <sheetName val="あ1"/>
      <sheetName val="あ2"/>
      <sheetName val="い1"/>
      <sheetName val="い2"/>
      <sheetName val="う1"/>
      <sheetName val="う2"/>
      <sheetName val="う3"/>
      <sheetName val="準決勝A"/>
      <sheetName val="準決勝B"/>
      <sheetName val="決勝"/>
      <sheetName val="データ"/>
    </sheetNames>
    <sheetDataSet>
      <sheetData sheetId="0"/>
      <sheetData sheetId="1"/>
      <sheetData sheetId="2"/>
      <sheetData sheetId="3"/>
      <sheetData sheetId="4"/>
      <sheetData sheetId="5"/>
      <sheetData sheetId="6"/>
      <sheetData sheetId="7">
        <row r="8">
          <cell r="H8" t="str">
            <v>星稜</v>
          </cell>
        </row>
      </sheetData>
      <sheetData sheetId="8"/>
      <sheetData sheetId="9">
        <row r="1">
          <cell r="B1" t="str">
            <v>新潟県代表 県大会第１位</v>
          </cell>
          <cell r="C1">
            <v>0</v>
          </cell>
          <cell r="D1">
            <v>0</v>
          </cell>
          <cell r="E1">
            <v>0</v>
          </cell>
          <cell r="F1">
            <v>0</v>
          </cell>
          <cell r="G1">
            <v>0</v>
          </cell>
          <cell r="H1">
            <v>0</v>
          </cell>
          <cell r="I1">
            <v>0</v>
          </cell>
          <cell r="L1" t="str">
            <v>新潟県代表 県大会第２位</v>
          </cell>
          <cell r="M1">
            <v>0</v>
          </cell>
          <cell r="N1">
            <v>0</v>
          </cell>
          <cell r="O1">
            <v>0</v>
          </cell>
          <cell r="P1">
            <v>0</v>
          </cell>
          <cell r="Q1">
            <v>0</v>
          </cell>
          <cell r="R1">
            <v>0</v>
          </cell>
          <cell r="S1">
            <v>0</v>
          </cell>
          <cell r="U1">
            <v>0</v>
          </cell>
          <cell r="V1">
            <v>0</v>
          </cell>
          <cell r="W1">
            <v>0</v>
          </cell>
          <cell r="X1">
            <v>0</v>
          </cell>
          <cell r="Y1">
            <v>0</v>
          </cell>
          <cell r="Z1">
            <v>0</v>
          </cell>
          <cell r="AA1">
            <v>0</v>
          </cell>
          <cell r="AB1">
            <v>0</v>
          </cell>
          <cell r="AC1">
            <v>0</v>
          </cell>
        </row>
        <row r="2">
          <cell r="B2" t="str">
            <v>新潟市立南浜中学校</v>
          </cell>
          <cell r="C2">
            <v>0</v>
          </cell>
          <cell r="D2">
            <v>0</v>
          </cell>
          <cell r="E2">
            <v>0</v>
          </cell>
          <cell r="F2">
            <v>0</v>
          </cell>
          <cell r="G2">
            <v>0</v>
          </cell>
          <cell r="H2">
            <v>0</v>
          </cell>
          <cell r="I2">
            <v>0</v>
          </cell>
          <cell r="L2" t="str">
            <v>新潟市立上山中学校</v>
          </cell>
          <cell r="M2">
            <v>0</v>
          </cell>
          <cell r="N2">
            <v>0</v>
          </cell>
          <cell r="O2">
            <v>0</v>
          </cell>
          <cell r="P2">
            <v>0</v>
          </cell>
          <cell r="Q2">
            <v>0</v>
          </cell>
          <cell r="R2">
            <v>0</v>
          </cell>
          <cell r="S2">
            <v>0</v>
          </cell>
          <cell r="U2">
            <v>0</v>
          </cell>
          <cell r="V2">
            <v>0</v>
          </cell>
          <cell r="W2">
            <v>0</v>
          </cell>
          <cell r="X2">
            <v>0</v>
          </cell>
          <cell r="Y2">
            <v>0</v>
          </cell>
          <cell r="Z2">
            <v>0</v>
          </cell>
          <cell r="AA2">
            <v>0</v>
          </cell>
          <cell r="AB2">
            <v>0</v>
          </cell>
          <cell r="AC2">
            <v>0</v>
          </cell>
        </row>
        <row r="3">
          <cell r="B3" t="str">
            <v>学校所在地</v>
          </cell>
          <cell r="C3">
            <v>0</v>
          </cell>
          <cell r="D3" t="str">
            <v>新潟県新潟市北区島見町３９６５</v>
          </cell>
          <cell r="E3">
            <v>0</v>
          </cell>
          <cell r="F3">
            <v>0</v>
          </cell>
          <cell r="G3">
            <v>0</v>
          </cell>
          <cell r="H3">
            <v>0</v>
          </cell>
          <cell r="I3">
            <v>0</v>
          </cell>
          <cell r="L3" t="str">
            <v>学校所在地</v>
          </cell>
          <cell r="M3">
            <v>0</v>
          </cell>
          <cell r="N3" t="str">
            <v>新潟県新潟市中央区女池上山5丁目1-13</v>
          </cell>
          <cell r="O3">
            <v>0</v>
          </cell>
          <cell r="P3">
            <v>0</v>
          </cell>
          <cell r="Q3">
            <v>0</v>
          </cell>
          <cell r="R3">
            <v>0</v>
          </cell>
          <cell r="S3">
            <v>0</v>
          </cell>
          <cell r="U3">
            <v>0</v>
          </cell>
          <cell r="V3">
            <v>0</v>
          </cell>
          <cell r="W3">
            <v>0</v>
          </cell>
          <cell r="X3">
            <v>0</v>
          </cell>
          <cell r="Y3">
            <v>0</v>
          </cell>
          <cell r="Z3">
            <v>0</v>
          </cell>
          <cell r="AA3">
            <v>0</v>
          </cell>
          <cell r="AB3">
            <v>0</v>
          </cell>
          <cell r="AC3">
            <v>0</v>
          </cell>
        </row>
        <row r="4">
          <cell r="B4" t="str">
            <v>監督</v>
          </cell>
          <cell r="C4">
            <v>0</v>
          </cell>
          <cell r="D4" t="str">
            <v>倉嶋 昭久</v>
          </cell>
          <cell r="E4">
            <v>0</v>
          </cell>
          <cell r="F4">
            <v>0</v>
          </cell>
          <cell r="G4">
            <v>0</v>
          </cell>
          <cell r="H4">
            <v>0</v>
          </cell>
          <cell r="I4">
            <v>0</v>
          </cell>
          <cell r="L4" t="str">
            <v>監督</v>
          </cell>
          <cell r="M4">
            <v>0</v>
          </cell>
          <cell r="N4" t="str">
            <v>田村 友教</v>
          </cell>
          <cell r="O4">
            <v>0</v>
          </cell>
          <cell r="P4">
            <v>0</v>
          </cell>
          <cell r="Q4">
            <v>0</v>
          </cell>
          <cell r="R4">
            <v>0</v>
          </cell>
          <cell r="S4">
            <v>0</v>
          </cell>
          <cell r="U4">
            <v>0</v>
          </cell>
          <cell r="V4">
            <v>0</v>
          </cell>
          <cell r="W4">
            <v>0</v>
          </cell>
          <cell r="X4">
            <v>0</v>
          </cell>
          <cell r="Y4">
            <v>0</v>
          </cell>
          <cell r="Z4">
            <v>0</v>
          </cell>
          <cell r="AA4">
            <v>0</v>
          </cell>
          <cell r="AB4">
            <v>0</v>
          </cell>
          <cell r="AC4">
            <v>0</v>
          </cell>
        </row>
        <row r="5">
          <cell r="B5" t="str">
            <v>コーチ</v>
          </cell>
          <cell r="C5">
            <v>0</v>
          </cell>
          <cell r="D5" t="str">
            <v>有田 拓也</v>
          </cell>
          <cell r="E5">
            <v>0</v>
          </cell>
          <cell r="F5">
            <v>0</v>
          </cell>
          <cell r="G5">
            <v>0</v>
          </cell>
          <cell r="H5" t="str">
            <v>(承認)</v>
          </cell>
          <cell r="I5">
            <v>0</v>
          </cell>
          <cell r="L5" t="str">
            <v>コーチ</v>
          </cell>
          <cell r="M5">
            <v>0</v>
          </cell>
          <cell r="N5" t="str">
            <v>伏見 広勝</v>
          </cell>
          <cell r="O5">
            <v>0</v>
          </cell>
          <cell r="P5">
            <v>0</v>
          </cell>
          <cell r="Q5">
            <v>0</v>
          </cell>
          <cell r="R5" t="str">
            <v>(承認)</v>
          </cell>
          <cell r="S5">
            <v>0</v>
          </cell>
          <cell r="U5">
            <v>0</v>
          </cell>
          <cell r="V5">
            <v>0</v>
          </cell>
          <cell r="W5">
            <v>0</v>
          </cell>
          <cell r="X5">
            <v>0</v>
          </cell>
          <cell r="Y5">
            <v>0</v>
          </cell>
          <cell r="Z5">
            <v>0</v>
          </cell>
          <cell r="AA5">
            <v>0</v>
          </cell>
          <cell r="AB5">
            <v>0</v>
          </cell>
          <cell r="AC5">
            <v>0</v>
          </cell>
        </row>
        <row r="6">
          <cell r="B6" t="str">
            <v>マネージャー</v>
          </cell>
          <cell r="C6">
            <v>0</v>
          </cell>
          <cell r="D6" t="str">
            <v>田邉 寿明</v>
          </cell>
          <cell r="E6">
            <v>0</v>
          </cell>
          <cell r="F6">
            <v>0</v>
          </cell>
          <cell r="G6">
            <v>0</v>
          </cell>
          <cell r="H6" t="str">
            <v>(生徒)</v>
          </cell>
          <cell r="I6">
            <v>0</v>
          </cell>
          <cell r="L6" t="str">
            <v>マネージャー</v>
          </cell>
          <cell r="M6">
            <v>0</v>
          </cell>
          <cell r="N6" t="str">
            <v>金塚 大輝</v>
          </cell>
          <cell r="O6">
            <v>0</v>
          </cell>
          <cell r="P6">
            <v>0</v>
          </cell>
          <cell r="Q6">
            <v>0</v>
          </cell>
          <cell r="R6" t="str">
            <v>(生徒)</v>
          </cell>
          <cell r="S6">
            <v>0</v>
          </cell>
          <cell r="U6">
            <v>0</v>
          </cell>
          <cell r="V6">
            <v>0</v>
          </cell>
          <cell r="W6">
            <v>0</v>
          </cell>
          <cell r="X6">
            <v>0</v>
          </cell>
          <cell r="Y6">
            <v>0</v>
          </cell>
          <cell r="Z6">
            <v>0</v>
          </cell>
          <cell r="AA6">
            <v>0</v>
          </cell>
          <cell r="AB6">
            <v>0</v>
          </cell>
          <cell r="AC6">
            <v>0</v>
          </cell>
        </row>
        <row r="7">
          <cell r="D7">
            <v>0</v>
          </cell>
          <cell r="E7">
            <v>0</v>
          </cell>
          <cell r="F7">
            <v>0</v>
          </cell>
          <cell r="G7">
            <v>0</v>
          </cell>
          <cell r="H7">
            <v>0</v>
          </cell>
          <cell r="I7">
            <v>0</v>
          </cell>
          <cell r="N7">
            <v>0</v>
          </cell>
          <cell r="O7">
            <v>0</v>
          </cell>
          <cell r="P7">
            <v>0</v>
          </cell>
          <cell r="Q7">
            <v>0</v>
          </cell>
          <cell r="R7">
            <v>0</v>
          </cell>
          <cell r="S7">
            <v>0</v>
          </cell>
          <cell r="U7">
            <v>0</v>
          </cell>
          <cell r="V7">
            <v>0</v>
          </cell>
          <cell r="W7">
            <v>0</v>
          </cell>
          <cell r="X7">
            <v>0</v>
          </cell>
          <cell r="Y7">
            <v>0</v>
          </cell>
          <cell r="Z7">
            <v>0</v>
          </cell>
          <cell r="AA7">
            <v>0</v>
          </cell>
          <cell r="AB7">
            <v>0</v>
          </cell>
          <cell r="AC7">
            <v>0</v>
          </cell>
        </row>
        <row r="8">
          <cell r="A8" t="str">
            <v>先発</v>
          </cell>
          <cell r="B8" t="str">
            <v>番号</v>
          </cell>
          <cell r="C8" t="str">
            <v>位置</v>
          </cell>
          <cell r="D8" t="str">
            <v>氏名</v>
          </cell>
          <cell r="E8">
            <v>0</v>
          </cell>
          <cell r="F8" t="str">
            <v>ふりがな</v>
          </cell>
          <cell r="G8">
            <v>0</v>
          </cell>
          <cell r="H8">
            <v>0</v>
          </cell>
          <cell r="I8" t="str">
            <v>学年</v>
          </cell>
          <cell r="K8" t="str">
            <v>先発</v>
          </cell>
          <cell r="L8" t="str">
            <v>番号</v>
          </cell>
          <cell r="M8" t="str">
            <v>位置</v>
          </cell>
          <cell r="N8" t="str">
            <v>氏名</v>
          </cell>
          <cell r="O8">
            <v>0</v>
          </cell>
          <cell r="P8" t="str">
            <v>ふりがな</v>
          </cell>
          <cell r="Q8">
            <v>0</v>
          </cell>
          <cell r="R8">
            <v>0</v>
          </cell>
          <cell r="S8" t="str">
            <v>学年</v>
          </cell>
          <cell r="U8">
            <v>0</v>
          </cell>
          <cell r="V8">
            <v>0</v>
          </cell>
          <cell r="W8">
            <v>0</v>
          </cell>
          <cell r="X8">
            <v>0</v>
          </cell>
          <cell r="Y8">
            <v>0</v>
          </cell>
          <cell r="Z8">
            <v>0</v>
          </cell>
          <cell r="AA8">
            <v>0</v>
          </cell>
          <cell r="AB8">
            <v>0</v>
          </cell>
          <cell r="AC8">
            <v>0</v>
          </cell>
        </row>
        <row r="9">
          <cell r="A9">
            <v>0</v>
          </cell>
          <cell r="B9">
            <v>1</v>
          </cell>
          <cell r="C9" t="str">
            <v>ＧＫ</v>
          </cell>
          <cell r="D9" t="str">
            <v>吉岡 陽平</v>
          </cell>
          <cell r="E9">
            <v>0</v>
          </cell>
          <cell r="F9" t="str">
            <v>よしおか ようへい</v>
          </cell>
          <cell r="G9">
            <v>0</v>
          </cell>
          <cell r="H9">
            <v>0</v>
          </cell>
          <cell r="I9">
            <v>3</v>
          </cell>
          <cell r="K9">
            <v>0</v>
          </cell>
          <cell r="L9">
            <v>1</v>
          </cell>
          <cell r="M9" t="str">
            <v>ＧＫ</v>
          </cell>
          <cell r="N9" t="str">
            <v>松本 宗一郎</v>
          </cell>
          <cell r="O9">
            <v>0</v>
          </cell>
          <cell r="P9" t="str">
            <v>まつもと そういちろう</v>
          </cell>
          <cell r="Q9">
            <v>0</v>
          </cell>
          <cell r="R9">
            <v>0</v>
          </cell>
          <cell r="S9">
            <v>3</v>
          </cell>
          <cell r="U9">
            <v>0</v>
          </cell>
          <cell r="V9">
            <v>0</v>
          </cell>
          <cell r="W9">
            <v>0</v>
          </cell>
          <cell r="X9">
            <v>0</v>
          </cell>
          <cell r="Y9">
            <v>0</v>
          </cell>
          <cell r="Z9">
            <v>0</v>
          </cell>
          <cell r="AA9">
            <v>0</v>
          </cell>
          <cell r="AB9">
            <v>0</v>
          </cell>
          <cell r="AC9">
            <v>0</v>
          </cell>
        </row>
        <row r="10">
          <cell r="A10">
            <v>0</v>
          </cell>
          <cell r="B10">
            <v>2</v>
          </cell>
          <cell r="C10" t="str">
            <v>ＤＦ</v>
          </cell>
          <cell r="D10" t="str">
            <v>此村 隼人</v>
          </cell>
          <cell r="E10">
            <v>0</v>
          </cell>
          <cell r="F10" t="str">
            <v>このむら はやと</v>
          </cell>
          <cell r="G10">
            <v>0</v>
          </cell>
          <cell r="H10">
            <v>0</v>
          </cell>
          <cell r="I10">
            <v>3</v>
          </cell>
          <cell r="K10">
            <v>0</v>
          </cell>
          <cell r="L10">
            <v>2</v>
          </cell>
          <cell r="M10" t="str">
            <v>ＤＦ</v>
          </cell>
          <cell r="N10" t="str">
            <v>櫛谷 千尋</v>
          </cell>
          <cell r="O10">
            <v>0</v>
          </cell>
          <cell r="P10" t="str">
            <v>くしや ちひろ</v>
          </cell>
          <cell r="Q10">
            <v>0</v>
          </cell>
          <cell r="R10">
            <v>0</v>
          </cell>
          <cell r="S10">
            <v>3</v>
          </cell>
          <cell r="U10">
            <v>0</v>
          </cell>
          <cell r="V10">
            <v>0</v>
          </cell>
          <cell r="W10">
            <v>0</v>
          </cell>
          <cell r="X10">
            <v>0</v>
          </cell>
          <cell r="Y10">
            <v>0</v>
          </cell>
          <cell r="Z10">
            <v>0</v>
          </cell>
          <cell r="AA10">
            <v>0</v>
          </cell>
          <cell r="AB10">
            <v>0</v>
          </cell>
          <cell r="AC10">
            <v>0</v>
          </cell>
        </row>
        <row r="11">
          <cell r="A11">
            <v>0</v>
          </cell>
          <cell r="B11">
            <v>3</v>
          </cell>
          <cell r="C11" t="str">
            <v>ＤＦ</v>
          </cell>
          <cell r="D11" t="str">
            <v>中村 達哉</v>
          </cell>
          <cell r="E11">
            <v>0</v>
          </cell>
          <cell r="F11" t="str">
            <v>なかむら たつや</v>
          </cell>
          <cell r="G11">
            <v>0</v>
          </cell>
          <cell r="H11">
            <v>0</v>
          </cell>
          <cell r="I11">
            <v>2</v>
          </cell>
          <cell r="K11">
            <v>0</v>
          </cell>
          <cell r="L11">
            <v>3</v>
          </cell>
          <cell r="M11" t="str">
            <v>ＤＦ</v>
          </cell>
          <cell r="N11" t="str">
            <v>井之川 就祐</v>
          </cell>
          <cell r="O11">
            <v>0</v>
          </cell>
          <cell r="P11" t="str">
            <v>いのかわ しゅうすけ</v>
          </cell>
          <cell r="Q11">
            <v>0</v>
          </cell>
          <cell r="R11">
            <v>0</v>
          </cell>
          <cell r="S11">
            <v>3</v>
          </cell>
          <cell r="U11">
            <v>0</v>
          </cell>
          <cell r="V11">
            <v>0</v>
          </cell>
          <cell r="W11">
            <v>0</v>
          </cell>
          <cell r="X11">
            <v>0</v>
          </cell>
          <cell r="Y11">
            <v>0</v>
          </cell>
          <cell r="Z11">
            <v>0</v>
          </cell>
          <cell r="AA11">
            <v>0</v>
          </cell>
          <cell r="AB11">
            <v>0</v>
          </cell>
          <cell r="AC11">
            <v>0</v>
          </cell>
        </row>
        <row r="12">
          <cell r="A12">
            <v>0</v>
          </cell>
          <cell r="B12">
            <v>4</v>
          </cell>
          <cell r="C12" t="str">
            <v>ＤＦ</v>
          </cell>
          <cell r="D12" t="str">
            <v>川島 皇輝</v>
          </cell>
          <cell r="E12">
            <v>0</v>
          </cell>
          <cell r="F12" t="str">
            <v>かわしま たかき</v>
          </cell>
          <cell r="G12">
            <v>0</v>
          </cell>
          <cell r="H12">
            <v>0</v>
          </cell>
          <cell r="I12">
            <v>3</v>
          </cell>
          <cell r="K12">
            <v>0</v>
          </cell>
          <cell r="L12">
            <v>4</v>
          </cell>
          <cell r="M12" t="str">
            <v>ＤＦ</v>
          </cell>
          <cell r="N12" t="str">
            <v>山田 泰斗</v>
          </cell>
          <cell r="O12">
            <v>0</v>
          </cell>
          <cell r="P12" t="str">
            <v>やまだ たいと</v>
          </cell>
          <cell r="Q12">
            <v>0</v>
          </cell>
          <cell r="R12">
            <v>0</v>
          </cell>
          <cell r="S12">
            <v>3</v>
          </cell>
          <cell r="U12">
            <v>0</v>
          </cell>
          <cell r="V12">
            <v>0</v>
          </cell>
          <cell r="W12">
            <v>0</v>
          </cell>
          <cell r="X12">
            <v>0</v>
          </cell>
          <cell r="Y12">
            <v>0</v>
          </cell>
          <cell r="Z12">
            <v>0</v>
          </cell>
          <cell r="AA12">
            <v>0</v>
          </cell>
          <cell r="AB12">
            <v>0</v>
          </cell>
          <cell r="AC12">
            <v>0</v>
          </cell>
        </row>
        <row r="13">
          <cell r="A13">
            <v>0</v>
          </cell>
          <cell r="B13">
            <v>5</v>
          </cell>
          <cell r="C13" t="str">
            <v>ＤＦ</v>
          </cell>
          <cell r="D13" t="str">
            <v>山吉 陵平</v>
          </cell>
          <cell r="E13">
            <v>0</v>
          </cell>
          <cell r="F13" t="str">
            <v>やまよし りょうへい</v>
          </cell>
          <cell r="G13">
            <v>0</v>
          </cell>
          <cell r="H13">
            <v>0</v>
          </cell>
          <cell r="I13">
            <v>3</v>
          </cell>
          <cell r="K13">
            <v>0</v>
          </cell>
          <cell r="L13">
            <v>5</v>
          </cell>
          <cell r="M13" t="str">
            <v>ＭＦ</v>
          </cell>
          <cell r="N13" t="str">
            <v>小泉 龍生</v>
          </cell>
          <cell r="O13">
            <v>0</v>
          </cell>
          <cell r="P13" t="str">
            <v>こいずみ りゅうせい</v>
          </cell>
          <cell r="Q13">
            <v>0</v>
          </cell>
          <cell r="R13">
            <v>0</v>
          </cell>
          <cell r="S13">
            <v>3</v>
          </cell>
          <cell r="U13">
            <v>0</v>
          </cell>
          <cell r="V13">
            <v>0</v>
          </cell>
          <cell r="W13">
            <v>0</v>
          </cell>
          <cell r="X13">
            <v>0</v>
          </cell>
          <cell r="Y13">
            <v>0</v>
          </cell>
          <cell r="Z13">
            <v>0</v>
          </cell>
          <cell r="AA13">
            <v>0</v>
          </cell>
          <cell r="AB13">
            <v>0</v>
          </cell>
          <cell r="AC13">
            <v>0</v>
          </cell>
        </row>
        <row r="14">
          <cell r="A14">
            <v>0</v>
          </cell>
          <cell r="B14">
            <v>6</v>
          </cell>
          <cell r="C14" t="str">
            <v>ＭＦ</v>
          </cell>
          <cell r="D14" t="str">
            <v>田原 敏幸</v>
          </cell>
          <cell r="E14">
            <v>0</v>
          </cell>
          <cell r="F14" t="str">
            <v>たはら としゆき</v>
          </cell>
          <cell r="G14">
            <v>0</v>
          </cell>
          <cell r="H14">
            <v>0</v>
          </cell>
          <cell r="I14">
            <v>2</v>
          </cell>
          <cell r="K14">
            <v>0</v>
          </cell>
          <cell r="L14">
            <v>6</v>
          </cell>
          <cell r="M14" t="str">
            <v>ＭＦ</v>
          </cell>
          <cell r="N14" t="str">
            <v>吉原 末泰</v>
          </cell>
          <cell r="O14">
            <v>0</v>
          </cell>
          <cell r="P14" t="str">
            <v>よしはら まひろ</v>
          </cell>
          <cell r="Q14">
            <v>0</v>
          </cell>
          <cell r="R14">
            <v>0</v>
          </cell>
          <cell r="S14">
            <v>2</v>
          </cell>
          <cell r="U14">
            <v>0</v>
          </cell>
          <cell r="V14">
            <v>0</v>
          </cell>
          <cell r="W14">
            <v>0</v>
          </cell>
          <cell r="X14">
            <v>0</v>
          </cell>
          <cell r="Y14">
            <v>0</v>
          </cell>
          <cell r="Z14">
            <v>0</v>
          </cell>
          <cell r="AA14">
            <v>0</v>
          </cell>
          <cell r="AB14">
            <v>0</v>
          </cell>
          <cell r="AC14">
            <v>0</v>
          </cell>
        </row>
        <row r="15">
          <cell r="A15">
            <v>0</v>
          </cell>
          <cell r="B15">
            <v>7</v>
          </cell>
          <cell r="C15" t="str">
            <v>ＭＦ</v>
          </cell>
          <cell r="D15" t="str">
            <v>山口 海斗</v>
          </cell>
          <cell r="E15">
            <v>0</v>
          </cell>
          <cell r="F15" t="str">
            <v>やまぐち かいと</v>
          </cell>
          <cell r="G15">
            <v>0</v>
          </cell>
          <cell r="H15">
            <v>0</v>
          </cell>
          <cell r="I15">
            <v>3</v>
          </cell>
          <cell r="K15">
            <v>0</v>
          </cell>
          <cell r="L15">
            <v>7</v>
          </cell>
          <cell r="M15" t="str">
            <v>ＭＦ</v>
          </cell>
          <cell r="N15" t="str">
            <v>小山 佑真</v>
          </cell>
          <cell r="O15">
            <v>0</v>
          </cell>
          <cell r="P15" t="str">
            <v>こやま ゆうま</v>
          </cell>
          <cell r="Q15">
            <v>0</v>
          </cell>
          <cell r="R15">
            <v>0</v>
          </cell>
          <cell r="S15">
            <v>3</v>
          </cell>
          <cell r="U15">
            <v>0</v>
          </cell>
          <cell r="V15">
            <v>0</v>
          </cell>
          <cell r="W15">
            <v>0</v>
          </cell>
          <cell r="X15">
            <v>0</v>
          </cell>
          <cell r="Y15">
            <v>0</v>
          </cell>
          <cell r="Z15">
            <v>0</v>
          </cell>
          <cell r="AA15">
            <v>0</v>
          </cell>
          <cell r="AB15">
            <v>0</v>
          </cell>
          <cell r="AC15">
            <v>0</v>
          </cell>
        </row>
        <row r="16">
          <cell r="A16">
            <v>0</v>
          </cell>
          <cell r="B16">
            <v>8</v>
          </cell>
          <cell r="C16" t="str">
            <v>ＭＦ</v>
          </cell>
          <cell r="D16" t="str">
            <v>神田 陸斗</v>
          </cell>
          <cell r="E16">
            <v>0</v>
          </cell>
          <cell r="F16" t="str">
            <v>かんだ りくと</v>
          </cell>
          <cell r="G16">
            <v>0</v>
          </cell>
          <cell r="H16">
            <v>0</v>
          </cell>
          <cell r="I16">
            <v>1</v>
          </cell>
          <cell r="K16">
            <v>0</v>
          </cell>
          <cell r="L16">
            <v>8</v>
          </cell>
          <cell r="M16" t="str">
            <v>ＭＦ</v>
          </cell>
          <cell r="N16" t="str">
            <v>吉田 元樹</v>
          </cell>
          <cell r="O16">
            <v>0</v>
          </cell>
          <cell r="P16" t="str">
            <v>よしだ もとき</v>
          </cell>
          <cell r="Q16">
            <v>0</v>
          </cell>
          <cell r="R16">
            <v>0</v>
          </cell>
          <cell r="S16">
            <v>2</v>
          </cell>
          <cell r="U16">
            <v>0</v>
          </cell>
          <cell r="V16">
            <v>0</v>
          </cell>
          <cell r="W16">
            <v>0</v>
          </cell>
          <cell r="X16">
            <v>0</v>
          </cell>
          <cell r="Y16">
            <v>0</v>
          </cell>
          <cell r="Z16">
            <v>0</v>
          </cell>
          <cell r="AA16">
            <v>0</v>
          </cell>
          <cell r="AB16">
            <v>0</v>
          </cell>
          <cell r="AC16">
            <v>0</v>
          </cell>
        </row>
        <row r="17">
          <cell r="A17">
            <v>0</v>
          </cell>
          <cell r="B17">
            <v>9</v>
          </cell>
          <cell r="C17" t="str">
            <v>ＦＷ</v>
          </cell>
          <cell r="D17" t="str">
            <v>川島 遼士</v>
          </cell>
          <cell r="E17">
            <v>0</v>
          </cell>
          <cell r="F17" t="str">
            <v>かわしま りょうじ</v>
          </cell>
          <cell r="G17">
            <v>0</v>
          </cell>
          <cell r="H17">
            <v>0</v>
          </cell>
          <cell r="I17">
            <v>3</v>
          </cell>
          <cell r="K17">
            <v>0</v>
          </cell>
          <cell r="L17">
            <v>9</v>
          </cell>
          <cell r="M17" t="str">
            <v>ＦＷ</v>
          </cell>
          <cell r="N17" t="str">
            <v>入山 慶斗</v>
          </cell>
          <cell r="O17">
            <v>0</v>
          </cell>
          <cell r="P17" t="str">
            <v>いりやま けいと</v>
          </cell>
          <cell r="Q17">
            <v>0</v>
          </cell>
          <cell r="R17">
            <v>0</v>
          </cell>
          <cell r="S17">
            <v>2</v>
          </cell>
          <cell r="U17">
            <v>0</v>
          </cell>
          <cell r="V17">
            <v>0</v>
          </cell>
          <cell r="W17">
            <v>0</v>
          </cell>
          <cell r="X17">
            <v>0</v>
          </cell>
          <cell r="Y17">
            <v>0</v>
          </cell>
          <cell r="Z17">
            <v>0</v>
          </cell>
          <cell r="AA17">
            <v>0</v>
          </cell>
          <cell r="AB17">
            <v>0</v>
          </cell>
          <cell r="AC17">
            <v>0</v>
          </cell>
        </row>
        <row r="18">
          <cell r="A18">
            <v>0</v>
          </cell>
          <cell r="B18">
            <v>10</v>
          </cell>
          <cell r="C18" t="str">
            <v>ＦＷ</v>
          </cell>
          <cell r="D18" t="str">
            <v>土佐 廉</v>
          </cell>
          <cell r="E18">
            <v>0</v>
          </cell>
          <cell r="F18" t="str">
            <v>とさ れん</v>
          </cell>
          <cell r="G18">
            <v>0</v>
          </cell>
          <cell r="H18">
            <v>0</v>
          </cell>
          <cell r="I18">
            <v>3</v>
          </cell>
          <cell r="K18">
            <v>0</v>
          </cell>
          <cell r="L18">
            <v>10</v>
          </cell>
          <cell r="M18" t="str">
            <v>ＦＷ</v>
          </cell>
          <cell r="N18" t="str">
            <v>池之上 悠希</v>
          </cell>
          <cell r="O18">
            <v>0</v>
          </cell>
          <cell r="P18" t="str">
            <v>いけのうえ ゆうき</v>
          </cell>
          <cell r="Q18">
            <v>0</v>
          </cell>
          <cell r="R18">
            <v>0</v>
          </cell>
          <cell r="S18">
            <v>3</v>
          </cell>
          <cell r="U18">
            <v>0</v>
          </cell>
          <cell r="V18">
            <v>0</v>
          </cell>
          <cell r="W18">
            <v>0</v>
          </cell>
          <cell r="X18">
            <v>0</v>
          </cell>
          <cell r="Y18">
            <v>0</v>
          </cell>
          <cell r="Z18">
            <v>0</v>
          </cell>
          <cell r="AA18">
            <v>0</v>
          </cell>
          <cell r="AB18">
            <v>0</v>
          </cell>
          <cell r="AC18">
            <v>0</v>
          </cell>
        </row>
        <row r="19">
          <cell r="A19">
            <v>0</v>
          </cell>
          <cell r="B19">
            <v>11</v>
          </cell>
          <cell r="C19" t="str">
            <v>ＭＦ</v>
          </cell>
          <cell r="D19" t="str">
            <v>石黒 佑貴</v>
          </cell>
          <cell r="E19">
            <v>0</v>
          </cell>
          <cell r="F19" t="str">
            <v>いしぐろ ゆうき</v>
          </cell>
          <cell r="G19">
            <v>0</v>
          </cell>
          <cell r="H19">
            <v>0</v>
          </cell>
          <cell r="I19">
            <v>2</v>
          </cell>
          <cell r="K19">
            <v>0</v>
          </cell>
          <cell r="L19">
            <v>11</v>
          </cell>
          <cell r="M19" t="str">
            <v>ＦＷ</v>
          </cell>
          <cell r="N19" t="str">
            <v>風間 稜太</v>
          </cell>
          <cell r="O19">
            <v>0</v>
          </cell>
          <cell r="P19" t="str">
            <v>かざま りょうた</v>
          </cell>
          <cell r="Q19">
            <v>0</v>
          </cell>
          <cell r="R19">
            <v>0</v>
          </cell>
          <cell r="S19">
            <v>3</v>
          </cell>
          <cell r="U19">
            <v>0</v>
          </cell>
          <cell r="V19">
            <v>0</v>
          </cell>
          <cell r="W19">
            <v>0</v>
          </cell>
          <cell r="X19">
            <v>0</v>
          </cell>
          <cell r="Y19">
            <v>0</v>
          </cell>
          <cell r="Z19">
            <v>0</v>
          </cell>
          <cell r="AA19">
            <v>0</v>
          </cell>
          <cell r="AB19">
            <v>0</v>
          </cell>
          <cell r="AC19">
            <v>0</v>
          </cell>
        </row>
        <row r="20">
          <cell r="A20">
            <v>0</v>
          </cell>
          <cell r="B20">
            <v>12</v>
          </cell>
          <cell r="C20" t="str">
            <v>ＭＦ</v>
          </cell>
          <cell r="D20" t="str">
            <v>服部 晧平</v>
          </cell>
          <cell r="E20">
            <v>0</v>
          </cell>
          <cell r="F20" t="str">
            <v>はっとり こうへい</v>
          </cell>
          <cell r="G20">
            <v>0</v>
          </cell>
          <cell r="H20">
            <v>0</v>
          </cell>
          <cell r="I20">
            <v>3</v>
          </cell>
          <cell r="K20">
            <v>0</v>
          </cell>
          <cell r="L20">
            <v>12</v>
          </cell>
          <cell r="M20" t="str">
            <v>ＤＦ</v>
          </cell>
          <cell r="N20" t="str">
            <v>伊藤 大智</v>
          </cell>
          <cell r="O20">
            <v>0</v>
          </cell>
          <cell r="P20" t="str">
            <v>いとう だいち</v>
          </cell>
          <cell r="Q20">
            <v>0</v>
          </cell>
          <cell r="R20">
            <v>0</v>
          </cell>
          <cell r="S20">
            <v>3</v>
          </cell>
          <cell r="U20">
            <v>0</v>
          </cell>
          <cell r="V20">
            <v>0</v>
          </cell>
          <cell r="W20">
            <v>0</v>
          </cell>
          <cell r="X20">
            <v>0</v>
          </cell>
          <cell r="Y20">
            <v>0</v>
          </cell>
          <cell r="Z20">
            <v>0</v>
          </cell>
          <cell r="AA20">
            <v>0</v>
          </cell>
          <cell r="AB20">
            <v>0</v>
          </cell>
          <cell r="AC20">
            <v>0</v>
          </cell>
        </row>
        <row r="21">
          <cell r="A21">
            <v>0</v>
          </cell>
          <cell r="B21">
            <v>13</v>
          </cell>
          <cell r="C21" t="str">
            <v>ＭＦ</v>
          </cell>
          <cell r="D21" t="str">
            <v>有田 天</v>
          </cell>
          <cell r="E21">
            <v>0</v>
          </cell>
          <cell r="F21" t="str">
            <v>ありた たか</v>
          </cell>
          <cell r="G21">
            <v>0</v>
          </cell>
          <cell r="H21">
            <v>0</v>
          </cell>
          <cell r="I21">
            <v>3</v>
          </cell>
          <cell r="K21">
            <v>0</v>
          </cell>
          <cell r="L21">
            <v>13</v>
          </cell>
          <cell r="M21" t="str">
            <v>ＭＦ</v>
          </cell>
          <cell r="N21" t="str">
            <v>秋原 優樹</v>
          </cell>
          <cell r="O21">
            <v>0</v>
          </cell>
          <cell r="P21" t="str">
            <v>あきはら ゆうき</v>
          </cell>
          <cell r="Q21">
            <v>0</v>
          </cell>
          <cell r="R21">
            <v>0</v>
          </cell>
          <cell r="S21">
            <v>3</v>
          </cell>
          <cell r="U21">
            <v>0</v>
          </cell>
          <cell r="V21">
            <v>0</v>
          </cell>
          <cell r="W21">
            <v>0</v>
          </cell>
          <cell r="X21">
            <v>0</v>
          </cell>
          <cell r="Y21">
            <v>0</v>
          </cell>
          <cell r="Z21">
            <v>0</v>
          </cell>
          <cell r="AA21">
            <v>0</v>
          </cell>
          <cell r="AB21">
            <v>0</v>
          </cell>
          <cell r="AC21">
            <v>0</v>
          </cell>
        </row>
        <row r="22">
          <cell r="A22">
            <v>0</v>
          </cell>
          <cell r="B22">
            <v>14</v>
          </cell>
          <cell r="C22" t="str">
            <v>ＤＦ</v>
          </cell>
          <cell r="D22" t="str">
            <v>齋藤 登</v>
          </cell>
          <cell r="E22">
            <v>0</v>
          </cell>
          <cell r="F22" t="str">
            <v>さいとう のぼる</v>
          </cell>
          <cell r="G22">
            <v>0</v>
          </cell>
          <cell r="H22">
            <v>0</v>
          </cell>
          <cell r="I22">
            <v>3</v>
          </cell>
          <cell r="K22">
            <v>0</v>
          </cell>
          <cell r="L22">
            <v>14</v>
          </cell>
          <cell r="M22" t="str">
            <v>DF</v>
          </cell>
          <cell r="N22" t="str">
            <v>久我 裕</v>
          </cell>
          <cell r="O22">
            <v>0</v>
          </cell>
          <cell r="P22" t="str">
            <v>くが ゆう</v>
          </cell>
          <cell r="Q22">
            <v>0</v>
          </cell>
          <cell r="R22">
            <v>0</v>
          </cell>
          <cell r="S22">
            <v>2</v>
          </cell>
          <cell r="U22">
            <v>0</v>
          </cell>
          <cell r="V22">
            <v>0</v>
          </cell>
          <cell r="W22">
            <v>0</v>
          </cell>
          <cell r="X22">
            <v>0</v>
          </cell>
          <cell r="Y22">
            <v>0</v>
          </cell>
          <cell r="Z22">
            <v>0</v>
          </cell>
          <cell r="AA22">
            <v>0</v>
          </cell>
          <cell r="AB22">
            <v>0</v>
          </cell>
          <cell r="AC22">
            <v>0</v>
          </cell>
        </row>
        <row r="23">
          <cell r="A23">
            <v>0</v>
          </cell>
          <cell r="B23">
            <v>15</v>
          </cell>
          <cell r="C23" t="str">
            <v>ＧＫ</v>
          </cell>
          <cell r="D23" t="str">
            <v>神田 怜央</v>
          </cell>
          <cell r="E23">
            <v>0</v>
          </cell>
          <cell r="F23" t="str">
            <v>かんだ れお</v>
          </cell>
          <cell r="G23">
            <v>0</v>
          </cell>
          <cell r="H23">
            <v>0</v>
          </cell>
          <cell r="I23">
            <v>2</v>
          </cell>
          <cell r="K23">
            <v>0</v>
          </cell>
          <cell r="L23">
            <v>15</v>
          </cell>
          <cell r="M23" t="str">
            <v>ＧＫ</v>
          </cell>
          <cell r="N23" t="str">
            <v>阿部 敏季</v>
          </cell>
          <cell r="O23">
            <v>0</v>
          </cell>
          <cell r="P23" t="str">
            <v>あべ としき</v>
          </cell>
          <cell r="Q23">
            <v>0</v>
          </cell>
          <cell r="R23">
            <v>0</v>
          </cell>
          <cell r="S23">
            <v>2</v>
          </cell>
          <cell r="U23">
            <v>0</v>
          </cell>
          <cell r="V23">
            <v>0</v>
          </cell>
          <cell r="W23">
            <v>0</v>
          </cell>
          <cell r="X23">
            <v>0</v>
          </cell>
          <cell r="Y23">
            <v>0</v>
          </cell>
          <cell r="Z23">
            <v>0</v>
          </cell>
          <cell r="AA23">
            <v>0</v>
          </cell>
          <cell r="AB23">
            <v>0</v>
          </cell>
          <cell r="AC23">
            <v>0</v>
          </cell>
        </row>
        <row r="24">
          <cell r="A24">
            <v>0</v>
          </cell>
          <cell r="B24">
            <v>16</v>
          </cell>
          <cell r="C24" t="str">
            <v>ＭＦ</v>
          </cell>
          <cell r="D24" t="str">
            <v>神田 彩樹</v>
          </cell>
          <cell r="E24">
            <v>0</v>
          </cell>
          <cell r="F24" t="str">
            <v>かんだ さいき</v>
          </cell>
          <cell r="G24">
            <v>0</v>
          </cell>
          <cell r="H24">
            <v>0</v>
          </cell>
          <cell r="I24">
            <v>3</v>
          </cell>
          <cell r="K24">
            <v>0</v>
          </cell>
          <cell r="L24">
            <v>16</v>
          </cell>
          <cell r="M24" t="str">
            <v>ＭＦ</v>
          </cell>
          <cell r="N24" t="str">
            <v>遠藤 翼</v>
          </cell>
          <cell r="O24">
            <v>0</v>
          </cell>
          <cell r="P24" t="str">
            <v>えんどう つばさ</v>
          </cell>
          <cell r="Q24">
            <v>0</v>
          </cell>
          <cell r="R24">
            <v>0</v>
          </cell>
          <cell r="S24">
            <v>3</v>
          </cell>
          <cell r="U24">
            <v>0</v>
          </cell>
          <cell r="V24">
            <v>0</v>
          </cell>
          <cell r="W24">
            <v>0</v>
          </cell>
          <cell r="X24">
            <v>0</v>
          </cell>
          <cell r="Y24">
            <v>0</v>
          </cell>
          <cell r="Z24">
            <v>0</v>
          </cell>
          <cell r="AA24">
            <v>0</v>
          </cell>
          <cell r="AB24">
            <v>0</v>
          </cell>
          <cell r="AC24">
            <v>0</v>
          </cell>
        </row>
        <row r="25">
          <cell r="A25">
            <v>0</v>
          </cell>
          <cell r="B25">
            <v>17</v>
          </cell>
          <cell r="C25" t="str">
            <v>ＦＷ</v>
          </cell>
          <cell r="D25" t="str">
            <v>石黒 慎太朗</v>
          </cell>
          <cell r="E25">
            <v>0</v>
          </cell>
          <cell r="F25" t="str">
            <v>いしぐろ しんたろう</v>
          </cell>
          <cell r="G25">
            <v>0</v>
          </cell>
          <cell r="H25">
            <v>0</v>
          </cell>
          <cell r="I25">
            <v>3</v>
          </cell>
          <cell r="K25">
            <v>0</v>
          </cell>
          <cell r="L25">
            <v>17</v>
          </cell>
          <cell r="M25" t="str">
            <v>ＭＦ</v>
          </cell>
          <cell r="N25" t="str">
            <v>廣瀬 真心</v>
          </cell>
          <cell r="O25">
            <v>0</v>
          </cell>
          <cell r="P25" t="str">
            <v>ひろせ まこと</v>
          </cell>
          <cell r="Q25">
            <v>0</v>
          </cell>
          <cell r="R25">
            <v>0</v>
          </cell>
          <cell r="S25">
            <v>3</v>
          </cell>
          <cell r="U25">
            <v>0</v>
          </cell>
          <cell r="V25">
            <v>0</v>
          </cell>
          <cell r="W25">
            <v>0</v>
          </cell>
          <cell r="X25">
            <v>0</v>
          </cell>
          <cell r="Y25">
            <v>0</v>
          </cell>
          <cell r="Z25">
            <v>0</v>
          </cell>
          <cell r="AA25">
            <v>0</v>
          </cell>
          <cell r="AB25">
            <v>0</v>
          </cell>
          <cell r="AC25">
            <v>0</v>
          </cell>
        </row>
        <row r="26">
          <cell r="A26">
            <v>0</v>
          </cell>
          <cell r="B26">
            <v>18</v>
          </cell>
          <cell r="C26" t="str">
            <v>ＤＦ</v>
          </cell>
          <cell r="D26" t="str">
            <v>五十嵐 侑瑞樹</v>
          </cell>
          <cell r="E26">
            <v>0</v>
          </cell>
          <cell r="F26" t="str">
            <v>いからし ゆずき</v>
          </cell>
          <cell r="G26">
            <v>0</v>
          </cell>
          <cell r="H26">
            <v>0</v>
          </cell>
          <cell r="I26">
            <v>2</v>
          </cell>
          <cell r="K26">
            <v>0</v>
          </cell>
          <cell r="L26">
            <v>18</v>
          </cell>
          <cell r="M26" t="str">
            <v>ＦＷ</v>
          </cell>
          <cell r="N26" t="str">
            <v>長谷川 勇太</v>
          </cell>
          <cell r="O26">
            <v>0</v>
          </cell>
          <cell r="P26" t="str">
            <v>はせがわ ゆうた</v>
          </cell>
          <cell r="Q26">
            <v>0</v>
          </cell>
          <cell r="R26">
            <v>0</v>
          </cell>
          <cell r="S26">
            <v>3</v>
          </cell>
          <cell r="U26">
            <v>0</v>
          </cell>
          <cell r="V26">
            <v>0</v>
          </cell>
          <cell r="W26">
            <v>0</v>
          </cell>
          <cell r="X26">
            <v>0</v>
          </cell>
          <cell r="Y26">
            <v>0</v>
          </cell>
          <cell r="Z26">
            <v>0</v>
          </cell>
          <cell r="AA26">
            <v>0</v>
          </cell>
          <cell r="AB26">
            <v>0</v>
          </cell>
          <cell r="AC26">
            <v>0</v>
          </cell>
        </row>
        <row r="27">
          <cell r="U27">
            <v>0</v>
          </cell>
          <cell r="V27">
            <v>0</v>
          </cell>
          <cell r="W27">
            <v>0</v>
          </cell>
          <cell r="X27">
            <v>0</v>
          </cell>
          <cell r="Y27">
            <v>0</v>
          </cell>
          <cell r="Z27">
            <v>0</v>
          </cell>
          <cell r="AA27">
            <v>0</v>
          </cell>
          <cell r="AB27">
            <v>0</v>
          </cell>
          <cell r="AC27">
            <v>0</v>
          </cell>
        </row>
        <row r="28">
          <cell r="B28" t="str">
            <v>ユニフォーム</v>
          </cell>
          <cell r="C28">
            <v>0</v>
          </cell>
          <cell r="D28" t="str">
            <v>FP 正</v>
          </cell>
          <cell r="E28" t="str">
            <v>FP 副</v>
          </cell>
          <cell r="F28">
            <v>0</v>
          </cell>
          <cell r="G28" t="str">
            <v>GK 正</v>
          </cell>
          <cell r="H28" t="str">
            <v>GK 副</v>
          </cell>
          <cell r="I28">
            <v>0</v>
          </cell>
          <cell r="L28" t="str">
            <v>ユニフォーム</v>
          </cell>
          <cell r="M28">
            <v>0</v>
          </cell>
          <cell r="N28" t="str">
            <v>FP 正</v>
          </cell>
          <cell r="O28" t="str">
            <v>FP 副</v>
          </cell>
          <cell r="P28">
            <v>0</v>
          </cell>
          <cell r="Q28" t="str">
            <v>GK 正</v>
          </cell>
          <cell r="R28" t="str">
            <v>GK 副</v>
          </cell>
          <cell r="S28">
            <v>0</v>
          </cell>
          <cell r="U28">
            <v>0</v>
          </cell>
          <cell r="V28">
            <v>0</v>
          </cell>
          <cell r="W28">
            <v>0</v>
          </cell>
          <cell r="X28">
            <v>0</v>
          </cell>
          <cell r="Y28">
            <v>0</v>
          </cell>
          <cell r="Z28">
            <v>0</v>
          </cell>
          <cell r="AA28">
            <v>0</v>
          </cell>
          <cell r="AB28">
            <v>0</v>
          </cell>
          <cell r="AC28">
            <v>0</v>
          </cell>
        </row>
        <row r="29">
          <cell r="B29" t="str">
            <v>シャツ</v>
          </cell>
          <cell r="C29">
            <v>0</v>
          </cell>
          <cell r="D29" t="str">
            <v>赤</v>
          </cell>
          <cell r="E29" t="str">
            <v>白×灰</v>
          </cell>
          <cell r="F29">
            <v>0</v>
          </cell>
          <cell r="G29" t="str">
            <v>黄</v>
          </cell>
          <cell r="H29" t="str">
            <v>緑</v>
          </cell>
          <cell r="I29">
            <v>0</v>
          </cell>
          <cell r="L29" t="str">
            <v>シャツ</v>
          </cell>
          <cell r="M29">
            <v>0</v>
          </cell>
          <cell r="N29" t="str">
            <v>青</v>
          </cell>
          <cell r="O29" t="str">
            <v>白</v>
          </cell>
          <cell r="P29">
            <v>0</v>
          </cell>
          <cell r="Q29" t="str">
            <v>灰</v>
          </cell>
          <cell r="R29" t="str">
            <v>緑</v>
          </cell>
          <cell r="S29">
            <v>0</v>
          </cell>
          <cell r="U29">
            <v>0</v>
          </cell>
          <cell r="V29">
            <v>0</v>
          </cell>
          <cell r="W29">
            <v>0</v>
          </cell>
          <cell r="X29">
            <v>0</v>
          </cell>
          <cell r="Y29">
            <v>0</v>
          </cell>
          <cell r="Z29">
            <v>0</v>
          </cell>
          <cell r="AA29">
            <v>0</v>
          </cell>
          <cell r="AB29">
            <v>0</v>
          </cell>
          <cell r="AC29">
            <v>0</v>
          </cell>
        </row>
        <row r="30">
          <cell r="B30" t="str">
            <v>パンツ</v>
          </cell>
          <cell r="C30">
            <v>0</v>
          </cell>
          <cell r="D30" t="str">
            <v>白</v>
          </cell>
          <cell r="E30" t="str">
            <v>赤</v>
          </cell>
          <cell r="F30">
            <v>0</v>
          </cell>
          <cell r="G30" t="str">
            <v>黄</v>
          </cell>
          <cell r="H30" t="str">
            <v>黒</v>
          </cell>
          <cell r="I30">
            <v>0</v>
          </cell>
          <cell r="L30" t="str">
            <v>パンツ</v>
          </cell>
          <cell r="M30">
            <v>0</v>
          </cell>
          <cell r="N30" t="str">
            <v>青</v>
          </cell>
          <cell r="O30" t="str">
            <v>白</v>
          </cell>
          <cell r="P30">
            <v>0</v>
          </cell>
          <cell r="Q30" t="str">
            <v>黒</v>
          </cell>
          <cell r="R30" t="str">
            <v>緑</v>
          </cell>
          <cell r="S30">
            <v>0</v>
          </cell>
          <cell r="U30">
            <v>0</v>
          </cell>
          <cell r="V30">
            <v>0</v>
          </cell>
          <cell r="W30">
            <v>0</v>
          </cell>
          <cell r="X30">
            <v>0</v>
          </cell>
          <cell r="Y30">
            <v>0</v>
          </cell>
          <cell r="Z30">
            <v>0</v>
          </cell>
          <cell r="AA30">
            <v>0</v>
          </cell>
          <cell r="AB30">
            <v>0</v>
          </cell>
          <cell r="AC30">
            <v>0</v>
          </cell>
        </row>
        <row r="31">
          <cell r="B31" t="str">
            <v>ストッキング</v>
          </cell>
          <cell r="C31">
            <v>0</v>
          </cell>
          <cell r="D31" t="str">
            <v>赤</v>
          </cell>
          <cell r="E31" t="str">
            <v>白</v>
          </cell>
          <cell r="F31">
            <v>0</v>
          </cell>
          <cell r="G31" t="str">
            <v>黄</v>
          </cell>
          <cell r="H31" t="str">
            <v>緑</v>
          </cell>
          <cell r="I31">
            <v>0</v>
          </cell>
          <cell r="L31" t="str">
            <v>ストッキング</v>
          </cell>
          <cell r="M31">
            <v>0</v>
          </cell>
          <cell r="N31" t="str">
            <v>赤</v>
          </cell>
          <cell r="O31" t="str">
            <v>青</v>
          </cell>
          <cell r="P31">
            <v>0</v>
          </cell>
          <cell r="Q31" t="str">
            <v>灰</v>
          </cell>
          <cell r="R31" t="str">
            <v>緑</v>
          </cell>
          <cell r="S31">
            <v>0</v>
          </cell>
          <cell r="U31">
            <v>0</v>
          </cell>
          <cell r="V31">
            <v>0</v>
          </cell>
          <cell r="W31">
            <v>0</v>
          </cell>
          <cell r="X31">
            <v>0</v>
          </cell>
          <cell r="Y31">
            <v>0</v>
          </cell>
          <cell r="Z31">
            <v>0</v>
          </cell>
          <cell r="AA31">
            <v>0</v>
          </cell>
          <cell r="AB31">
            <v>0</v>
          </cell>
          <cell r="AC31">
            <v>0</v>
          </cell>
        </row>
        <row r="32">
          <cell r="B32" t="str">
            <v>福井県代表 県大会第１位</v>
          </cell>
          <cell r="C32">
            <v>0</v>
          </cell>
          <cell r="D32">
            <v>0</v>
          </cell>
          <cell r="E32">
            <v>0</v>
          </cell>
          <cell r="F32">
            <v>0</v>
          </cell>
          <cell r="G32">
            <v>0</v>
          </cell>
          <cell r="H32">
            <v>0</v>
          </cell>
          <cell r="I32">
            <v>0</v>
          </cell>
          <cell r="L32" t="str">
            <v>福井県代表 県大会第２位</v>
          </cell>
          <cell r="M32">
            <v>0</v>
          </cell>
          <cell r="N32">
            <v>0</v>
          </cell>
          <cell r="O32">
            <v>0</v>
          </cell>
          <cell r="P32">
            <v>0</v>
          </cell>
          <cell r="Q32">
            <v>0</v>
          </cell>
          <cell r="R32">
            <v>0</v>
          </cell>
          <cell r="S32">
            <v>0</v>
          </cell>
          <cell r="U32">
            <v>0</v>
          </cell>
          <cell r="V32">
            <v>0</v>
          </cell>
          <cell r="W32">
            <v>0</v>
          </cell>
          <cell r="X32">
            <v>0</v>
          </cell>
          <cell r="Y32">
            <v>0</v>
          </cell>
          <cell r="Z32">
            <v>0</v>
          </cell>
          <cell r="AA32">
            <v>0</v>
          </cell>
          <cell r="AB32">
            <v>0</v>
          </cell>
          <cell r="AC32">
            <v>0</v>
          </cell>
        </row>
        <row r="33">
          <cell r="B33" t="str">
            <v>福井工業大学附属福井中学校</v>
          </cell>
          <cell r="C33">
            <v>0</v>
          </cell>
          <cell r="D33">
            <v>0</v>
          </cell>
          <cell r="E33">
            <v>0</v>
          </cell>
          <cell r="F33">
            <v>0</v>
          </cell>
          <cell r="G33">
            <v>0</v>
          </cell>
          <cell r="H33">
            <v>0</v>
          </cell>
          <cell r="I33">
            <v>0</v>
          </cell>
          <cell r="L33" t="str">
            <v>福井市清水中学校</v>
          </cell>
          <cell r="M33">
            <v>0</v>
          </cell>
          <cell r="N33">
            <v>0</v>
          </cell>
          <cell r="O33">
            <v>0</v>
          </cell>
          <cell r="P33">
            <v>0</v>
          </cell>
          <cell r="Q33">
            <v>0</v>
          </cell>
          <cell r="R33">
            <v>0</v>
          </cell>
          <cell r="S33">
            <v>0</v>
          </cell>
          <cell r="U33">
            <v>0</v>
          </cell>
          <cell r="V33">
            <v>0</v>
          </cell>
          <cell r="W33">
            <v>0</v>
          </cell>
          <cell r="X33">
            <v>0</v>
          </cell>
          <cell r="Y33">
            <v>0</v>
          </cell>
          <cell r="Z33">
            <v>0</v>
          </cell>
          <cell r="AA33">
            <v>0</v>
          </cell>
          <cell r="AB33">
            <v>0</v>
          </cell>
          <cell r="AC33">
            <v>0</v>
          </cell>
        </row>
        <row r="34">
          <cell r="B34" t="str">
            <v>学校所在地</v>
          </cell>
          <cell r="C34">
            <v>0</v>
          </cell>
          <cell r="D34" t="str">
            <v>福井県福井市学園３－６－１</v>
          </cell>
          <cell r="E34">
            <v>0</v>
          </cell>
          <cell r="F34">
            <v>0</v>
          </cell>
          <cell r="G34">
            <v>0</v>
          </cell>
          <cell r="H34">
            <v>0</v>
          </cell>
          <cell r="I34">
            <v>0</v>
          </cell>
          <cell r="L34" t="str">
            <v>学校所在地</v>
          </cell>
          <cell r="M34">
            <v>0</v>
          </cell>
          <cell r="N34" t="str">
            <v>福井県福井市島寺町２－５５</v>
          </cell>
          <cell r="O34">
            <v>0</v>
          </cell>
          <cell r="P34">
            <v>0</v>
          </cell>
          <cell r="Q34">
            <v>0</v>
          </cell>
          <cell r="R34">
            <v>0</v>
          </cell>
          <cell r="S34">
            <v>0</v>
          </cell>
          <cell r="U34">
            <v>0</v>
          </cell>
          <cell r="V34">
            <v>0</v>
          </cell>
          <cell r="W34">
            <v>0</v>
          </cell>
          <cell r="X34">
            <v>0</v>
          </cell>
          <cell r="Y34">
            <v>0</v>
          </cell>
          <cell r="Z34">
            <v>0</v>
          </cell>
          <cell r="AA34">
            <v>0</v>
          </cell>
          <cell r="AB34">
            <v>0</v>
          </cell>
          <cell r="AC34">
            <v>0</v>
          </cell>
        </row>
        <row r="35">
          <cell r="B35" t="str">
            <v>監督</v>
          </cell>
          <cell r="C35">
            <v>0</v>
          </cell>
          <cell r="D35" t="str">
            <v>高本 勉</v>
          </cell>
          <cell r="E35">
            <v>0</v>
          </cell>
          <cell r="F35">
            <v>0</v>
          </cell>
          <cell r="G35">
            <v>0</v>
          </cell>
          <cell r="H35">
            <v>0</v>
          </cell>
          <cell r="I35">
            <v>0</v>
          </cell>
          <cell r="L35" t="str">
            <v>監督</v>
          </cell>
          <cell r="M35">
            <v>0</v>
          </cell>
          <cell r="N35" t="str">
            <v>橋爪 一隆</v>
          </cell>
          <cell r="O35">
            <v>0</v>
          </cell>
          <cell r="P35">
            <v>0</v>
          </cell>
          <cell r="Q35">
            <v>0</v>
          </cell>
          <cell r="R35">
            <v>0</v>
          </cell>
          <cell r="S35">
            <v>0</v>
          </cell>
          <cell r="U35">
            <v>0</v>
          </cell>
          <cell r="V35">
            <v>0</v>
          </cell>
          <cell r="W35">
            <v>0</v>
          </cell>
          <cell r="X35">
            <v>0</v>
          </cell>
          <cell r="Y35">
            <v>0</v>
          </cell>
          <cell r="Z35">
            <v>0</v>
          </cell>
          <cell r="AA35">
            <v>0</v>
          </cell>
          <cell r="AB35">
            <v>0</v>
          </cell>
          <cell r="AC35">
            <v>0</v>
          </cell>
        </row>
        <row r="36">
          <cell r="B36" t="str">
            <v>コーチ</v>
          </cell>
          <cell r="C36">
            <v>0</v>
          </cell>
          <cell r="D36" t="str">
            <v>前田 健太郎</v>
          </cell>
          <cell r="E36">
            <v>0</v>
          </cell>
          <cell r="F36">
            <v>0</v>
          </cell>
          <cell r="G36">
            <v>0</v>
          </cell>
          <cell r="H36" t="str">
            <v>(教員)</v>
          </cell>
          <cell r="I36">
            <v>0</v>
          </cell>
          <cell r="L36" t="str">
            <v>コーチ</v>
          </cell>
          <cell r="M36">
            <v>0</v>
          </cell>
          <cell r="N36" t="str">
            <v>中山 悟志</v>
          </cell>
          <cell r="O36">
            <v>0</v>
          </cell>
          <cell r="P36">
            <v>0</v>
          </cell>
          <cell r="Q36">
            <v>0</v>
          </cell>
          <cell r="R36" t="str">
            <v>(教員)</v>
          </cell>
          <cell r="S36">
            <v>0</v>
          </cell>
          <cell r="U36">
            <v>0</v>
          </cell>
          <cell r="V36">
            <v>0</v>
          </cell>
          <cell r="W36">
            <v>0</v>
          </cell>
          <cell r="X36">
            <v>0</v>
          </cell>
          <cell r="Y36">
            <v>0</v>
          </cell>
          <cell r="Z36">
            <v>0</v>
          </cell>
          <cell r="AA36">
            <v>0</v>
          </cell>
          <cell r="AB36">
            <v>0</v>
          </cell>
          <cell r="AC36">
            <v>0</v>
          </cell>
        </row>
        <row r="37">
          <cell r="B37" t="str">
            <v>マネージャー</v>
          </cell>
          <cell r="C37">
            <v>0</v>
          </cell>
          <cell r="D37" t="str">
            <v>龍田 信武</v>
          </cell>
          <cell r="E37">
            <v>0</v>
          </cell>
          <cell r="F37">
            <v>0</v>
          </cell>
          <cell r="G37">
            <v>0</v>
          </cell>
          <cell r="H37" t="str">
            <v>(生徒)</v>
          </cell>
          <cell r="I37">
            <v>0</v>
          </cell>
          <cell r="L37" t="str">
            <v>マネージャー</v>
          </cell>
          <cell r="M37">
            <v>0</v>
          </cell>
          <cell r="N37" t="str">
            <v>永井 拓実</v>
          </cell>
          <cell r="O37">
            <v>0</v>
          </cell>
          <cell r="P37">
            <v>0</v>
          </cell>
          <cell r="Q37">
            <v>0</v>
          </cell>
          <cell r="R37" t="str">
            <v>(生徒)</v>
          </cell>
          <cell r="S37">
            <v>0</v>
          </cell>
          <cell r="U37">
            <v>0</v>
          </cell>
          <cell r="V37">
            <v>0</v>
          </cell>
          <cell r="W37">
            <v>0</v>
          </cell>
          <cell r="X37">
            <v>0</v>
          </cell>
          <cell r="Y37">
            <v>0</v>
          </cell>
          <cell r="Z37">
            <v>0</v>
          </cell>
          <cell r="AA37">
            <v>0</v>
          </cell>
          <cell r="AB37">
            <v>0</v>
          </cell>
          <cell r="AC37">
            <v>0</v>
          </cell>
        </row>
        <row r="38">
          <cell r="D38">
            <v>0</v>
          </cell>
          <cell r="E38">
            <v>0</v>
          </cell>
          <cell r="F38">
            <v>0</v>
          </cell>
          <cell r="G38">
            <v>0</v>
          </cell>
          <cell r="H38">
            <v>0</v>
          </cell>
          <cell r="I38">
            <v>0</v>
          </cell>
          <cell r="N38">
            <v>0</v>
          </cell>
          <cell r="O38">
            <v>0</v>
          </cell>
          <cell r="P38">
            <v>0</v>
          </cell>
          <cell r="Q38">
            <v>0</v>
          </cell>
          <cell r="R38">
            <v>0</v>
          </cell>
          <cell r="S38">
            <v>0</v>
          </cell>
          <cell r="U38">
            <v>0</v>
          </cell>
          <cell r="V38">
            <v>0</v>
          </cell>
          <cell r="W38">
            <v>0</v>
          </cell>
          <cell r="X38">
            <v>0</v>
          </cell>
          <cell r="Y38">
            <v>0</v>
          </cell>
          <cell r="Z38">
            <v>0</v>
          </cell>
          <cell r="AA38">
            <v>0</v>
          </cell>
          <cell r="AB38">
            <v>0</v>
          </cell>
          <cell r="AC38">
            <v>0</v>
          </cell>
        </row>
        <row r="39">
          <cell r="A39" t="str">
            <v>先発</v>
          </cell>
          <cell r="B39" t="str">
            <v>番号</v>
          </cell>
          <cell r="C39" t="str">
            <v>位置</v>
          </cell>
          <cell r="D39" t="str">
            <v>氏名</v>
          </cell>
          <cell r="E39">
            <v>0</v>
          </cell>
          <cell r="F39" t="str">
            <v>ふりがな</v>
          </cell>
          <cell r="G39">
            <v>0</v>
          </cell>
          <cell r="H39">
            <v>0</v>
          </cell>
          <cell r="I39" t="str">
            <v>学年</v>
          </cell>
          <cell r="K39" t="str">
            <v>先発</v>
          </cell>
          <cell r="L39" t="str">
            <v>番号</v>
          </cell>
          <cell r="M39" t="str">
            <v>位置</v>
          </cell>
          <cell r="N39" t="str">
            <v>氏名</v>
          </cell>
          <cell r="O39">
            <v>0</v>
          </cell>
          <cell r="P39" t="str">
            <v>ふりがな</v>
          </cell>
          <cell r="Q39">
            <v>0</v>
          </cell>
          <cell r="R39">
            <v>0</v>
          </cell>
          <cell r="S39" t="str">
            <v>学年</v>
          </cell>
          <cell r="U39">
            <v>0</v>
          </cell>
          <cell r="V39">
            <v>0</v>
          </cell>
          <cell r="W39">
            <v>0</v>
          </cell>
          <cell r="X39">
            <v>0</v>
          </cell>
          <cell r="Y39">
            <v>0</v>
          </cell>
          <cell r="Z39">
            <v>0</v>
          </cell>
          <cell r="AA39">
            <v>0</v>
          </cell>
          <cell r="AB39">
            <v>0</v>
          </cell>
          <cell r="AC39">
            <v>0</v>
          </cell>
        </row>
        <row r="40">
          <cell r="A40">
            <v>0</v>
          </cell>
          <cell r="B40">
            <v>1</v>
          </cell>
          <cell r="C40" t="str">
            <v>GK</v>
          </cell>
          <cell r="D40" t="str">
            <v>高木 勇仁朗</v>
          </cell>
          <cell r="E40">
            <v>0</v>
          </cell>
          <cell r="F40" t="str">
            <v>たかぎ ゆうじろう</v>
          </cell>
          <cell r="G40">
            <v>0</v>
          </cell>
          <cell r="H40">
            <v>0</v>
          </cell>
          <cell r="I40">
            <v>3</v>
          </cell>
          <cell r="K40">
            <v>0</v>
          </cell>
          <cell r="L40">
            <v>1</v>
          </cell>
          <cell r="M40" t="str">
            <v>GK</v>
          </cell>
          <cell r="N40" t="str">
            <v>竹内 廉</v>
          </cell>
          <cell r="O40">
            <v>0</v>
          </cell>
          <cell r="P40" t="str">
            <v>たけうち れん</v>
          </cell>
          <cell r="Q40">
            <v>0</v>
          </cell>
          <cell r="R40">
            <v>0</v>
          </cell>
          <cell r="S40">
            <v>3</v>
          </cell>
          <cell r="U40">
            <v>0</v>
          </cell>
          <cell r="V40">
            <v>0</v>
          </cell>
          <cell r="W40">
            <v>0</v>
          </cell>
          <cell r="X40">
            <v>0</v>
          </cell>
          <cell r="Y40">
            <v>0</v>
          </cell>
          <cell r="Z40">
            <v>0</v>
          </cell>
          <cell r="AA40">
            <v>0</v>
          </cell>
          <cell r="AB40">
            <v>0</v>
          </cell>
          <cell r="AC40">
            <v>0</v>
          </cell>
        </row>
        <row r="41">
          <cell r="A41">
            <v>0</v>
          </cell>
          <cell r="B41">
            <v>2</v>
          </cell>
          <cell r="C41" t="str">
            <v>DF</v>
          </cell>
          <cell r="D41" t="str">
            <v>小寺 翔太</v>
          </cell>
          <cell r="E41">
            <v>0</v>
          </cell>
          <cell r="F41" t="str">
            <v>こでら しょうた</v>
          </cell>
          <cell r="G41">
            <v>0</v>
          </cell>
          <cell r="H41">
            <v>0</v>
          </cell>
          <cell r="I41">
            <v>3</v>
          </cell>
          <cell r="K41">
            <v>0</v>
          </cell>
          <cell r="L41">
            <v>2</v>
          </cell>
          <cell r="M41" t="str">
            <v>DF</v>
          </cell>
          <cell r="N41" t="str">
            <v>田中 樹</v>
          </cell>
          <cell r="O41">
            <v>0</v>
          </cell>
          <cell r="P41" t="str">
            <v>たなか たつき</v>
          </cell>
          <cell r="Q41">
            <v>0</v>
          </cell>
          <cell r="R41">
            <v>0</v>
          </cell>
          <cell r="S41">
            <v>3</v>
          </cell>
          <cell r="U41">
            <v>0</v>
          </cell>
          <cell r="V41">
            <v>0</v>
          </cell>
          <cell r="W41">
            <v>0</v>
          </cell>
          <cell r="X41">
            <v>0</v>
          </cell>
          <cell r="Y41">
            <v>0</v>
          </cell>
          <cell r="Z41">
            <v>0</v>
          </cell>
          <cell r="AA41">
            <v>0</v>
          </cell>
          <cell r="AB41">
            <v>0</v>
          </cell>
          <cell r="AC41">
            <v>0</v>
          </cell>
        </row>
        <row r="42">
          <cell r="A42">
            <v>0</v>
          </cell>
          <cell r="B42">
            <v>4</v>
          </cell>
          <cell r="C42" t="str">
            <v>DF</v>
          </cell>
          <cell r="D42" t="str">
            <v>野坂 成希</v>
          </cell>
          <cell r="E42">
            <v>0</v>
          </cell>
          <cell r="F42" t="str">
            <v>のさか なるき</v>
          </cell>
          <cell r="G42">
            <v>0</v>
          </cell>
          <cell r="H42">
            <v>0</v>
          </cell>
          <cell r="I42">
            <v>2</v>
          </cell>
          <cell r="K42">
            <v>0</v>
          </cell>
          <cell r="L42">
            <v>3</v>
          </cell>
          <cell r="M42" t="str">
            <v>DF</v>
          </cell>
          <cell r="N42" t="str">
            <v>藤田 俊希</v>
          </cell>
          <cell r="O42">
            <v>0</v>
          </cell>
          <cell r="P42" t="str">
            <v>ふじた としき</v>
          </cell>
          <cell r="Q42">
            <v>0</v>
          </cell>
          <cell r="R42">
            <v>0</v>
          </cell>
          <cell r="S42">
            <v>3</v>
          </cell>
          <cell r="U42">
            <v>0</v>
          </cell>
          <cell r="V42">
            <v>0</v>
          </cell>
          <cell r="W42">
            <v>0</v>
          </cell>
          <cell r="X42">
            <v>0</v>
          </cell>
          <cell r="Y42">
            <v>0</v>
          </cell>
          <cell r="Z42">
            <v>0</v>
          </cell>
          <cell r="AA42">
            <v>0</v>
          </cell>
          <cell r="AB42">
            <v>0</v>
          </cell>
          <cell r="AC42">
            <v>0</v>
          </cell>
        </row>
        <row r="43">
          <cell r="A43">
            <v>0</v>
          </cell>
          <cell r="B43">
            <v>5</v>
          </cell>
          <cell r="C43" t="str">
            <v>MF</v>
          </cell>
          <cell r="D43" t="str">
            <v>毛利 拓磨</v>
          </cell>
          <cell r="E43">
            <v>0</v>
          </cell>
          <cell r="F43" t="str">
            <v>もうり たくま</v>
          </cell>
          <cell r="G43">
            <v>0</v>
          </cell>
          <cell r="H43">
            <v>0</v>
          </cell>
          <cell r="I43">
            <v>2</v>
          </cell>
          <cell r="K43">
            <v>0</v>
          </cell>
          <cell r="L43">
            <v>4</v>
          </cell>
          <cell r="M43" t="str">
            <v>DF</v>
          </cell>
          <cell r="N43" t="str">
            <v>上田 圭悟</v>
          </cell>
          <cell r="O43">
            <v>0</v>
          </cell>
          <cell r="P43" t="str">
            <v>うえだ けいご</v>
          </cell>
          <cell r="Q43">
            <v>0</v>
          </cell>
          <cell r="R43">
            <v>0</v>
          </cell>
          <cell r="S43">
            <v>3</v>
          </cell>
          <cell r="U43">
            <v>0</v>
          </cell>
          <cell r="V43">
            <v>0</v>
          </cell>
          <cell r="W43">
            <v>0</v>
          </cell>
          <cell r="X43">
            <v>0</v>
          </cell>
          <cell r="Y43">
            <v>0</v>
          </cell>
          <cell r="Z43">
            <v>0</v>
          </cell>
          <cell r="AA43">
            <v>0</v>
          </cell>
          <cell r="AB43">
            <v>0</v>
          </cell>
          <cell r="AC43">
            <v>0</v>
          </cell>
        </row>
        <row r="44">
          <cell r="A44">
            <v>0</v>
          </cell>
          <cell r="B44">
            <v>6</v>
          </cell>
          <cell r="C44" t="str">
            <v>DF</v>
          </cell>
          <cell r="D44" t="str">
            <v>山川 航輝</v>
          </cell>
          <cell r="E44">
            <v>0</v>
          </cell>
          <cell r="F44" t="str">
            <v>やまかわ こうき</v>
          </cell>
          <cell r="G44">
            <v>0</v>
          </cell>
          <cell r="H44">
            <v>0</v>
          </cell>
          <cell r="I44">
            <v>3</v>
          </cell>
          <cell r="K44">
            <v>0</v>
          </cell>
          <cell r="L44">
            <v>5</v>
          </cell>
          <cell r="M44" t="str">
            <v>DF</v>
          </cell>
          <cell r="N44" t="str">
            <v>岩堀 力弥</v>
          </cell>
          <cell r="O44">
            <v>0</v>
          </cell>
          <cell r="P44" t="str">
            <v>いわほり りきや</v>
          </cell>
          <cell r="Q44">
            <v>0</v>
          </cell>
          <cell r="R44">
            <v>0</v>
          </cell>
          <cell r="S44">
            <v>3</v>
          </cell>
          <cell r="U44">
            <v>0</v>
          </cell>
          <cell r="V44">
            <v>0</v>
          </cell>
          <cell r="W44">
            <v>0</v>
          </cell>
          <cell r="X44">
            <v>0</v>
          </cell>
          <cell r="Y44">
            <v>0</v>
          </cell>
          <cell r="Z44">
            <v>0</v>
          </cell>
          <cell r="AA44">
            <v>0</v>
          </cell>
          <cell r="AB44">
            <v>0</v>
          </cell>
          <cell r="AC44">
            <v>0</v>
          </cell>
        </row>
        <row r="45">
          <cell r="A45">
            <v>0</v>
          </cell>
          <cell r="B45">
            <v>7</v>
          </cell>
          <cell r="C45" t="str">
            <v>FW</v>
          </cell>
          <cell r="D45" t="str">
            <v>木村 晋志</v>
          </cell>
          <cell r="E45">
            <v>0</v>
          </cell>
          <cell r="F45" t="str">
            <v>きむら しんじ</v>
          </cell>
          <cell r="G45">
            <v>0</v>
          </cell>
          <cell r="H45">
            <v>0</v>
          </cell>
          <cell r="I45">
            <v>3</v>
          </cell>
          <cell r="K45">
            <v>0</v>
          </cell>
          <cell r="L45">
            <v>6</v>
          </cell>
          <cell r="M45" t="str">
            <v>MF</v>
          </cell>
          <cell r="N45" t="str">
            <v>渡邉 光稀</v>
          </cell>
          <cell r="O45">
            <v>0</v>
          </cell>
          <cell r="P45" t="str">
            <v>わたなべ こうき</v>
          </cell>
          <cell r="Q45">
            <v>0</v>
          </cell>
          <cell r="R45">
            <v>0</v>
          </cell>
          <cell r="S45">
            <v>2</v>
          </cell>
          <cell r="U45">
            <v>0</v>
          </cell>
          <cell r="V45">
            <v>0</v>
          </cell>
          <cell r="W45">
            <v>0</v>
          </cell>
          <cell r="X45">
            <v>0</v>
          </cell>
          <cell r="Y45">
            <v>0</v>
          </cell>
          <cell r="Z45">
            <v>0</v>
          </cell>
          <cell r="AA45">
            <v>0</v>
          </cell>
          <cell r="AB45">
            <v>0</v>
          </cell>
          <cell r="AC45">
            <v>0</v>
          </cell>
        </row>
        <row r="46">
          <cell r="A46">
            <v>0</v>
          </cell>
          <cell r="B46">
            <v>8</v>
          </cell>
          <cell r="C46" t="str">
            <v>MF</v>
          </cell>
          <cell r="D46" t="str">
            <v>三浦 和生</v>
          </cell>
          <cell r="E46">
            <v>0</v>
          </cell>
          <cell r="F46" t="str">
            <v>みうら かずき</v>
          </cell>
          <cell r="G46">
            <v>0</v>
          </cell>
          <cell r="H46">
            <v>0</v>
          </cell>
          <cell r="I46">
            <v>2</v>
          </cell>
          <cell r="K46">
            <v>0</v>
          </cell>
          <cell r="L46">
            <v>7</v>
          </cell>
          <cell r="M46" t="str">
            <v>MF</v>
          </cell>
          <cell r="N46" t="str">
            <v>三上 大輔</v>
          </cell>
          <cell r="O46">
            <v>0</v>
          </cell>
          <cell r="P46" t="str">
            <v>みかみ だいすけ</v>
          </cell>
          <cell r="Q46">
            <v>0</v>
          </cell>
          <cell r="R46">
            <v>0</v>
          </cell>
          <cell r="S46">
            <v>3</v>
          </cell>
          <cell r="U46">
            <v>0</v>
          </cell>
          <cell r="V46">
            <v>0</v>
          </cell>
          <cell r="W46">
            <v>0</v>
          </cell>
          <cell r="X46">
            <v>0</v>
          </cell>
          <cell r="Y46">
            <v>0</v>
          </cell>
          <cell r="Z46">
            <v>0</v>
          </cell>
          <cell r="AA46">
            <v>0</v>
          </cell>
          <cell r="AB46">
            <v>0</v>
          </cell>
          <cell r="AC46">
            <v>0</v>
          </cell>
        </row>
        <row r="47">
          <cell r="A47">
            <v>0</v>
          </cell>
          <cell r="B47">
            <v>9</v>
          </cell>
          <cell r="C47" t="str">
            <v>FW</v>
          </cell>
          <cell r="D47" t="str">
            <v>堀江 悠太</v>
          </cell>
          <cell r="E47">
            <v>0</v>
          </cell>
          <cell r="F47" t="str">
            <v>ほりえ ゆうた</v>
          </cell>
          <cell r="G47">
            <v>0</v>
          </cell>
          <cell r="H47">
            <v>0</v>
          </cell>
          <cell r="I47">
            <v>2</v>
          </cell>
          <cell r="K47">
            <v>0</v>
          </cell>
          <cell r="L47">
            <v>8</v>
          </cell>
          <cell r="M47" t="str">
            <v>MF</v>
          </cell>
          <cell r="N47" t="str">
            <v>中林 大夢</v>
          </cell>
          <cell r="O47">
            <v>0</v>
          </cell>
          <cell r="P47" t="str">
            <v>なかばやし ひろむ</v>
          </cell>
          <cell r="Q47">
            <v>0</v>
          </cell>
          <cell r="R47">
            <v>0</v>
          </cell>
          <cell r="S47">
            <v>3</v>
          </cell>
          <cell r="U47">
            <v>0</v>
          </cell>
          <cell r="V47">
            <v>0</v>
          </cell>
          <cell r="W47">
            <v>0</v>
          </cell>
          <cell r="X47">
            <v>0</v>
          </cell>
          <cell r="Y47">
            <v>0</v>
          </cell>
          <cell r="Z47">
            <v>0</v>
          </cell>
          <cell r="AA47">
            <v>0</v>
          </cell>
          <cell r="AB47">
            <v>0</v>
          </cell>
          <cell r="AC47">
            <v>0</v>
          </cell>
        </row>
        <row r="48">
          <cell r="A48">
            <v>0</v>
          </cell>
          <cell r="B48">
            <v>10</v>
          </cell>
          <cell r="C48" t="str">
            <v>MF</v>
          </cell>
          <cell r="D48" t="str">
            <v>髙橋 遼平</v>
          </cell>
          <cell r="E48">
            <v>0</v>
          </cell>
          <cell r="F48" t="str">
            <v>たかはし りょうへい</v>
          </cell>
          <cell r="G48">
            <v>0</v>
          </cell>
          <cell r="H48">
            <v>0</v>
          </cell>
          <cell r="I48">
            <v>3</v>
          </cell>
          <cell r="K48">
            <v>0</v>
          </cell>
          <cell r="L48">
            <v>9</v>
          </cell>
          <cell r="M48" t="str">
            <v>FW</v>
          </cell>
          <cell r="N48" t="str">
            <v>松澤 佑哉</v>
          </cell>
          <cell r="O48">
            <v>0</v>
          </cell>
          <cell r="P48" t="str">
            <v>まつざわ ゆうや</v>
          </cell>
          <cell r="Q48">
            <v>0</v>
          </cell>
          <cell r="R48">
            <v>0</v>
          </cell>
          <cell r="S48">
            <v>3</v>
          </cell>
          <cell r="U48">
            <v>0</v>
          </cell>
          <cell r="V48">
            <v>0</v>
          </cell>
          <cell r="W48">
            <v>0</v>
          </cell>
          <cell r="X48">
            <v>0</v>
          </cell>
          <cell r="Y48">
            <v>0</v>
          </cell>
          <cell r="Z48">
            <v>0</v>
          </cell>
          <cell r="AA48">
            <v>0</v>
          </cell>
          <cell r="AB48">
            <v>0</v>
          </cell>
          <cell r="AC48">
            <v>0</v>
          </cell>
        </row>
        <row r="49">
          <cell r="A49">
            <v>0</v>
          </cell>
          <cell r="B49">
            <v>11</v>
          </cell>
          <cell r="C49" t="str">
            <v>FW</v>
          </cell>
          <cell r="D49" t="str">
            <v>角谷 宗一郎</v>
          </cell>
          <cell r="E49">
            <v>0</v>
          </cell>
          <cell r="F49" t="str">
            <v>かくたに そういちろう</v>
          </cell>
          <cell r="G49">
            <v>0</v>
          </cell>
          <cell r="H49">
            <v>0</v>
          </cell>
          <cell r="I49">
            <v>3</v>
          </cell>
          <cell r="K49">
            <v>0</v>
          </cell>
          <cell r="L49">
            <v>10</v>
          </cell>
          <cell r="M49" t="str">
            <v>MF</v>
          </cell>
          <cell r="N49" t="str">
            <v>河村 健斗</v>
          </cell>
          <cell r="O49">
            <v>0</v>
          </cell>
          <cell r="P49" t="str">
            <v>かわむら けんと</v>
          </cell>
          <cell r="Q49">
            <v>0</v>
          </cell>
          <cell r="R49">
            <v>0</v>
          </cell>
          <cell r="S49">
            <v>3</v>
          </cell>
          <cell r="U49">
            <v>0</v>
          </cell>
          <cell r="V49">
            <v>0</v>
          </cell>
          <cell r="W49">
            <v>0</v>
          </cell>
          <cell r="X49">
            <v>0</v>
          </cell>
          <cell r="Y49">
            <v>0</v>
          </cell>
          <cell r="Z49">
            <v>0</v>
          </cell>
          <cell r="AA49">
            <v>0</v>
          </cell>
          <cell r="AB49">
            <v>0</v>
          </cell>
          <cell r="AC49">
            <v>0</v>
          </cell>
        </row>
        <row r="50">
          <cell r="A50">
            <v>0</v>
          </cell>
          <cell r="B50">
            <v>14</v>
          </cell>
          <cell r="C50" t="str">
            <v>DF</v>
          </cell>
          <cell r="D50" t="str">
            <v>高本 康平</v>
          </cell>
          <cell r="E50">
            <v>0</v>
          </cell>
          <cell r="F50" t="str">
            <v>たかもと こうへい</v>
          </cell>
          <cell r="G50">
            <v>0</v>
          </cell>
          <cell r="H50">
            <v>0</v>
          </cell>
          <cell r="I50">
            <v>2</v>
          </cell>
          <cell r="K50">
            <v>0</v>
          </cell>
          <cell r="L50">
            <v>11</v>
          </cell>
          <cell r="M50" t="str">
            <v>FW</v>
          </cell>
          <cell r="N50" t="str">
            <v>渡邊 律己</v>
          </cell>
          <cell r="O50">
            <v>0</v>
          </cell>
          <cell r="P50" t="str">
            <v>わたなべ りつき</v>
          </cell>
          <cell r="Q50">
            <v>0</v>
          </cell>
          <cell r="R50">
            <v>0</v>
          </cell>
          <cell r="S50">
            <v>3</v>
          </cell>
          <cell r="U50">
            <v>0</v>
          </cell>
          <cell r="V50">
            <v>0</v>
          </cell>
          <cell r="W50">
            <v>0</v>
          </cell>
          <cell r="X50">
            <v>0</v>
          </cell>
          <cell r="Y50">
            <v>0</v>
          </cell>
          <cell r="Z50">
            <v>0</v>
          </cell>
          <cell r="AA50">
            <v>0</v>
          </cell>
          <cell r="AB50">
            <v>0</v>
          </cell>
          <cell r="AC50">
            <v>0</v>
          </cell>
        </row>
        <row r="51">
          <cell r="A51">
            <v>0</v>
          </cell>
          <cell r="B51">
            <v>15</v>
          </cell>
          <cell r="C51" t="str">
            <v>DF</v>
          </cell>
          <cell r="D51" t="str">
            <v>渡邊 将伍</v>
          </cell>
          <cell r="E51">
            <v>0</v>
          </cell>
          <cell r="F51" t="str">
            <v>わたなべ しょうご</v>
          </cell>
          <cell r="G51">
            <v>0</v>
          </cell>
          <cell r="H51">
            <v>0</v>
          </cell>
          <cell r="I51">
            <v>3</v>
          </cell>
          <cell r="K51">
            <v>0</v>
          </cell>
          <cell r="L51">
            <v>12</v>
          </cell>
          <cell r="M51" t="str">
            <v>DF</v>
          </cell>
          <cell r="N51" t="str">
            <v>山下 彰</v>
          </cell>
          <cell r="O51">
            <v>0</v>
          </cell>
          <cell r="P51" t="str">
            <v>やました あきら</v>
          </cell>
          <cell r="Q51">
            <v>0</v>
          </cell>
          <cell r="R51">
            <v>0</v>
          </cell>
          <cell r="S51">
            <v>3</v>
          </cell>
          <cell r="U51">
            <v>0</v>
          </cell>
          <cell r="V51">
            <v>0</v>
          </cell>
          <cell r="W51">
            <v>0</v>
          </cell>
          <cell r="X51">
            <v>0</v>
          </cell>
          <cell r="Y51">
            <v>0</v>
          </cell>
          <cell r="Z51">
            <v>0</v>
          </cell>
          <cell r="AA51">
            <v>0</v>
          </cell>
          <cell r="AB51">
            <v>0</v>
          </cell>
          <cell r="AC51">
            <v>0</v>
          </cell>
        </row>
        <row r="52">
          <cell r="A52">
            <v>0</v>
          </cell>
          <cell r="B52">
            <v>16</v>
          </cell>
          <cell r="C52" t="str">
            <v>DF</v>
          </cell>
          <cell r="D52" t="str">
            <v>渋谷 優太</v>
          </cell>
          <cell r="E52">
            <v>0</v>
          </cell>
          <cell r="F52" t="str">
            <v>しぶや ゆうた</v>
          </cell>
          <cell r="G52">
            <v>0</v>
          </cell>
          <cell r="H52">
            <v>0</v>
          </cell>
          <cell r="I52">
            <v>2</v>
          </cell>
          <cell r="K52">
            <v>0</v>
          </cell>
          <cell r="L52">
            <v>13</v>
          </cell>
          <cell r="M52" t="str">
            <v>MF</v>
          </cell>
          <cell r="N52" t="str">
            <v>有賀 恭介</v>
          </cell>
          <cell r="O52">
            <v>0</v>
          </cell>
          <cell r="P52" t="str">
            <v>ありが きょうすけ</v>
          </cell>
          <cell r="Q52">
            <v>0</v>
          </cell>
          <cell r="R52">
            <v>0</v>
          </cell>
          <cell r="S52">
            <v>3</v>
          </cell>
          <cell r="U52">
            <v>0</v>
          </cell>
          <cell r="V52">
            <v>0</v>
          </cell>
          <cell r="W52">
            <v>0</v>
          </cell>
          <cell r="X52">
            <v>0</v>
          </cell>
          <cell r="Y52">
            <v>0</v>
          </cell>
          <cell r="Z52">
            <v>0</v>
          </cell>
          <cell r="AA52">
            <v>0</v>
          </cell>
          <cell r="AB52">
            <v>0</v>
          </cell>
          <cell r="AC52">
            <v>0</v>
          </cell>
        </row>
        <row r="53">
          <cell r="A53">
            <v>0</v>
          </cell>
          <cell r="B53">
            <v>17</v>
          </cell>
          <cell r="C53" t="str">
            <v>MF</v>
          </cell>
          <cell r="D53" t="str">
            <v>伊藤惠一郎</v>
          </cell>
          <cell r="E53">
            <v>0</v>
          </cell>
          <cell r="F53" t="str">
            <v>いとう けいいちろう</v>
          </cell>
          <cell r="G53">
            <v>0</v>
          </cell>
          <cell r="H53">
            <v>0</v>
          </cell>
          <cell r="I53">
            <v>2</v>
          </cell>
          <cell r="K53">
            <v>0</v>
          </cell>
          <cell r="L53">
            <v>14</v>
          </cell>
          <cell r="M53" t="str">
            <v>FW</v>
          </cell>
          <cell r="N53" t="str">
            <v>肴倉 輝和</v>
          </cell>
          <cell r="O53">
            <v>0</v>
          </cell>
          <cell r="P53" t="str">
            <v>さかなくら てるかず</v>
          </cell>
          <cell r="Q53">
            <v>0</v>
          </cell>
          <cell r="R53">
            <v>0</v>
          </cell>
          <cell r="S53">
            <v>3</v>
          </cell>
          <cell r="U53">
            <v>0</v>
          </cell>
          <cell r="V53">
            <v>0</v>
          </cell>
          <cell r="W53">
            <v>0</v>
          </cell>
          <cell r="X53">
            <v>0</v>
          </cell>
          <cell r="Y53">
            <v>0</v>
          </cell>
          <cell r="Z53">
            <v>0</v>
          </cell>
          <cell r="AA53">
            <v>0</v>
          </cell>
          <cell r="AB53">
            <v>0</v>
          </cell>
          <cell r="AC53">
            <v>0</v>
          </cell>
        </row>
        <row r="54">
          <cell r="A54">
            <v>0</v>
          </cell>
          <cell r="B54">
            <v>22</v>
          </cell>
          <cell r="C54" t="str">
            <v>MF</v>
          </cell>
          <cell r="D54" t="str">
            <v>孫谷 陸斗</v>
          </cell>
          <cell r="E54">
            <v>0</v>
          </cell>
          <cell r="F54" t="str">
            <v>まごたに りくと</v>
          </cell>
          <cell r="G54">
            <v>0</v>
          </cell>
          <cell r="H54">
            <v>0</v>
          </cell>
          <cell r="I54">
            <v>2</v>
          </cell>
          <cell r="K54">
            <v>0</v>
          </cell>
          <cell r="L54">
            <v>15</v>
          </cell>
          <cell r="M54" t="str">
            <v>DF</v>
          </cell>
          <cell r="N54" t="str">
            <v>坂本 樹</v>
          </cell>
          <cell r="O54">
            <v>0</v>
          </cell>
          <cell r="P54" t="str">
            <v>さかもと たつき</v>
          </cell>
          <cell r="Q54">
            <v>0</v>
          </cell>
          <cell r="R54">
            <v>0</v>
          </cell>
          <cell r="S54">
            <v>3</v>
          </cell>
          <cell r="U54">
            <v>0</v>
          </cell>
          <cell r="V54">
            <v>0</v>
          </cell>
          <cell r="W54">
            <v>0</v>
          </cell>
          <cell r="X54">
            <v>0</v>
          </cell>
          <cell r="Y54">
            <v>0</v>
          </cell>
          <cell r="Z54">
            <v>0</v>
          </cell>
          <cell r="AA54">
            <v>0</v>
          </cell>
          <cell r="AB54">
            <v>0</v>
          </cell>
          <cell r="AC54">
            <v>0</v>
          </cell>
        </row>
        <row r="55">
          <cell r="A55">
            <v>0</v>
          </cell>
          <cell r="B55">
            <v>25</v>
          </cell>
          <cell r="C55" t="str">
            <v>FW</v>
          </cell>
          <cell r="D55" t="str">
            <v>熊谷 俊希</v>
          </cell>
          <cell r="E55">
            <v>0</v>
          </cell>
          <cell r="F55" t="str">
            <v>くまがい としき</v>
          </cell>
          <cell r="G55">
            <v>0</v>
          </cell>
          <cell r="H55">
            <v>0</v>
          </cell>
          <cell r="I55">
            <v>2</v>
          </cell>
          <cell r="K55">
            <v>0</v>
          </cell>
          <cell r="L55">
            <v>16</v>
          </cell>
          <cell r="M55" t="str">
            <v>DF</v>
          </cell>
          <cell r="N55" t="str">
            <v>岩堀 智也</v>
          </cell>
          <cell r="O55">
            <v>0</v>
          </cell>
          <cell r="P55" t="str">
            <v>いわほり ともや</v>
          </cell>
          <cell r="Q55">
            <v>0</v>
          </cell>
          <cell r="R55">
            <v>0</v>
          </cell>
          <cell r="S55">
            <v>3</v>
          </cell>
          <cell r="U55">
            <v>0</v>
          </cell>
          <cell r="V55">
            <v>0</v>
          </cell>
          <cell r="W55">
            <v>0</v>
          </cell>
          <cell r="X55">
            <v>0</v>
          </cell>
          <cell r="Y55">
            <v>0</v>
          </cell>
          <cell r="Z55">
            <v>0</v>
          </cell>
          <cell r="AA55">
            <v>0</v>
          </cell>
          <cell r="AB55">
            <v>0</v>
          </cell>
          <cell r="AC55">
            <v>0</v>
          </cell>
        </row>
        <row r="56">
          <cell r="A56">
            <v>0</v>
          </cell>
          <cell r="B56">
            <v>0</v>
          </cell>
          <cell r="C56">
            <v>0</v>
          </cell>
          <cell r="D56">
            <v>0</v>
          </cell>
          <cell r="E56">
            <v>0</v>
          </cell>
          <cell r="F56">
            <v>0</v>
          </cell>
          <cell r="G56">
            <v>0</v>
          </cell>
          <cell r="H56">
            <v>0</v>
          </cell>
          <cell r="I56">
            <v>0</v>
          </cell>
          <cell r="K56">
            <v>0</v>
          </cell>
          <cell r="L56">
            <v>17</v>
          </cell>
          <cell r="M56" t="str">
            <v>MF</v>
          </cell>
          <cell r="N56" t="str">
            <v>矢谷 彰汰</v>
          </cell>
          <cell r="O56">
            <v>0</v>
          </cell>
          <cell r="P56" t="str">
            <v>やや しょうた</v>
          </cell>
          <cell r="Q56">
            <v>0</v>
          </cell>
          <cell r="R56">
            <v>0</v>
          </cell>
          <cell r="S56">
            <v>3</v>
          </cell>
          <cell r="U56">
            <v>0</v>
          </cell>
          <cell r="V56">
            <v>0</v>
          </cell>
          <cell r="W56">
            <v>0</v>
          </cell>
          <cell r="X56">
            <v>0</v>
          </cell>
          <cell r="Y56">
            <v>0</v>
          </cell>
          <cell r="Z56">
            <v>0</v>
          </cell>
          <cell r="AA56">
            <v>0</v>
          </cell>
          <cell r="AB56">
            <v>0</v>
          </cell>
          <cell r="AC56">
            <v>0</v>
          </cell>
        </row>
        <row r="57">
          <cell r="A57">
            <v>0</v>
          </cell>
          <cell r="B57">
            <v>0</v>
          </cell>
          <cell r="C57">
            <v>0</v>
          </cell>
          <cell r="D57">
            <v>0</v>
          </cell>
          <cell r="E57">
            <v>0</v>
          </cell>
          <cell r="F57">
            <v>0</v>
          </cell>
          <cell r="G57">
            <v>0</v>
          </cell>
          <cell r="H57">
            <v>0</v>
          </cell>
          <cell r="I57">
            <v>0</v>
          </cell>
          <cell r="K57">
            <v>0</v>
          </cell>
          <cell r="L57">
            <v>18</v>
          </cell>
          <cell r="M57" t="str">
            <v>GK</v>
          </cell>
          <cell r="N57" t="str">
            <v>藤本 魁斗</v>
          </cell>
          <cell r="O57">
            <v>0</v>
          </cell>
          <cell r="P57" t="str">
            <v>ふじもと かいと</v>
          </cell>
          <cell r="Q57">
            <v>0</v>
          </cell>
          <cell r="R57">
            <v>0</v>
          </cell>
          <cell r="S57">
            <v>2</v>
          </cell>
          <cell r="U57">
            <v>0</v>
          </cell>
          <cell r="V57">
            <v>0</v>
          </cell>
          <cell r="W57">
            <v>0</v>
          </cell>
          <cell r="X57">
            <v>0</v>
          </cell>
          <cell r="Y57">
            <v>0</v>
          </cell>
          <cell r="Z57">
            <v>0</v>
          </cell>
          <cell r="AA57">
            <v>0</v>
          </cell>
          <cell r="AB57">
            <v>0</v>
          </cell>
          <cell r="AC57">
            <v>0</v>
          </cell>
        </row>
        <row r="58">
          <cell r="U58">
            <v>0</v>
          </cell>
          <cell r="V58">
            <v>0</v>
          </cell>
          <cell r="W58">
            <v>0</v>
          </cell>
          <cell r="X58">
            <v>0</v>
          </cell>
          <cell r="Y58">
            <v>0</v>
          </cell>
          <cell r="Z58">
            <v>0</v>
          </cell>
          <cell r="AA58">
            <v>0</v>
          </cell>
          <cell r="AB58">
            <v>0</v>
          </cell>
          <cell r="AC58">
            <v>0</v>
          </cell>
        </row>
        <row r="59">
          <cell r="B59" t="str">
            <v>ユニフォーム</v>
          </cell>
          <cell r="C59">
            <v>0</v>
          </cell>
          <cell r="D59" t="str">
            <v>FP 正</v>
          </cell>
          <cell r="E59" t="str">
            <v>FP 副</v>
          </cell>
          <cell r="F59">
            <v>0</v>
          </cell>
          <cell r="G59" t="str">
            <v>GK 正</v>
          </cell>
          <cell r="H59" t="str">
            <v>GK 副</v>
          </cell>
          <cell r="I59">
            <v>0</v>
          </cell>
          <cell r="L59" t="str">
            <v>ユニフォーム</v>
          </cell>
          <cell r="M59">
            <v>0</v>
          </cell>
          <cell r="N59" t="str">
            <v>FP 正</v>
          </cell>
          <cell r="O59" t="str">
            <v>FP 副</v>
          </cell>
          <cell r="P59">
            <v>0</v>
          </cell>
          <cell r="Q59" t="str">
            <v>GK 正</v>
          </cell>
          <cell r="R59" t="str">
            <v>GK 副</v>
          </cell>
          <cell r="S59">
            <v>0</v>
          </cell>
          <cell r="U59">
            <v>0</v>
          </cell>
          <cell r="V59">
            <v>0</v>
          </cell>
          <cell r="W59">
            <v>0</v>
          </cell>
          <cell r="X59">
            <v>0</v>
          </cell>
          <cell r="Y59">
            <v>0</v>
          </cell>
          <cell r="Z59">
            <v>0</v>
          </cell>
          <cell r="AA59">
            <v>0</v>
          </cell>
          <cell r="AB59">
            <v>0</v>
          </cell>
          <cell r="AC59">
            <v>0</v>
          </cell>
        </row>
        <row r="60">
          <cell r="B60" t="str">
            <v>シャツ</v>
          </cell>
          <cell r="C60">
            <v>0</v>
          </cell>
          <cell r="D60" t="str">
            <v>青</v>
          </cell>
          <cell r="E60" t="str">
            <v>白</v>
          </cell>
          <cell r="F60">
            <v>0</v>
          </cell>
          <cell r="G60" t="str">
            <v>グレー</v>
          </cell>
          <cell r="H60" t="str">
            <v>黄</v>
          </cell>
          <cell r="I60">
            <v>0</v>
          </cell>
          <cell r="L60" t="str">
            <v>シャツ</v>
          </cell>
          <cell r="M60">
            <v>0</v>
          </cell>
          <cell r="N60" t="str">
            <v>青</v>
          </cell>
          <cell r="O60" t="str">
            <v>白</v>
          </cell>
          <cell r="P60">
            <v>0</v>
          </cell>
          <cell r="Q60" t="str">
            <v>灰</v>
          </cell>
          <cell r="R60" t="str">
            <v>赤</v>
          </cell>
          <cell r="S60">
            <v>0</v>
          </cell>
          <cell r="U60">
            <v>0</v>
          </cell>
          <cell r="V60">
            <v>0</v>
          </cell>
          <cell r="W60">
            <v>0</v>
          </cell>
          <cell r="X60">
            <v>0</v>
          </cell>
          <cell r="Y60">
            <v>0</v>
          </cell>
          <cell r="Z60">
            <v>0</v>
          </cell>
          <cell r="AA60">
            <v>0</v>
          </cell>
          <cell r="AB60">
            <v>0</v>
          </cell>
          <cell r="AC60">
            <v>0</v>
          </cell>
        </row>
        <row r="61">
          <cell r="B61" t="str">
            <v>パンツ</v>
          </cell>
          <cell r="C61">
            <v>0</v>
          </cell>
          <cell r="D61" t="str">
            <v>青</v>
          </cell>
          <cell r="E61" t="str">
            <v>白</v>
          </cell>
          <cell r="F61">
            <v>0</v>
          </cell>
          <cell r="G61" t="str">
            <v>グレー</v>
          </cell>
          <cell r="H61" t="str">
            <v>黄</v>
          </cell>
          <cell r="I61">
            <v>0</v>
          </cell>
          <cell r="L61" t="str">
            <v>パンツ</v>
          </cell>
          <cell r="M61">
            <v>0</v>
          </cell>
          <cell r="N61" t="str">
            <v>青</v>
          </cell>
          <cell r="O61" t="str">
            <v>白</v>
          </cell>
          <cell r="P61">
            <v>0</v>
          </cell>
          <cell r="Q61" t="str">
            <v>灰</v>
          </cell>
          <cell r="R61" t="str">
            <v>黒</v>
          </cell>
          <cell r="S61">
            <v>0</v>
          </cell>
          <cell r="U61">
            <v>0</v>
          </cell>
          <cell r="V61">
            <v>0</v>
          </cell>
          <cell r="W61">
            <v>0</v>
          </cell>
          <cell r="X61">
            <v>0</v>
          </cell>
          <cell r="Y61">
            <v>0</v>
          </cell>
          <cell r="Z61">
            <v>0</v>
          </cell>
          <cell r="AA61">
            <v>0</v>
          </cell>
          <cell r="AB61">
            <v>0</v>
          </cell>
          <cell r="AC61">
            <v>0</v>
          </cell>
        </row>
        <row r="62">
          <cell r="B62" t="str">
            <v>ストッキング</v>
          </cell>
          <cell r="C62">
            <v>0</v>
          </cell>
          <cell r="D62" t="str">
            <v>青</v>
          </cell>
          <cell r="E62" t="str">
            <v>白</v>
          </cell>
          <cell r="F62">
            <v>0</v>
          </cell>
          <cell r="G62" t="str">
            <v>グレー</v>
          </cell>
          <cell r="H62" t="str">
            <v>黄</v>
          </cell>
          <cell r="I62">
            <v>0</v>
          </cell>
          <cell r="L62" t="str">
            <v>ストッキング</v>
          </cell>
          <cell r="M62">
            <v>0</v>
          </cell>
          <cell r="N62" t="str">
            <v>青</v>
          </cell>
          <cell r="O62" t="str">
            <v>白</v>
          </cell>
          <cell r="P62">
            <v>0</v>
          </cell>
          <cell r="Q62" t="str">
            <v>灰</v>
          </cell>
          <cell r="R62" t="str">
            <v>赤</v>
          </cell>
          <cell r="S62">
            <v>0</v>
          </cell>
          <cell r="U62">
            <v>0</v>
          </cell>
          <cell r="V62">
            <v>0</v>
          </cell>
          <cell r="W62">
            <v>0</v>
          </cell>
          <cell r="X62">
            <v>0</v>
          </cell>
          <cell r="Y62">
            <v>0</v>
          </cell>
          <cell r="Z62">
            <v>0</v>
          </cell>
          <cell r="AA62">
            <v>0</v>
          </cell>
          <cell r="AB62">
            <v>0</v>
          </cell>
          <cell r="AC62">
            <v>0</v>
          </cell>
        </row>
        <row r="63">
          <cell r="B63" t="str">
            <v>富山県代表 県大会第１位</v>
          </cell>
          <cell r="C63">
            <v>0</v>
          </cell>
          <cell r="D63">
            <v>0</v>
          </cell>
          <cell r="E63">
            <v>0</v>
          </cell>
          <cell r="F63">
            <v>0</v>
          </cell>
          <cell r="G63">
            <v>0</v>
          </cell>
          <cell r="H63">
            <v>0</v>
          </cell>
          <cell r="I63">
            <v>0</v>
          </cell>
          <cell r="L63" t="str">
            <v>富山県代表 県大会第２位</v>
          </cell>
          <cell r="M63">
            <v>0</v>
          </cell>
          <cell r="N63">
            <v>0</v>
          </cell>
          <cell r="O63">
            <v>0</v>
          </cell>
          <cell r="P63">
            <v>0</v>
          </cell>
          <cell r="Q63">
            <v>0</v>
          </cell>
          <cell r="R63">
            <v>0</v>
          </cell>
          <cell r="S63">
            <v>0</v>
          </cell>
          <cell r="U63">
            <v>0</v>
          </cell>
          <cell r="V63">
            <v>0</v>
          </cell>
          <cell r="W63">
            <v>0</v>
          </cell>
          <cell r="X63">
            <v>0</v>
          </cell>
          <cell r="Y63">
            <v>0</v>
          </cell>
          <cell r="Z63">
            <v>0</v>
          </cell>
          <cell r="AA63">
            <v>0</v>
          </cell>
          <cell r="AB63">
            <v>0</v>
          </cell>
          <cell r="AC63">
            <v>0</v>
          </cell>
        </row>
        <row r="64">
          <cell r="B64" t="str">
            <v>富山市立速星中学校</v>
          </cell>
          <cell r="C64">
            <v>0</v>
          </cell>
          <cell r="D64">
            <v>0</v>
          </cell>
          <cell r="E64">
            <v>0</v>
          </cell>
          <cell r="F64">
            <v>0</v>
          </cell>
          <cell r="G64">
            <v>0</v>
          </cell>
          <cell r="H64">
            <v>0</v>
          </cell>
          <cell r="I64">
            <v>0</v>
          </cell>
          <cell r="L64" t="str">
            <v>富山大学人間発達科学部附属中学校</v>
          </cell>
          <cell r="M64">
            <v>0</v>
          </cell>
          <cell r="N64">
            <v>0</v>
          </cell>
          <cell r="O64">
            <v>0</v>
          </cell>
          <cell r="P64">
            <v>0</v>
          </cell>
          <cell r="Q64">
            <v>0</v>
          </cell>
          <cell r="R64">
            <v>0</v>
          </cell>
          <cell r="S64">
            <v>0</v>
          </cell>
          <cell r="U64">
            <v>0</v>
          </cell>
          <cell r="V64">
            <v>0</v>
          </cell>
          <cell r="W64">
            <v>0</v>
          </cell>
          <cell r="X64">
            <v>0</v>
          </cell>
          <cell r="Y64">
            <v>0</v>
          </cell>
          <cell r="Z64">
            <v>0</v>
          </cell>
          <cell r="AA64">
            <v>0</v>
          </cell>
          <cell r="AB64">
            <v>0</v>
          </cell>
          <cell r="AC64">
            <v>0</v>
          </cell>
        </row>
        <row r="65">
          <cell r="B65" t="str">
            <v>学校所在地</v>
          </cell>
          <cell r="C65">
            <v>0</v>
          </cell>
          <cell r="D65" t="str">
            <v>富山県富山市婦中町板倉３４５－１</v>
          </cell>
          <cell r="E65">
            <v>0</v>
          </cell>
          <cell r="F65">
            <v>0</v>
          </cell>
          <cell r="G65">
            <v>0</v>
          </cell>
          <cell r="H65">
            <v>0</v>
          </cell>
          <cell r="I65">
            <v>0</v>
          </cell>
          <cell r="L65" t="str">
            <v>学校所在地</v>
          </cell>
          <cell r="M65">
            <v>0</v>
          </cell>
          <cell r="N65" t="str">
            <v>富山県富山市五艘１３００</v>
          </cell>
          <cell r="O65">
            <v>0</v>
          </cell>
          <cell r="P65">
            <v>0</v>
          </cell>
          <cell r="Q65">
            <v>0</v>
          </cell>
          <cell r="R65">
            <v>0</v>
          </cell>
          <cell r="S65">
            <v>0</v>
          </cell>
          <cell r="U65">
            <v>0</v>
          </cell>
          <cell r="V65">
            <v>0</v>
          </cell>
          <cell r="W65">
            <v>0</v>
          </cell>
          <cell r="X65">
            <v>0</v>
          </cell>
          <cell r="Y65">
            <v>0</v>
          </cell>
          <cell r="Z65">
            <v>0</v>
          </cell>
          <cell r="AA65">
            <v>0</v>
          </cell>
          <cell r="AB65">
            <v>0</v>
          </cell>
          <cell r="AC65">
            <v>0</v>
          </cell>
        </row>
        <row r="66">
          <cell r="B66" t="str">
            <v>監督</v>
          </cell>
          <cell r="C66">
            <v>0</v>
          </cell>
          <cell r="D66" t="str">
            <v>森川 誠</v>
          </cell>
          <cell r="E66">
            <v>0</v>
          </cell>
          <cell r="F66">
            <v>0</v>
          </cell>
          <cell r="G66">
            <v>0</v>
          </cell>
          <cell r="H66">
            <v>0</v>
          </cell>
          <cell r="I66">
            <v>0</v>
          </cell>
          <cell r="L66" t="str">
            <v>監督</v>
          </cell>
          <cell r="M66">
            <v>0</v>
          </cell>
          <cell r="N66" t="str">
            <v>横田 有司</v>
          </cell>
          <cell r="O66">
            <v>0</v>
          </cell>
          <cell r="P66">
            <v>0</v>
          </cell>
          <cell r="Q66">
            <v>0</v>
          </cell>
          <cell r="R66">
            <v>0</v>
          </cell>
          <cell r="S66">
            <v>0</v>
          </cell>
          <cell r="U66">
            <v>0</v>
          </cell>
          <cell r="V66">
            <v>0</v>
          </cell>
          <cell r="W66">
            <v>0</v>
          </cell>
          <cell r="X66">
            <v>0</v>
          </cell>
          <cell r="Y66">
            <v>0</v>
          </cell>
          <cell r="Z66">
            <v>0</v>
          </cell>
          <cell r="AA66">
            <v>0</v>
          </cell>
          <cell r="AB66">
            <v>0</v>
          </cell>
          <cell r="AC66">
            <v>0</v>
          </cell>
        </row>
        <row r="67">
          <cell r="B67" t="str">
            <v>コーチ</v>
          </cell>
          <cell r="C67">
            <v>0</v>
          </cell>
          <cell r="D67" t="str">
            <v>植野 昌弘</v>
          </cell>
          <cell r="E67">
            <v>0</v>
          </cell>
          <cell r="F67">
            <v>0</v>
          </cell>
          <cell r="G67">
            <v>0</v>
          </cell>
          <cell r="H67" t="str">
            <v>(教員)</v>
          </cell>
          <cell r="I67">
            <v>0</v>
          </cell>
          <cell r="L67" t="str">
            <v>コーチ</v>
          </cell>
          <cell r="M67">
            <v>0</v>
          </cell>
          <cell r="N67" t="str">
            <v>前坂 宣明</v>
          </cell>
          <cell r="O67">
            <v>0</v>
          </cell>
          <cell r="P67">
            <v>0</v>
          </cell>
          <cell r="Q67">
            <v>0</v>
          </cell>
          <cell r="R67" t="str">
            <v>(承認)</v>
          </cell>
          <cell r="S67">
            <v>0</v>
          </cell>
          <cell r="U67">
            <v>0</v>
          </cell>
          <cell r="V67">
            <v>0</v>
          </cell>
          <cell r="W67">
            <v>0</v>
          </cell>
          <cell r="X67">
            <v>0</v>
          </cell>
          <cell r="Y67">
            <v>0</v>
          </cell>
          <cell r="Z67">
            <v>0</v>
          </cell>
          <cell r="AA67">
            <v>0</v>
          </cell>
          <cell r="AB67">
            <v>0</v>
          </cell>
          <cell r="AC67">
            <v>0</v>
          </cell>
        </row>
        <row r="68">
          <cell r="B68" t="str">
            <v>マネージャー</v>
          </cell>
          <cell r="C68">
            <v>0</v>
          </cell>
          <cell r="D68">
            <v>0</v>
          </cell>
          <cell r="E68">
            <v>0</v>
          </cell>
          <cell r="F68">
            <v>0</v>
          </cell>
          <cell r="G68">
            <v>0</v>
          </cell>
          <cell r="H68">
            <v>0</v>
          </cell>
          <cell r="I68">
            <v>0</v>
          </cell>
          <cell r="L68" t="str">
            <v>マネージャー</v>
          </cell>
          <cell r="M68">
            <v>0</v>
          </cell>
          <cell r="N68" t="str">
            <v>堀 篤史</v>
          </cell>
          <cell r="O68">
            <v>0</v>
          </cell>
          <cell r="P68">
            <v>0</v>
          </cell>
          <cell r="Q68">
            <v>0</v>
          </cell>
          <cell r="R68" t="str">
            <v>(教員)</v>
          </cell>
          <cell r="S68">
            <v>0</v>
          </cell>
          <cell r="U68">
            <v>0</v>
          </cell>
          <cell r="V68">
            <v>0</v>
          </cell>
          <cell r="W68">
            <v>0</v>
          </cell>
          <cell r="X68">
            <v>0</v>
          </cell>
          <cell r="Y68">
            <v>0</v>
          </cell>
          <cell r="Z68">
            <v>0</v>
          </cell>
          <cell r="AA68">
            <v>0</v>
          </cell>
          <cell r="AB68">
            <v>0</v>
          </cell>
          <cell r="AC68">
            <v>0</v>
          </cell>
        </row>
        <row r="69">
          <cell r="D69">
            <v>0</v>
          </cell>
          <cell r="E69">
            <v>0</v>
          </cell>
          <cell r="F69">
            <v>0</v>
          </cell>
          <cell r="G69">
            <v>0</v>
          </cell>
          <cell r="H69">
            <v>0</v>
          </cell>
          <cell r="I69">
            <v>0</v>
          </cell>
          <cell r="N69">
            <v>0</v>
          </cell>
          <cell r="O69">
            <v>0</v>
          </cell>
          <cell r="P69">
            <v>0</v>
          </cell>
          <cell r="Q69">
            <v>0</v>
          </cell>
          <cell r="R69">
            <v>0</v>
          </cell>
          <cell r="S69">
            <v>0</v>
          </cell>
          <cell r="U69">
            <v>0</v>
          </cell>
          <cell r="V69">
            <v>0</v>
          </cell>
          <cell r="W69">
            <v>0</v>
          </cell>
          <cell r="X69">
            <v>0</v>
          </cell>
          <cell r="Y69">
            <v>0</v>
          </cell>
          <cell r="Z69">
            <v>0</v>
          </cell>
          <cell r="AA69">
            <v>0</v>
          </cell>
          <cell r="AB69">
            <v>0</v>
          </cell>
          <cell r="AC69">
            <v>0</v>
          </cell>
        </row>
        <row r="70">
          <cell r="A70" t="str">
            <v>先発</v>
          </cell>
          <cell r="B70" t="str">
            <v>番号</v>
          </cell>
          <cell r="C70" t="str">
            <v>位置</v>
          </cell>
          <cell r="D70" t="str">
            <v>氏名</v>
          </cell>
          <cell r="E70">
            <v>0</v>
          </cell>
          <cell r="F70" t="str">
            <v>ふりがな</v>
          </cell>
          <cell r="G70">
            <v>0</v>
          </cell>
          <cell r="H70">
            <v>0</v>
          </cell>
          <cell r="I70" t="str">
            <v>学年</v>
          </cell>
          <cell r="K70" t="str">
            <v>先発</v>
          </cell>
          <cell r="L70" t="str">
            <v>番号</v>
          </cell>
          <cell r="M70" t="str">
            <v>位置</v>
          </cell>
          <cell r="N70" t="str">
            <v>氏名</v>
          </cell>
          <cell r="O70">
            <v>0</v>
          </cell>
          <cell r="P70" t="str">
            <v>ふりがな</v>
          </cell>
          <cell r="Q70">
            <v>0</v>
          </cell>
          <cell r="R70">
            <v>0</v>
          </cell>
          <cell r="S70" t="str">
            <v>学年</v>
          </cell>
          <cell r="U70">
            <v>0</v>
          </cell>
          <cell r="V70">
            <v>0</v>
          </cell>
          <cell r="W70">
            <v>0</v>
          </cell>
          <cell r="X70">
            <v>0</v>
          </cell>
          <cell r="Y70">
            <v>0</v>
          </cell>
          <cell r="Z70">
            <v>0</v>
          </cell>
          <cell r="AA70">
            <v>0</v>
          </cell>
          <cell r="AB70">
            <v>0</v>
          </cell>
          <cell r="AC70">
            <v>0</v>
          </cell>
        </row>
        <row r="71">
          <cell r="A71">
            <v>0</v>
          </cell>
          <cell r="B71">
            <v>1</v>
          </cell>
          <cell r="C71" t="str">
            <v>GK</v>
          </cell>
          <cell r="D71" t="str">
            <v>成伯 良雅</v>
          </cell>
          <cell r="E71">
            <v>0</v>
          </cell>
          <cell r="F71" t="str">
            <v>なりき りょうが</v>
          </cell>
          <cell r="G71">
            <v>0</v>
          </cell>
          <cell r="H71">
            <v>0</v>
          </cell>
          <cell r="I71">
            <v>3</v>
          </cell>
          <cell r="K71">
            <v>0</v>
          </cell>
          <cell r="L71">
            <v>1</v>
          </cell>
          <cell r="M71" t="str">
            <v>GK</v>
          </cell>
          <cell r="N71" t="str">
            <v>新田 開</v>
          </cell>
          <cell r="O71">
            <v>0</v>
          </cell>
          <cell r="P71" t="str">
            <v>にった かい</v>
          </cell>
          <cell r="Q71">
            <v>0</v>
          </cell>
          <cell r="R71">
            <v>0</v>
          </cell>
          <cell r="S71">
            <v>3</v>
          </cell>
          <cell r="U71">
            <v>0</v>
          </cell>
          <cell r="V71">
            <v>0</v>
          </cell>
          <cell r="W71">
            <v>0</v>
          </cell>
          <cell r="X71">
            <v>0</v>
          </cell>
          <cell r="Y71">
            <v>0</v>
          </cell>
          <cell r="Z71">
            <v>0</v>
          </cell>
          <cell r="AA71">
            <v>0</v>
          </cell>
          <cell r="AB71">
            <v>0</v>
          </cell>
          <cell r="AC71">
            <v>0</v>
          </cell>
        </row>
        <row r="72">
          <cell r="A72">
            <v>0</v>
          </cell>
          <cell r="B72">
            <v>2</v>
          </cell>
          <cell r="C72" t="str">
            <v>DF</v>
          </cell>
          <cell r="D72" t="str">
            <v>飯森 涼太</v>
          </cell>
          <cell r="E72">
            <v>0</v>
          </cell>
          <cell r="F72" t="str">
            <v>いいもり りょうた</v>
          </cell>
          <cell r="G72">
            <v>0</v>
          </cell>
          <cell r="H72">
            <v>0</v>
          </cell>
          <cell r="I72">
            <v>3</v>
          </cell>
          <cell r="K72">
            <v>0</v>
          </cell>
          <cell r="L72">
            <v>2</v>
          </cell>
          <cell r="M72" t="str">
            <v>DF</v>
          </cell>
          <cell r="N72" t="str">
            <v>松井 麟太郎</v>
          </cell>
          <cell r="O72">
            <v>0</v>
          </cell>
          <cell r="P72" t="str">
            <v>まつい りんたろう</v>
          </cell>
          <cell r="Q72">
            <v>0</v>
          </cell>
          <cell r="R72">
            <v>0</v>
          </cell>
          <cell r="S72">
            <v>3</v>
          </cell>
          <cell r="U72">
            <v>0</v>
          </cell>
          <cell r="V72">
            <v>0</v>
          </cell>
          <cell r="W72">
            <v>0</v>
          </cell>
          <cell r="X72">
            <v>0</v>
          </cell>
          <cell r="Y72">
            <v>0</v>
          </cell>
          <cell r="Z72">
            <v>0</v>
          </cell>
          <cell r="AA72">
            <v>0</v>
          </cell>
          <cell r="AB72">
            <v>0</v>
          </cell>
          <cell r="AC72">
            <v>0</v>
          </cell>
        </row>
        <row r="73">
          <cell r="A73">
            <v>0</v>
          </cell>
          <cell r="B73">
            <v>3</v>
          </cell>
          <cell r="C73" t="str">
            <v>DF</v>
          </cell>
          <cell r="D73" t="str">
            <v>辻村 翼</v>
          </cell>
          <cell r="E73">
            <v>0</v>
          </cell>
          <cell r="F73" t="str">
            <v>つじむら つばさ</v>
          </cell>
          <cell r="G73">
            <v>0</v>
          </cell>
          <cell r="H73">
            <v>0</v>
          </cell>
          <cell r="I73">
            <v>3</v>
          </cell>
          <cell r="K73">
            <v>0</v>
          </cell>
          <cell r="L73">
            <v>3</v>
          </cell>
          <cell r="M73" t="str">
            <v>DF</v>
          </cell>
          <cell r="N73" t="str">
            <v>宮坂 幸希</v>
          </cell>
          <cell r="O73">
            <v>0</v>
          </cell>
          <cell r="P73" t="str">
            <v>みやさか こうき</v>
          </cell>
          <cell r="Q73">
            <v>0</v>
          </cell>
          <cell r="R73">
            <v>0</v>
          </cell>
          <cell r="S73">
            <v>3</v>
          </cell>
          <cell r="U73">
            <v>0</v>
          </cell>
          <cell r="V73">
            <v>0</v>
          </cell>
          <cell r="W73">
            <v>0</v>
          </cell>
          <cell r="X73">
            <v>0</v>
          </cell>
          <cell r="Y73">
            <v>0</v>
          </cell>
          <cell r="Z73">
            <v>0</v>
          </cell>
          <cell r="AA73">
            <v>0</v>
          </cell>
          <cell r="AB73">
            <v>0</v>
          </cell>
          <cell r="AC73">
            <v>0</v>
          </cell>
        </row>
        <row r="74">
          <cell r="A74">
            <v>0</v>
          </cell>
          <cell r="B74">
            <v>4</v>
          </cell>
          <cell r="C74" t="str">
            <v>DF</v>
          </cell>
          <cell r="D74" t="str">
            <v>川上 紫央</v>
          </cell>
          <cell r="E74">
            <v>0</v>
          </cell>
          <cell r="F74" t="str">
            <v>かわかみ しおう</v>
          </cell>
          <cell r="G74">
            <v>0</v>
          </cell>
          <cell r="H74">
            <v>0</v>
          </cell>
          <cell r="I74">
            <v>3</v>
          </cell>
          <cell r="K74">
            <v>0</v>
          </cell>
          <cell r="L74">
            <v>4</v>
          </cell>
          <cell r="M74" t="str">
            <v>FW</v>
          </cell>
          <cell r="N74" t="str">
            <v>若田 蓮</v>
          </cell>
          <cell r="O74">
            <v>0</v>
          </cell>
          <cell r="P74" t="str">
            <v>わかた れん</v>
          </cell>
          <cell r="Q74">
            <v>0</v>
          </cell>
          <cell r="R74">
            <v>0</v>
          </cell>
          <cell r="S74">
            <v>3</v>
          </cell>
          <cell r="U74">
            <v>0</v>
          </cell>
          <cell r="V74">
            <v>0</v>
          </cell>
          <cell r="W74">
            <v>0</v>
          </cell>
          <cell r="X74">
            <v>0</v>
          </cell>
          <cell r="Y74">
            <v>0</v>
          </cell>
          <cell r="Z74">
            <v>0</v>
          </cell>
          <cell r="AA74">
            <v>0</v>
          </cell>
          <cell r="AB74">
            <v>0</v>
          </cell>
          <cell r="AC74">
            <v>0</v>
          </cell>
        </row>
        <row r="75">
          <cell r="A75">
            <v>0</v>
          </cell>
          <cell r="B75">
            <v>5</v>
          </cell>
          <cell r="C75" t="str">
            <v>DF</v>
          </cell>
          <cell r="D75" t="str">
            <v>浮田 隆生</v>
          </cell>
          <cell r="E75">
            <v>0</v>
          </cell>
          <cell r="F75" t="str">
            <v>うきた りゅうき</v>
          </cell>
          <cell r="G75">
            <v>0</v>
          </cell>
          <cell r="H75">
            <v>0</v>
          </cell>
          <cell r="I75">
            <v>3</v>
          </cell>
          <cell r="K75">
            <v>0</v>
          </cell>
          <cell r="L75">
            <v>5</v>
          </cell>
          <cell r="M75" t="str">
            <v>DF</v>
          </cell>
          <cell r="N75" t="str">
            <v>木原 輝</v>
          </cell>
          <cell r="O75">
            <v>0</v>
          </cell>
          <cell r="P75" t="str">
            <v>きはら ひかる</v>
          </cell>
          <cell r="Q75">
            <v>0</v>
          </cell>
          <cell r="R75">
            <v>0</v>
          </cell>
          <cell r="S75">
            <v>3</v>
          </cell>
          <cell r="U75">
            <v>0</v>
          </cell>
          <cell r="V75">
            <v>0</v>
          </cell>
          <cell r="W75">
            <v>0</v>
          </cell>
          <cell r="X75">
            <v>0</v>
          </cell>
          <cell r="Y75">
            <v>0</v>
          </cell>
          <cell r="Z75">
            <v>0</v>
          </cell>
          <cell r="AA75">
            <v>0</v>
          </cell>
          <cell r="AB75">
            <v>0</v>
          </cell>
          <cell r="AC75">
            <v>0</v>
          </cell>
        </row>
        <row r="76">
          <cell r="A76">
            <v>0</v>
          </cell>
          <cell r="B76">
            <v>6</v>
          </cell>
          <cell r="C76" t="str">
            <v>MF</v>
          </cell>
          <cell r="D76" t="str">
            <v>髙原 康希</v>
          </cell>
          <cell r="E76">
            <v>0</v>
          </cell>
          <cell r="F76" t="str">
            <v>たかはら こうき</v>
          </cell>
          <cell r="G76">
            <v>0</v>
          </cell>
          <cell r="H76">
            <v>0</v>
          </cell>
          <cell r="I76">
            <v>3</v>
          </cell>
          <cell r="K76">
            <v>0</v>
          </cell>
          <cell r="L76">
            <v>6</v>
          </cell>
          <cell r="M76" t="str">
            <v>DF</v>
          </cell>
          <cell r="N76" t="str">
            <v>浅井 隆史</v>
          </cell>
          <cell r="O76">
            <v>0</v>
          </cell>
          <cell r="P76" t="str">
            <v>あさい たかし</v>
          </cell>
          <cell r="Q76">
            <v>0</v>
          </cell>
          <cell r="R76">
            <v>0</v>
          </cell>
          <cell r="S76">
            <v>3</v>
          </cell>
          <cell r="U76">
            <v>0</v>
          </cell>
          <cell r="V76">
            <v>0</v>
          </cell>
          <cell r="W76">
            <v>0</v>
          </cell>
          <cell r="X76">
            <v>0</v>
          </cell>
          <cell r="Y76">
            <v>0</v>
          </cell>
          <cell r="Z76">
            <v>0</v>
          </cell>
          <cell r="AA76">
            <v>0</v>
          </cell>
          <cell r="AB76">
            <v>0</v>
          </cell>
          <cell r="AC76">
            <v>0</v>
          </cell>
        </row>
        <row r="77">
          <cell r="A77">
            <v>0</v>
          </cell>
          <cell r="B77">
            <v>7</v>
          </cell>
          <cell r="C77" t="str">
            <v>MF</v>
          </cell>
          <cell r="D77" t="str">
            <v>宮崎 滉</v>
          </cell>
          <cell r="E77">
            <v>0</v>
          </cell>
          <cell r="F77" t="str">
            <v>みやざき こう</v>
          </cell>
          <cell r="G77">
            <v>0</v>
          </cell>
          <cell r="H77">
            <v>0</v>
          </cell>
          <cell r="I77">
            <v>3</v>
          </cell>
          <cell r="K77">
            <v>0</v>
          </cell>
          <cell r="L77">
            <v>7</v>
          </cell>
          <cell r="M77" t="str">
            <v>MF</v>
          </cell>
          <cell r="N77" t="str">
            <v>七澤 拓海</v>
          </cell>
          <cell r="O77">
            <v>0</v>
          </cell>
          <cell r="P77" t="str">
            <v>ななさわ たくみ</v>
          </cell>
          <cell r="Q77">
            <v>0</v>
          </cell>
          <cell r="R77">
            <v>0</v>
          </cell>
          <cell r="S77">
            <v>3</v>
          </cell>
          <cell r="U77">
            <v>0</v>
          </cell>
          <cell r="V77">
            <v>0</v>
          </cell>
          <cell r="W77">
            <v>0</v>
          </cell>
          <cell r="X77">
            <v>0</v>
          </cell>
          <cell r="Y77">
            <v>0</v>
          </cell>
          <cell r="Z77">
            <v>0</v>
          </cell>
          <cell r="AA77">
            <v>0</v>
          </cell>
          <cell r="AB77">
            <v>0</v>
          </cell>
          <cell r="AC77">
            <v>0</v>
          </cell>
        </row>
        <row r="78">
          <cell r="A78">
            <v>0</v>
          </cell>
          <cell r="B78">
            <v>8</v>
          </cell>
          <cell r="C78" t="str">
            <v>MF</v>
          </cell>
          <cell r="D78" t="str">
            <v>藤田 慎之介</v>
          </cell>
          <cell r="E78">
            <v>0</v>
          </cell>
          <cell r="F78" t="str">
            <v>ふじた しんのすけ</v>
          </cell>
          <cell r="G78">
            <v>0</v>
          </cell>
          <cell r="H78">
            <v>0</v>
          </cell>
          <cell r="I78">
            <v>3</v>
          </cell>
          <cell r="K78">
            <v>0</v>
          </cell>
          <cell r="L78">
            <v>8</v>
          </cell>
          <cell r="M78" t="str">
            <v>MF</v>
          </cell>
          <cell r="N78" t="str">
            <v>三井 尚暉</v>
          </cell>
          <cell r="O78">
            <v>0</v>
          </cell>
          <cell r="P78" t="str">
            <v>みつい なおき</v>
          </cell>
          <cell r="Q78">
            <v>0</v>
          </cell>
          <cell r="R78">
            <v>0</v>
          </cell>
          <cell r="S78">
            <v>3</v>
          </cell>
          <cell r="U78">
            <v>0</v>
          </cell>
          <cell r="V78">
            <v>0</v>
          </cell>
          <cell r="W78">
            <v>0</v>
          </cell>
          <cell r="X78">
            <v>0</v>
          </cell>
          <cell r="Y78">
            <v>0</v>
          </cell>
          <cell r="Z78">
            <v>0</v>
          </cell>
          <cell r="AA78">
            <v>0</v>
          </cell>
          <cell r="AB78">
            <v>0</v>
          </cell>
          <cell r="AC78">
            <v>0</v>
          </cell>
        </row>
        <row r="79">
          <cell r="A79">
            <v>0</v>
          </cell>
          <cell r="B79">
            <v>9</v>
          </cell>
          <cell r="C79" t="str">
            <v>MF</v>
          </cell>
          <cell r="D79" t="str">
            <v>中林 暉</v>
          </cell>
          <cell r="E79">
            <v>0</v>
          </cell>
          <cell r="F79" t="str">
            <v>なかばやし ひかる</v>
          </cell>
          <cell r="G79">
            <v>0</v>
          </cell>
          <cell r="H79">
            <v>0</v>
          </cell>
          <cell r="I79">
            <v>3</v>
          </cell>
          <cell r="K79">
            <v>0</v>
          </cell>
          <cell r="L79">
            <v>9</v>
          </cell>
          <cell r="M79" t="str">
            <v>FW</v>
          </cell>
          <cell r="N79" t="str">
            <v>髙尾 成</v>
          </cell>
          <cell r="O79">
            <v>0</v>
          </cell>
          <cell r="P79" t="str">
            <v>たかお しげる</v>
          </cell>
          <cell r="Q79">
            <v>0</v>
          </cell>
          <cell r="R79">
            <v>0</v>
          </cell>
          <cell r="S79">
            <v>3</v>
          </cell>
          <cell r="U79">
            <v>0</v>
          </cell>
          <cell r="V79">
            <v>0</v>
          </cell>
          <cell r="W79">
            <v>0</v>
          </cell>
          <cell r="X79">
            <v>0</v>
          </cell>
          <cell r="Y79">
            <v>0</v>
          </cell>
          <cell r="Z79">
            <v>0</v>
          </cell>
          <cell r="AA79">
            <v>0</v>
          </cell>
          <cell r="AB79">
            <v>0</v>
          </cell>
          <cell r="AC79">
            <v>0</v>
          </cell>
        </row>
        <row r="80">
          <cell r="A80">
            <v>0</v>
          </cell>
          <cell r="B80">
            <v>10</v>
          </cell>
          <cell r="C80" t="str">
            <v>FW</v>
          </cell>
          <cell r="D80" t="str">
            <v>小林 恵嗣</v>
          </cell>
          <cell r="E80">
            <v>0</v>
          </cell>
          <cell r="F80" t="str">
            <v>こばやし けいし</v>
          </cell>
          <cell r="G80">
            <v>0</v>
          </cell>
          <cell r="H80">
            <v>0</v>
          </cell>
          <cell r="I80">
            <v>3</v>
          </cell>
          <cell r="K80">
            <v>0</v>
          </cell>
          <cell r="L80">
            <v>10</v>
          </cell>
          <cell r="M80" t="str">
            <v>MF</v>
          </cell>
          <cell r="N80" t="str">
            <v>新田 燿</v>
          </cell>
          <cell r="O80">
            <v>0</v>
          </cell>
          <cell r="P80" t="str">
            <v>にった よう</v>
          </cell>
          <cell r="Q80">
            <v>0</v>
          </cell>
          <cell r="R80">
            <v>0</v>
          </cell>
          <cell r="S80">
            <v>3</v>
          </cell>
          <cell r="U80">
            <v>0</v>
          </cell>
          <cell r="V80">
            <v>0</v>
          </cell>
          <cell r="W80">
            <v>0</v>
          </cell>
          <cell r="X80">
            <v>0</v>
          </cell>
          <cell r="Y80">
            <v>0</v>
          </cell>
          <cell r="Z80">
            <v>0</v>
          </cell>
          <cell r="AA80">
            <v>0</v>
          </cell>
          <cell r="AB80">
            <v>0</v>
          </cell>
          <cell r="AC80">
            <v>0</v>
          </cell>
        </row>
        <row r="81">
          <cell r="A81">
            <v>0</v>
          </cell>
          <cell r="B81">
            <v>11</v>
          </cell>
          <cell r="C81" t="str">
            <v>FW</v>
          </cell>
          <cell r="D81" t="str">
            <v>山口 亨</v>
          </cell>
          <cell r="E81">
            <v>0</v>
          </cell>
          <cell r="F81" t="str">
            <v>やまぐち とおる</v>
          </cell>
          <cell r="G81">
            <v>0</v>
          </cell>
          <cell r="H81">
            <v>0</v>
          </cell>
          <cell r="I81">
            <v>3</v>
          </cell>
          <cell r="K81">
            <v>0</v>
          </cell>
          <cell r="L81">
            <v>11</v>
          </cell>
          <cell r="M81" t="str">
            <v>FW</v>
          </cell>
          <cell r="N81" t="str">
            <v>赤松 潤</v>
          </cell>
          <cell r="O81">
            <v>0</v>
          </cell>
          <cell r="P81" t="str">
            <v>あかまつ じゅん</v>
          </cell>
          <cell r="Q81">
            <v>0</v>
          </cell>
          <cell r="R81">
            <v>0</v>
          </cell>
          <cell r="S81">
            <v>3</v>
          </cell>
          <cell r="U81">
            <v>0</v>
          </cell>
          <cell r="V81">
            <v>0</v>
          </cell>
          <cell r="W81">
            <v>0</v>
          </cell>
          <cell r="X81">
            <v>0</v>
          </cell>
          <cell r="Y81">
            <v>0</v>
          </cell>
          <cell r="Z81">
            <v>0</v>
          </cell>
          <cell r="AA81">
            <v>0</v>
          </cell>
          <cell r="AB81">
            <v>0</v>
          </cell>
          <cell r="AC81">
            <v>0</v>
          </cell>
        </row>
        <row r="82">
          <cell r="A82">
            <v>0</v>
          </cell>
          <cell r="B82">
            <v>12</v>
          </cell>
          <cell r="C82" t="str">
            <v>DF</v>
          </cell>
          <cell r="D82" t="str">
            <v>岡本 大輝</v>
          </cell>
          <cell r="E82">
            <v>0</v>
          </cell>
          <cell r="F82" t="str">
            <v>おかもと だいき</v>
          </cell>
          <cell r="G82">
            <v>0</v>
          </cell>
          <cell r="H82">
            <v>0</v>
          </cell>
          <cell r="I82">
            <v>3</v>
          </cell>
          <cell r="K82">
            <v>0</v>
          </cell>
          <cell r="L82">
            <v>12</v>
          </cell>
          <cell r="M82" t="str">
            <v>GK</v>
          </cell>
          <cell r="N82" t="str">
            <v>永井 聖志郎</v>
          </cell>
          <cell r="O82">
            <v>0</v>
          </cell>
          <cell r="P82" t="str">
            <v>ながい きよしろう</v>
          </cell>
          <cell r="Q82">
            <v>0</v>
          </cell>
          <cell r="R82">
            <v>0</v>
          </cell>
          <cell r="S82">
            <v>2</v>
          </cell>
          <cell r="U82">
            <v>0</v>
          </cell>
          <cell r="V82">
            <v>0</v>
          </cell>
          <cell r="W82">
            <v>0</v>
          </cell>
          <cell r="X82">
            <v>0</v>
          </cell>
          <cell r="Y82">
            <v>0</v>
          </cell>
          <cell r="Z82">
            <v>0</v>
          </cell>
          <cell r="AA82">
            <v>0</v>
          </cell>
          <cell r="AB82">
            <v>0</v>
          </cell>
          <cell r="AC82">
            <v>0</v>
          </cell>
        </row>
        <row r="83">
          <cell r="A83">
            <v>0</v>
          </cell>
          <cell r="B83">
            <v>13</v>
          </cell>
          <cell r="C83" t="str">
            <v>DF</v>
          </cell>
          <cell r="D83" t="str">
            <v>新村 和史</v>
          </cell>
          <cell r="E83">
            <v>0</v>
          </cell>
          <cell r="F83" t="str">
            <v>しんむら かずし</v>
          </cell>
          <cell r="G83">
            <v>0</v>
          </cell>
          <cell r="H83">
            <v>0</v>
          </cell>
          <cell r="I83">
            <v>2</v>
          </cell>
          <cell r="K83">
            <v>0</v>
          </cell>
          <cell r="L83">
            <v>13</v>
          </cell>
          <cell r="M83" t="str">
            <v>DF</v>
          </cell>
          <cell r="N83" t="str">
            <v>黒澤 武史</v>
          </cell>
          <cell r="O83">
            <v>0</v>
          </cell>
          <cell r="P83" t="str">
            <v>くろさわ たけし</v>
          </cell>
          <cell r="Q83">
            <v>0</v>
          </cell>
          <cell r="R83">
            <v>0</v>
          </cell>
          <cell r="S83">
            <v>3</v>
          </cell>
          <cell r="U83">
            <v>0</v>
          </cell>
          <cell r="V83">
            <v>0</v>
          </cell>
          <cell r="W83">
            <v>0</v>
          </cell>
          <cell r="X83">
            <v>0</v>
          </cell>
          <cell r="Y83">
            <v>0</v>
          </cell>
          <cell r="Z83">
            <v>0</v>
          </cell>
          <cell r="AA83">
            <v>0</v>
          </cell>
          <cell r="AB83">
            <v>0</v>
          </cell>
          <cell r="AC83">
            <v>0</v>
          </cell>
        </row>
        <row r="84">
          <cell r="A84">
            <v>0</v>
          </cell>
          <cell r="B84">
            <v>14</v>
          </cell>
          <cell r="C84" t="str">
            <v>MF</v>
          </cell>
          <cell r="D84" t="str">
            <v>吉岡 拓真</v>
          </cell>
          <cell r="E84">
            <v>0</v>
          </cell>
          <cell r="F84" t="str">
            <v>よしおか たくま</v>
          </cell>
          <cell r="G84">
            <v>0</v>
          </cell>
          <cell r="H84">
            <v>0</v>
          </cell>
          <cell r="I84">
            <v>3</v>
          </cell>
          <cell r="K84">
            <v>0</v>
          </cell>
          <cell r="L84">
            <v>14</v>
          </cell>
          <cell r="M84" t="str">
            <v>DF</v>
          </cell>
          <cell r="N84" t="str">
            <v>牛島 一英</v>
          </cell>
          <cell r="O84">
            <v>0</v>
          </cell>
          <cell r="P84" t="str">
            <v>うしじま いちた</v>
          </cell>
          <cell r="Q84">
            <v>0</v>
          </cell>
          <cell r="R84">
            <v>0</v>
          </cell>
          <cell r="S84">
            <v>3</v>
          </cell>
          <cell r="U84">
            <v>0</v>
          </cell>
          <cell r="V84">
            <v>0</v>
          </cell>
          <cell r="W84">
            <v>0</v>
          </cell>
          <cell r="X84">
            <v>0</v>
          </cell>
          <cell r="Y84">
            <v>0</v>
          </cell>
          <cell r="Z84">
            <v>0</v>
          </cell>
          <cell r="AA84">
            <v>0</v>
          </cell>
          <cell r="AB84">
            <v>0</v>
          </cell>
          <cell r="AC84">
            <v>0</v>
          </cell>
        </row>
        <row r="85">
          <cell r="A85">
            <v>0</v>
          </cell>
          <cell r="B85">
            <v>15</v>
          </cell>
          <cell r="C85" t="str">
            <v>MF</v>
          </cell>
          <cell r="D85" t="str">
            <v>杉林 泰斗</v>
          </cell>
          <cell r="E85">
            <v>0</v>
          </cell>
          <cell r="F85" t="str">
            <v>すぎばやし たいと</v>
          </cell>
          <cell r="G85">
            <v>0</v>
          </cell>
          <cell r="H85">
            <v>0</v>
          </cell>
          <cell r="I85">
            <v>2</v>
          </cell>
          <cell r="K85">
            <v>0</v>
          </cell>
          <cell r="L85">
            <v>15</v>
          </cell>
          <cell r="M85" t="str">
            <v>FW</v>
          </cell>
          <cell r="N85" t="str">
            <v>村中 和輝</v>
          </cell>
          <cell r="O85">
            <v>0</v>
          </cell>
          <cell r="P85" t="str">
            <v>むらなか かずき</v>
          </cell>
          <cell r="Q85">
            <v>0</v>
          </cell>
          <cell r="R85">
            <v>0</v>
          </cell>
          <cell r="S85">
            <v>2</v>
          </cell>
          <cell r="U85">
            <v>0</v>
          </cell>
          <cell r="V85">
            <v>0</v>
          </cell>
          <cell r="W85">
            <v>0</v>
          </cell>
          <cell r="X85">
            <v>0</v>
          </cell>
          <cell r="Y85">
            <v>0</v>
          </cell>
          <cell r="Z85">
            <v>0</v>
          </cell>
          <cell r="AA85">
            <v>0</v>
          </cell>
          <cell r="AB85">
            <v>0</v>
          </cell>
          <cell r="AC85">
            <v>0</v>
          </cell>
        </row>
        <row r="86">
          <cell r="A86">
            <v>0</v>
          </cell>
          <cell r="B86">
            <v>16</v>
          </cell>
          <cell r="C86" t="str">
            <v>MF</v>
          </cell>
          <cell r="D86" t="str">
            <v>高松 龍聖</v>
          </cell>
          <cell r="E86">
            <v>0</v>
          </cell>
          <cell r="F86" t="str">
            <v>たかまつ りゅうせい</v>
          </cell>
          <cell r="G86">
            <v>0</v>
          </cell>
          <cell r="H86">
            <v>0</v>
          </cell>
          <cell r="I86">
            <v>2</v>
          </cell>
          <cell r="K86">
            <v>0</v>
          </cell>
          <cell r="L86">
            <v>16</v>
          </cell>
          <cell r="M86" t="str">
            <v>MF</v>
          </cell>
          <cell r="N86" t="str">
            <v>中川 拓弥</v>
          </cell>
          <cell r="O86">
            <v>0</v>
          </cell>
          <cell r="P86" t="str">
            <v>なかがわ たくや</v>
          </cell>
          <cell r="Q86">
            <v>0</v>
          </cell>
          <cell r="R86">
            <v>0</v>
          </cell>
          <cell r="S86">
            <v>2</v>
          </cell>
          <cell r="U86">
            <v>0</v>
          </cell>
          <cell r="V86">
            <v>0</v>
          </cell>
          <cell r="W86">
            <v>0</v>
          </cell>
          <cell r="X86">
            <v>0</v>
          </cell>
          <cell r="Y86">
            <v>0</v>
          </cell>
          <cell r="Z86">
            <v>0</v>
          </cell>
          <cell r="AA86">
            <v>0</v>
          </cell>
          <cell r="AB86">
            <v>0</v>
          </cell>
          <cell r="AC86">
            <v>0</v>
          </cell>
        </row>
        <row r="87">
          <cell r="A87">
            <v>0</v>
          </cell>
          <cell r="B87">
            <v>17</v>
          </cell>
          <cell r="C87" t="str">
            <v>FW</v>
          </cell>
          <cell r="D87" t="str">
            <v>喜多 渓士朗</v>
          </cell>
          <cell r="E87">
            <v>0</v>
          </cell>
          <cell r="F87" t="str">
            <v>きた けいしろう</v>
          </cell>
          <cell r="G87">
            <v>0</v>
          </cell>
          <cell r="H87">
            <v>0</v>
          </cell>
          <cell r="I87">
            <v>3</v>
          </cell>
          <cell r="K87">
            <v>0</v>
          </cell>
          <cell r="L87">
            <v>17</v>
          </cell>
          <cell r="M87" t="str">
            <v>FW</v>
          </cell>
          <cell r="N87" t="str">
            <v>吉田 龍維</v>
          </cell>
          <cell r="O87">
            <v>0</v>
          </cell>
          <cell r="P87" t="str">
            <v>よしだ たつな</v>
          </cell>
          <cell r="Q87">
            <v>0</v>
          </cell>
          <cell r="R87">
            <v>0</v>
          </cell>
          <cell r="S87">
            <v>2</v>
          </cell>
          <cell r="U87">
            <v>0</v>
          </cell>
          <cell r="V87">
            <v>0</v>
          </cell>
          <cell r="W87">
            <v>0</v>
          </cell>
          <cell r="X87">
            <v>0</v>
          </cell>
          <cell r="Y87">
            <v>0</v>
          </cell>
          <cell r="Z87">
            <v>0</v>
          </cell>
          <cell r="AA87">
            <v>0</v>
          </cell>
          <cell r="AB87">
            <v>0</v>
          </cell>
          <cell r="AC87">
            <v>0</v>
          </cell>
        </row>
        <row r="88">
          <cell r="A88">
            <v>0</v>
          </cell>
          <cell r="B88">
            <v>18</v>
          </cell>
          <cell r="C88" t="str">
            <v>GK</v>
          </cell>
          <cell r="D88" t="str">
            <v>田近 海斗</v>
          </cell>
          <cell r="E88">
            <v>0</v>
          </cell>
          <cell r="F88" t="str">
            <v>たぢか かいと</v>
          </cell>
          <cell r="G88">
            <v>0</v>
          </cell>
          <cell r="H88">
            <v>0</v>
          </cell>
          <cell r="I88">
            <v>3</v>
          </cell>
          <cell r="K88">
            <v>0</v>
          </cell>
          <cell r="L88">
            <v>18</v>
          </cell>
          <cell r="M88" t="str">
            <v>DF</v>
          </cell>
          <cell r="N88" t="str">
            <v>真下 海成</v>
          </cell>
          <cell r="O88">
            <v>0</v>
          </cell>
          <cell r="P88" t="str">
            <v>ました かいせい</v>
          </cell>
          <cell r="Q88">
            <v>0</v>
          </cell>
          <cell r="R88">
            <v>0</v>
          </cell>
          <cell r="S88">
            <v>2</v>
          </cell>
          <cell r="U88">
            <v>0</v>
          </cell>
          <cell r="V88">
            <v>0</v>
          </cell>
          <cell r="W88">
            <v>0</v>
          </cell>
          <cell r="X88">
            <v>0</v>
          </cell>
          <cell r="Y88">
            <v>0</v>
          </cell>
          <cell r="Z88">
            <v>0</v>
          </cell>
          <cell r="AA88">
            <v>0</v>
          </cell>
          <cell r="AB88">
            <v>0</v>
          </cell>
          <cell r="AC88">
            <v>0</v>
          </cell>
        </row>
        <row r="89">
          <cell r="U89">
            <v>0</v>
          </cell>
          <cell r="V89">
            <v>0</v>
          </cell>
          <cell r="W89">
            <v>0</v>
          </cell>
          <cell r="X89">
            <v>0</v>
          </cell>
          <cell r="Y89">
            <v>0</v>
          </cell>
          <cell r="Z89">
            <v>0</v>
          </cell>
          <cell r="AA89">
            <v>0</v>
          </cell>
          <cell r="AB89">
            <v>0</v>
          </cell>
          <cell r="AC89">
            <v>0</v>
          </cell>
        </row>
        <row r="90">
          <cell r="B90" t="str">
            <v>ユニフォーム</v>
          </cell>
          <cell r="C90">
            <v>0</v>
          </cell>
          <cell r="D90" t="str">
            <v>FP 正</v>
          </cell>
          <cell r="E90" t="str">
            <v>FP 副</v>
          </cell>
          <cell r="F90">
            <v>0</v>
          </cell>
          <cell r="G90" t="str">
            <v>GK 正</v>
          </cell>
          <cell r="H90" t="str">
            <v>GK 副</v>
          </cell>
          <cell r="I90">
            <v>0</v>
          </cell>
          <cell r="L90" t="str">
            <v>ユニフォーム</v>
          </cell>
          <cell r="M90">
            <v>0</v>
          </cell>
          <cell r="N90" t="str">
            <v>FP 正</v>
          </cell>
          <cell r="O90" t="str">
            <v>FP 副</v>
          </cell>
          <cell r="P90">
            <v>0</v>
          </cell>
          <cell r="Q90" t="str">
            <v>GK 正</v>
          </cell>
          <cell r="R90" t="str">
            <v>GK 副</v>
          </cell>
          <cell r="S90">
            <v>0</v>
          </cell>
          <cell r="U90">
            <v>0</v>
          </cell>
          <cell r="V90">
            <v>0</v>
          </cell>
          <cell r="W90">
            <v>0</v>
          </cell>
          <cell r="X90">
            <v>0</v>
          </cell>
          <cell r="Y90">
            <v>0</v>
          </cell>
          <cell r="Z90">
            <v>0</v>
          </cell>
          <cell r="AA90">
            <v>0</v>
          </cell>
          <cell r="AB90">
            <v>0</v>
          </cell>
          <cell r="AC90">
            <v>0</v>
          </cell>
        </row>
        <row r="91">
          <cell r="B91" t="str">
            <v>シャツ</v>
          </cell>
          <cell r="C91">
            <v>0</v>
          </cell>
          <cell r="D91" t="str">
            <v>オレンジ</v>
          </cell>
          <cell r="E91" t="str">
            <v>青</v>
          </cell>
          <cell r="F91">
            <v>0</v>
          </cell>
          <cell r="G91" t="str">
            <v>灰</v>
          </cell>
          <cell r="H91" t="str">
            <v>緑</v>
          </cell>
          <cell r="I91">
            <v>0</v>
          </cell>
          <cell r="L91" t="str">
            <v>シャツ</v>
          </cell>
          <cell r="M91">
            <v>0</v>
          </cell>
          <cell r="N91" t="str">
            <v>青</v>
          </cell>
          <cell r="O91" t="str">
            <v>白</v>
          </cell>
          <cell r="P91">
            <v>0</v>
          </cell>
          <cell r="Q91" t="str">
            <v>グレー</v>
          </cell>
          <cell r="R91" t="str">
            <v>赤</v>
          </cell>
          <cell r="S91">
            <v>0</v>
          </cell>
          <cell r="U91">
            <v>0</v>
          </cell>
          <cell r="V91">
            <v>0</v>
          </cell>
          <cell r="W91">
            <v>0</v>
          </cell>
          <cell r="X91">
            <v>0</v>
          </cell>
          <cell r="Y91">
            <v>0</v>
          </cell>
          <cell r="Z91">
            <v>0</v>
          </cell>
          <cell r="AA91">
            <v>0</v>
          </cell>
          <cell r="AB91">
            <v>0</v>
          </cell>
          <cell r="AC91">
            <v>0</v>
          </cell>
        </row>
        <row r="92">
          <cell r="B92" t="str">
            <v>パンツ</v>
          </cell>
          <cell r="C92">
            <v>0</v>
          </cell>
          <cell r="D92" t="str">
            <v>黒</v>
          </cell>
          <cell r="E92" t="str">
            <v>白</v>
          </cell>
          <cell r="F92">
            <v>0</v>
          </cell>
          <cell r="G92" t="str">
            <v>灰</v>
          </cell>
          <cell r="H92" t="str">
            <v>緑</v>
          </cell>
          <cell r="I92">
            <v>0</v>
          </cell>
          <cell r="L92" t="str">
            <v>パンツ</v>
          </cell>
          <cell r="M92">
            <v>0</v>
          </cell>
          <cell r="N92" t="str">
            <v>青</v>
          </cell>
          <cell r="O92" t="str">
            <v>白</v>
          </cell>
          <cell r="P92">
            <v>0</v>
          </cell>
          <cell r="Q92" t="str">
            <v>紺</v>
          </cell>
          <cell r="R92" t="str">
            <v>赤</v>
          </cell>
          <cell r="S92">
            <v>0</v>
          </cell>
          <cell r="U92">
            <v>0</v>
          </cell>
          <cell r="V92">
            <v>0</v>
          </cell>
          <cell r="W92">
            <v>0</v>
          </cell>
          <cell r="X92">
            <v>0</v>
          </cell>
          <cell r="Y92">
            <v>0</v>
          </cell>
          <cell r="Z92">
            <v>0</v>
          </cell>
          <cell r="AA92">
            <v>0</v>
          </cell>
          <cell r="AB92">
            <v>0</v>
          </cell>
          <cell r="AC92">
            <v>0</v>
          </cell>
        </row>
        <row r="93">
          <cell r="B93" t="str">
            <v>ストッキング</v>
          </cell>
          <cell r="C93">
            <v>0</v>
          </cell>
          <cell r="D93" t="str">
            <v>オレンジ</v>
          </cell>
          <cell r="E93" t="str">
            <v>青</v>
          </cell>
          <cell r="F93">
            <v>0</v>
          </cell>
          <cell r="G93" t="str">
            <v>灰</v>
          </cell>
          <cell r="H93" t="str">
            <v>緑</v>
          </cell>
          <cell r="I93">
            <v>0</v>
          </cell>
          <cell r="L93" t="str">
            <v>ストッキング</v>
          </cell>
          <cell r="M93">
            <v>0</v>
          </cell>
          <cell r="N93" t="str">
            <v>青</v>
          </cell>
          <cell r="O93" t="str">
            <v>白</v>
          </cell>
          <cell r="P93">
            <v>0</v>
          </cell>
          <cell r="Q93" t="str">
            <v>紺</v>
          </cell>
          <cell r="R93" t="str">
            <v>赤</v>
          </cell>
          <cell r="S93">
            <v>0</v>
          </cell>
          <cell r="U93">
            <v>0</v>
          </cell>
          <cell r="V93">
            <v>0</v>
          </cell>
          <cell r="W93">
            <v>0</v>
          </cell>
          <cell r="X93">
            <v>0</v>
          </cell>
          <cell r="Y93">
            <v>0</v>
          </cell>
          <cell r="Z93">
            <v>0</v>
          </cell>
          <cell r="AA93">
            <v>0</v>
          </cell>
          <cell r="AB93">
            <v>0</v>
          </cell>
          <cell r="AC93">
            <v>0</v>
          </cell>
        </row>
        <row r="94">
          <cell r="B94" t="str">
            <v>長野県代表 県大会第１位</v>
          </cell>
          <cell r="C94">
            <v>0</v>
          </cell>
          <cell r="D94">
            <v>0</v>
          </cell>
          <cell r="E94">
            <v>0</v>
          </cell>
          <cell r="F94">
            <v>0</v>
          </cell>
          <cell r="G94">
            <v>0</v>
          </cell>
          <cell r="H94">
            <v>0</v>
          </cell>
          <cell r="I94">
            <v>0</v>
          </cell>
          <cell r="L94" t="str">
            <v>長野県代表 県大会第２位</v>
          </cell>
          <cell r="M94">
            <v>0</v>
          </cell>
          <cell r="N94">
            <v>0</v>
          </cell>
          <cell r="O94">
            <v>0</v>
          </cell>
          <cell r="P94">
            <v>0</v>
          </cell>
          <cell r="Q94">
            <v>0</v>
          </cell>
          <cell r="R94">
            <v>0</v>
          </cell>
          <cell r="S94">
            <v>0</v>
          </cell>
          <cell r="U94">
            <v>0</v>
          </cell>
          <cell r="V94">
            <v>0</v>
          </cell>
          <cell r="W94">
            <v>0</v>
          </cell>
          <cell r="X94">
            <v>0</v>
          </cell>
          <cell r="Y94">
            <v>0</v>
          </cell>
          <cell r="Z94">
            <v>0</v>
          </cell>
          <cell r="AA94">
            <v>0</v>
          </cell>
          <cell r="AB94">
            <v>0</v>
          </cell>
          <cell r="AC94">
            <v>0</v>
          </cell>
        </row>
        <row r="95">
          <cell r="B95" t="str">
            <v>松本市立鎌田中学校</v>
          </cell>
          <cell r="C95">
            <v>0</v>
          </cell>
          <cell r="D95">
            <v>0</v>
          </cell>
          <cell r="E95">
            <v>0</v>
          </cell>
          <cell r="F95">
            <v>0</v>
          </cell>
          <cell r="G95">
            <v>0</v>
          </cell>
          <cell r="H95">
            <v>0</v>
          </cell>
          <cell r="I95">
            <v>0</v>
          </cell>
          <cell r="L95" t="str">
            <v>信州大学教育学部附属長野中学校</v>
          </cell>
          <cell r="M95">
            <v>0</v>
          </cell>
          <cell r="N95">
            <v>0</v>
          </cell>
          <cell r="O95">
            <v>0</v>
          </cell>
          <cell r="P95">
            <v>0</v>
          </cell>
          <cell r="Q95">
            <v>0</v>
          </cell>
          <cell r="R95">
            <v>0</v>
          </cell>
          <cell r="S95">
            <v>0</v>
          </cell>
          <cell r="U95">
            <v>0</v>
          </cell>
          <cell r="V95">
            <v>0</v>
          </cell>
          <cell r="W95">
            <v>0</v>
          </cell>
          <cell r="X95">
            <v>0</v>
          </cell>
          <cell r="Y95">
            <v>0</v>
          </cell>
          <cell r="Z95">
            <v>0</v>
          </cell>
          <cell r="AA95">
            <v>0</v>
          </cell>
          <cell r="AB95">
            <v>0</v>
          </cell>
          <cell r="AC95">
            <v>0</v>
          </cell>
        </row>
        <row r="96">
          <cell r="B96" t="str">
            <v>学校所在地</v>
          </cell>
          <cell r="C96">
            <v>0</v>
          </cell>
          <cell r="D96" t="str">
            <v>長野県松本市鎌田２－３－５６</v>
          </cell>
          <cell r="E96">
            <v>0</v>
          </cell>
          <cell r="F96">
            <v>0</v>
          </cell>
          <cell r="G96">
            <v>0</v>
          </cell>
          <cell r="H96">
            <v>0</v>
          </cell>
          <cell r="I96">
            <v>0</v>
          </cell>
          <cell r="L96" t="str">
            <v>学校所在地</v>
          </cell>
          <cell r="M96">
            <v>0</v>
          </cell>
          <cell r="N96" t="str">
            <v>長野県長野市南堀109</v>
          </cell>
          <cell r="O96">
            <v>0</v>
          </cell>
          <cell r="P96">
            <v>0</v>
          </cell>
          <cell r="Q96">
            <v>0</v>
          </cell>
          <cell r="R96">
            <v>0</v>
          </cell>
          <cell r="S96">
            <v>0</v>
          </cell>
          <cell r="U96">
            <v>0</v>
          </cell>
          <cell r="V96">
            <v>0</v>
          </cell>
          <cell r="W96">
            <v>0</v>
          </cell>
          <cell r="X96">
            <v>0</v>
          </cell>
          <cell r="Y96">
            <v>0</v>
          </cell>
          <cell r="Z96">
            <v>0</v>
          </cell>
          <cell r="AA96">
            <v>0</v>
          </cell>
          <cell r="AB96">
            <v>0</v>
          </cell>
          <cell r="AC96">
            <v>0</v>
          </cell>
        </row>
        <row r="97">
          <cell r="B97" t="str">
            <v>監督</v>
          </cell>
          <cell r="C97">
            <v>0</v>
          </cell>
          <cell r="D97" t="str">
            <v>柳澤 修</v>
          </cell>
          <cell r="E97">
            <v>0</v>
          </cell>
          <cell r="F97">
            <v>0</v>
          </cell>
          <cell r="G97">
            <v>0</v>
          </cell>
          <cell r="H97">
            <v>0</v>
          </cell>
          <cell r="I97">
            <v>0</v>
          </cell>
          <cell r="L97" t="str">
            <v>監督</v>
          </cell>
          <cell r="M97">
            <v>0</v>
          </cell>
          <cell r="N97" t="str">
            <v>荻原 啓一</v>
          </cell>
          <cell r="O97">
            <v>0</v>
          </cell>
          <cell r="P97">
            <v>0</v>
          </cell>
          <cell r="Q97">
            <v>0</v>
          </cell>
          <cell r="R97">
            <v>0</v>
          </cell>
          <cell r="S97">
            <v>0</v>
          </cell>
          <cell r="U97">
            <v>0</v>
          </cell>
          <cell r="V97">
            <v>0</v>
          </cell>
          <cell r="W97">
            <v>0</v>
          </cell>
          <cell r="X97">
            <v>0</v>
          </cell>
          <cell r="Y97">
            <v>0</v>
          </cell>
          <cell r="Z97">
            <v>0</v>
          </cell>
          <cell r="AA97">
            <v>0</v>
          </cell>
          <cell r="AB97">
            <v>0</v>
          </cell>
          <cell r="AC97">
            <v>0</v>
          </cell>
        </row>
        <row r="98">
          <cell r="B98" t="str">
            <v>コーチ</v>
          </cell>
          <cell r="C98">
            <v>0</v>
          </cell>
          <cell r="D98" t="str">
            <v>渡辺 俊治</v>
          </cell>
          <cell r="E98">
            <v>0</v>
          </cell>
          <cell r="F98">
            <v>0</v>
          </cell>
          <cell r="G98">
            <v>0</v>
          </cell>
          <cell r="H98" t="str">
            <v>(承認)</v>
          </cell>
          <cell r="I98">
            <v>0</v>
          </cell>
          <cell r="L98" t="str">
            <v>コーチ</v>
          </cell>
          <cell r="M98">
            <v>0</v>
          </cell>
          <cell r="N98" t="str">
            <v>西山 利昭</v>
          </cell>
          <cell r="O98">
            <v>0</v>
          </cell>
          <cell r="P98">
            <v>0</v>
          </cell>
          <cell r="Q98">
            <v>0</v>
          </cell>
          <cell r="R98" t="str">
            <v>(承認)</v>
          </cell>
          <cell r="S98">
            <v>0</v>
          </cell>
          <cell r="U98">
            <v>0</v>
          </cell>
          <cell r="V98">
            <v>0</v>
          </cell>
          <cell r="W98">
            <v>0</v>
          </cell>
          <cell r="X98">
            <v>0</v>
          </cell>
          <cell r="Y98">
            <v>0</v>
          </cell>
          <cell r="Z98">
            <v>0</v>
          </cell>
          <cell r="AA98">
            <v>0</v>
          </cell>
          <cell r="AB98">
            <v>0</v>
          </cell>
          <cell r="AC98">
            <v>0</v>
          </cell>
        </row>
        <row r="99">
          <cell r="B99" t="str">
            <v>マネージャー</v>
          </cell>
          <cell r="C99">
            <v>0</v>
          </cell>
          <cell r="D99" t="str">
            <v>北沢 清二</v>
          </cell>
          <cell r="E99">
            <v>0</v>
          </cell>
          <cell r="F99">
            <v>0</v>
          </cell>
          <cell r="G99">
            <v>0</v>
          </cell>
          <cell r="H99" t="str">
            <v>(教員)</v>
          </cell>
          <cell r="I99">
            <v>0</v>
          </cell>
          <cell r="L99" t="str">
            <v>マネージャー</v>
          </cell>
          <cell r="M99">
            <v>0</v>
          </cell>
          <cell r="N99" t="str">
            <v>池野　翔大</v>
          </cell>
          <cell r="O99">
            <v>0</v>
          </cell>
          <cell r="P99">
            <v>0</v>
          </cell>
          <cell r="Q99">
            <v>0</v>
          </cell>
          <cell r="R99" t="str">
            <v>(生徒)</v>
          </cell>
          <cell r="S99">
            <v>0</v>
          </cell>
          <cell r="U99">
            <v>0</v>
          </cell>
          <cell r="V99">
            <v>0</v>
          </cell>
          <cell r="W99">
            <v>0</v>
          </cell>
          <cell r="X99">
            <v>0</v>
          </cell>
          <cell r="Y99">
            <v>0</v>
          </cell>
          <cell r="Z99">
            <v>0</v>
          </cell>
          <cell r="AA99">
            <v>0</v>
          </cell>
          <cell r="AB99">
            <v>0</v>
          </cell>
          <cell r="AC99">
            <v>0</v>
          </cell>
        </row>
        <row r="100">
          <cell r="D100">
            <v>0</v>
          </cell>
          <cell r="E100">
            <v>0</v>
          </cell>
          <cell r="F100">
            <v>0</v>
          </cell>
          <cell r="G100">
            <v>0</v>
          </cell>
          <cell r="H100">
            <v>0</v>
          </cell>
          <cell r="I100">
            <v>0</v>
          </cell>
          <cell r="N100">
            <v>0</v>
          </cell>
          <cell r="O100">
            <v>0</v>
          </cell>
          <cell r="P100">
            <v>0</v>
          </cell>
          <cell r="Q100">
            <v>0</v>
          </cell>
          <cell r="R100">
            <v>0</v>
          </cell>
          <cell r="S100">
            <v>0</v>
          </cell>
          <cell r="U100">
            <v>0</v>
          </cell>
          <cell r="V100">
            <v>0</v>
          </cell>
          <cell r="W100">
            <v>0</v>
          </cell>
          <cell r="X100">
            <v>0</v>
          </cell>
          <cell r="Y100">
            <v>0</v>
          </cell>
          <cell r="Z100">
            <v>0</v>
          </cell>
          <cell r="AA100">
            <v>0</v>
          </cell>
          <cell r="AB100">
            <v>0</v>
          </cell>
          <cell r="AC100">
            <v>0</v>
          </cell>
        </row>
        <row r="101">
          <cell r="A101" t="str">
            <v>先発</v>
          </cell>
          <cell r="B101" t="str">
            <v>番号</v>
          </cell>
          <cell r="C101" t="str">
            <v>位置</v>
          </cell>
          <cell r="D101" t="str">
            <v>氏名</v>
          </cell>
          <cell r="E101">
            <v>0</v>
          </cell>
          <cell r="F101" t="str">
            <v>ふりがな</v>
          </cell>
          <cell r="G101">
            <v>0</v>
          </cell>
          <cell r="H101">
            <v>0</v>
          </cell>
          <cell r="I101" t="str">
            <v>学年</v>
          </cell>
          <cell r="K101" t="str">
            <v>先発</v>
          </cell>
          <cell r="L101" t="str">
            <v>番号</v>
          </cell>
          <cell r="M101" t="str">
            <v>位置</v>
          </cell>
          <cell r="N101" t="str">
            <v>氏名</v>
          </cell>
          <cell r="O101">
            <v>0</v>
          </cell>
          <cell r="P101" t="str">
            <v>ふりがな</v>
          </cell>
          <cell r="Q101">
            <v>0</v>
          </cell>
          <cell r="R101">
            <v>0</v>
          </cell>
          <cell r="S101" t="str">
            <v>学年</v>
          </cell>
          <cell r="U101">
            <v>0</v>
          </cell>
          <cell r="V101">
            <v>0</v>
          </cell>
          <cell r="W101">
            <v>0</v>
          </cell>
          <cell r="X101">
            <v>0</v>
          </cell>
          <cell r="Y101">
            <v>0</v>
          </cell>
          <cell r="Z101">
            <v>0</v>
          </cell>
          <cell r="AA101">
            <v>0</v>
          </cell>
          <cell r="AB101">
            <v>0</v>
          </cell>
          <cell r="AC101">
            <v>0</v>
          </cell>
        </row>
        <row r="102">
          <cell r="A102">
            <v>0</v>
          </cell>
          <cell r="B102">
            <v>1</v>
          </cell>
          <cell r="C102" t="str">
            <v>GK</v>
          </cell>
          <cell r="D102" t="str">
            <v>寺嶋 司</v>
          </cell>
          <cell r="E102">
            <v>0</v>
          </cell>
          <cell r="F102" t="str">
            <v>てらしま つかさ</v>
          </cell>
          <cell r="G102">
            <v>0</v>
          </cell>
          <cell r="H102">
            <v>0</v>
          </cell>
          <cell r="I102">
            <v>3</v>
          </cell>
          <cell r="K102">
            <v>0</v>
          </cell>
          <cell r="L102">
            <v>1</v>
          </cell>
          <cell r="M102" t="str">
            <v>GK</v>
          </cell>
          <cell r="N102" t="str">
            <v>菅野 拓夢</v>
          </cell>
          <cell r="O102">
            <v>0</v>
          </cell>
          <cell r="P102" t="str">
            <v>かんの たくむ</v>
          </cell>
          <cell r="Q102">
            <v>0</v>
          </cell>
          <cell r="R102">
            <v>0</v>
          </cell>
          <cell r="S102">
            <v>3</v>
          </cell>
          <cell r="U102">
            <v>0</v>
          </cell>
          <cell r="V102">
            <v>0</v>
          </cell>
          <cell r="W102">
            <v>0</v>
          </cell>
          <cell r="X102">
            <v>0</v>
          </cell>
          <cell r="Y102">
            <v>0</v>
          </cell>
          <cell r="Z102">
            <v>0</v>
          </cell>
          <cell r="AA102">
            <v>0</v>
          </cell>
          <cell r="AB102">
            <v>0</v>
          </cell>
          <cell r="AC102">
            <v>0</v>
          </cell>
        </row>
        <row r="103">
          <cell r="A103">
            <v>0</v>
          </cell>
          <cell r="B103">
            <v>2</v>
          </cell>
          <cell r="C103" t="str">
            <v>MF</v>
          </cell>
          <cell r="D103" t="str">
            <v>加賀﨑 渓</v>
          </cell>
          <cell r="E103">
            <v>0</v>
          </cell>
          <cell r="F103" t="str">
            <v>かがさき けい</v>
          </cell>
          <cell r="G103">
            <v>0</v>
          </cell>
          <cell r="H103">
            <v>0</v>
          </cell>
          <cell r="I103">
            <v>2</v>
          </cell>
          <cell r="K103">
            <v>0</v>
          </cell>
          <cell r="L103">
            <v>2</v>
          </cell>
          <cell r="M103" t="str">
            <v>DF</v>
          </cell>
          <cell r="N103" t="str">
            <v>今井 皓也</v>
          </cell>
          <cell r="O103">
            <v>0</v>
          </cell>
          <cell r="P103" t="str">
            <v>いまい ゆうや</v>
          </cell>
          <cell r="Q103">
            <v>0</v>
          </cell>
          <cell r="R103">
            <v>0</v>
          </cell>
          <cell r="S103">
            <v>3</v>
          </cell>
          <cell r="U103">
            <v>0</v>
          </cell>
          <cell r="V103">
            <v>0</v>
          </cell>
          <cell r="W103">
            <v>0</v>
          </cell>
          <cell r="X103">
            <v>0</v>
          </cell>
          <cell r="Y103">
            <v>0</v>
          </cell>
          <cell r="Z103">
            <v>0</v>
          </cell>
          <cell r="AA103">
            <v>0</v>
          </cell>
          <cell r="AB103">
            <v>0</v>
          </cell>
          <cell r="AC103">
            <v>0</v>
          </cell>
        </row>
        <row r="104">
          <cell r="A104">
            <v>0</v>
          </cell>
          <cell r="B104">
            <v>3</v>
          </cell>
          <cell r="C104" t="str">
            <v>DF</v>
          </cell>
          <cell r="D104" t="str">
            <v>黒岩 懸</v>
          </cell>
          <cell r="E104">
            <v>0</v>
          </cell>
          <cell r="F104" t="str">
            <v>くろいわ けん</v>
          </cell>
          <cell r="G104">
            <v>0</v>
          </cell>
          <cell r="H104">
            <v>0</v>
          </cell>
          <cell r="I104">
            <v>3</v>
          </cell>
          <cell r="K104">
            <v>0</v>
          </cell>
          <cell r="L104">
            <v>3</v>
          </cell>
          <cell r="M104" t="str">
            <v>DF</v>
          </cell>
          <cell r="N104" t="str">
            <v>久保田 一季</v>
          </cell>
          <cell r="O104">
            <v>0</v>
          </cell>
          <cell r="P104" t="str">
            <v>くぼた いつき</v>
          </cell>
          <cell r="Q104">
            <v>0</v>
          </cell>
          <cell r="R104">
            <v>0</v>
          </cell>
          <cell r="S104">
            <v>3</v>
          </cell>
          <cell r="U104">
            <v>0</v>
          </cell>
          <cell r="V104">
            <v>0</v>
          </cell>
          <cell r="W104">
            <v>0</v>
          </cell>
          <cell r="X104">
            <v>0</v>
          </cell>
          <cell r="Y104">
            <v>0</v>
          </cell>
          <cell r="Z104">
            <v>0</v>
          </cell>
          <cell r="AA104">
            <v>0</v>
          </cell>
          <cell r="AB104">
            <v>0</v>
          </cell>
          <cell r="AC104">
            <v>0</v>
          </cell>
        </row>
        <row r="105">
          <cell r="A105">
            <v>0</v>
          </cell>
          <cell r="B105">
            <v>4</v>
          </cell>
          <cell r="C105" t="str">
            <v>MF</v>
          </cell>
          <cell r="D105" t="str">
            <v>大川 翔</v>
          </cell>
          <cell r="E105">
            <v>0</v>
          </cell>
          <cell r="F105" t="str">
            <v>おおかわ かける</v>
          </cell>
          <cell r="G105">
            <v>0</v>
          </cell>
          <cell r="H105">
            <v>0</v>
          </cell>
          <cell r="I105">
            <v>3</v>
          </cell>
          <cell r="K105">
            <v>0</v>
          </cell>
          <cell r="L105">
            <v>4</v>
          </cell>
          <cell r="M105" t="str">
            <v>DF</v>
          </cell>
          <cell r="N105" t="str">
            <v>西澤 優人</v>
          </cell>
          <cell r="O105">
            <v>0</v>
          </cell>
          <cell r="P105" t="str">
            <v>にしざわ ゆうと</v>
          </cell>
          <cell r="Q105">
            <v>0</v>
          </cell>
          <cell r="R105">
            <v>0</v>
          </cell>
          <cell r="S105">
            <v>3</v>
          </cell>
          <cell r="U105">
            <v>0</v>
          </cell>
          <cell r="V105">
            <v>0</v>
          </cell>
          <cell r="W105">
            <v>0</v>
          </cell>
          <cell r="X105">
            <v>0</v>
          </cell>
          <cell r="Y105">
            <v>0</v>
          </cell>
          <cell r="Z105">
            <v>0</v>
          </cell>
          <cell r="AA105">
            <v>0</v>
          </cell>
          <cell r="AB105">
            <v>0</v>
          </cell>
          <cell r="AC105">
            <v>0</v>
          </cell>
        </row>
        <row r="106">
          <cell r="A106">
            <v>0</v>
          </cell>
          <cell r="B106">
            <v>5</v>
          </cell>
          <cell r="C106" t="str">
            <v>DF</v>
          </cell>
          <cell r="D106" t="str">
            <v>上兼 誠充</v>
          </cell>
          <cell r="E106">
            <v>0</v>
          </cell>
          <cell r="F106" t="str">
            <v>うえがね まさよし</v>
          </cell>
          <cell r="G106">
            <v>0</v>
          </cell>
          <cell r="H106">
            <v>0</v>
          </cell>
          <cell r="I106">
            <v>3</v>
          </cell>
          <cell r="K106">
            <v>0</v>
          </cell>
          <cell r="L106">
            <v>5</v>
          </cell>
          <cell r="M106" t="str">
            <v>MF</v>
          </cell>
          <cell r="N106" t="str">
            <v>酒井 賢人</v>
          </cell>
          <cell r="O106">
            <v>0</v>
          </cell>
          <cell r="P106" t="str">
            <v>さかい けんと</v>
          </cell>
          <cell r="Q106">
            <v>0</v>
          </cell>
          <cell r="R106">
            <v>0</v>
          </cell>
          <cell r="S106">
            <v>3</v>
          </cell>
          <cell r="U106">
            <v>0</v>
          </cell>
          <cell r="V106">
            <v>0</v>
          </cell>
          <cell r="W106">
            <v>0</v>
          </cell>
          <cell r="X106">
            <v>0</v>
          </cell>
          <cell r="Y106">
            <v>0</v>
          </cell>
          <cell r="Z106">
            <v>0</v>
          </cell>
          <cell r="AA106">
            <v>0</v>
          </cell>
          <cell r="AB106">
            <v>0</v>
          </cell>
          <cell r="AC106">
            <v>0</v>
          </cell>
        </row>
        <row r="107">
          <cell r="A107">
            <v>0</v>
          </cell>
          <cell r="B107">
            <v>6</v>
          </cell>
          <cell r="C107" t="str">
            <v>MF</v>
          </cell>
          <cell r="D107" t="str">
            <v>清水 貴海</v>
          </cell>
          <cell r="E107">
            <v>0</v>
          </cell>
          <cell r="F107" t="str">
            <v>しみず たかみ</v>
          </cell>
          <cell r="G107">
            <v>0</v>
          </cell>
          <cell r="H107">
            <v>0</v>
          </cell>
          <cell r="I107">
            <v>3</v>
          </cell>
          <cell r="K107">
            <v>0</v>
          </cell>
          <cell r="L107">
            <v>6</v>
          </cell>
          <cell r="M107" t="str">
            <v>DF</v>
          </cell>
          <cell r="N107" t="str">
            <v>山田 祐煕</v>
          </cell>
          <cell r="O107">
            <v>0</v>
          </cell>
          <cell r="P107" t="str">
            <v>やまだ ゆうき</v>
          </cell>
          <cell r="Q107">
            <v>0</v>
          </cell>
          <cell r="R107">
            <v>0</v>
          </cell>
          <cell r="S107">
            <v>3</v>
          </cell>
          <cell r="U107">
            <v>0</v>
          </cell>
          <cell r="V107">
            <v>0</v>
          </cell>
          <cell r="W107">
            <v>0</v>
          </cell>
          <cell r="X107">
            <v>0</v>
          </cell>
          <cell r="Y107">
            <v>0</v>
          </cell>
          <cell r="Z107">
            <v>0</v>
          </cell>
          <cell r="AA107">
            <v>0</v>
          </cell>
          <cell r="AB107">
            <v>0</v>
          </cell>
          <cell r="AC107">
            <v>0</v>
          </cell>
        </row>
        <row r="108">
          <cell r="A108">
            <v>0</v>
          </cell>
          <cell r="B108">
            <v>7</v>
          </cell>
          <cell r="C108" t="str">
            <v>DF</v>
          </cell>
          <cell r="D108" t="str">
            <v>藤原 良輔</v>
          </cell>
          <cell r="E108">
            <v>0</v>
          </cell>
          <cell r="F108" t="str">
            <v>ふじわら りょうすけ</v>
          </cell>
          <cell r="G108">
            <v>0</v>
          </cell>
          <cell r="H108">
            <v>0</v>
          </cell>
          <cell r="I108">
            <v>3</v>
          </cell>
          <cell r="K108">
            <v>0</v>
          </cell>
          <cell r="L108">
            <v>7</v>
          </cell>
          <cell r="M108" t="str">
            <v>MF</v>
          </cell>
          <cell r="N108" t="str">
            <v>阿部 和真</v>
          </cell>
          <cell r="O108">
            <v>0</v>
          </cell>
          <cell r="P108" t="str">
            <v>あべ かずま</v>
          </cell>
          <cell r="Q108">
            <v>0</v>
          </cell>
          <cell r="R108">
            <v>0</v>
          </cell>
          <cell r="S108">
            <v>3</v>
          </cell>
          <cell r="U108">
            <v>0</v>
          </cell>
          <cell r="V108">
            <v>0</v>
          </cell>
          <cell r="W108">
            <v>0</v>
          </cell>
          <cell r="X108">
            <v>0</v>
          </cell>
          <cell r="Y108">
            <v>0</v>
          </cell>
          <cell r="Z108">
            <v>0</v>
          </cell>
          <cell r="AA108">
            <v>0</v>
          </cell>
          <cell r="AB108">
            <v>0</v>
          </cell>
          <cell r="AC108">
            <v>0</v>
          </cell>
        </row>
        <row r="109">
          <cell r="A109">
            <v>0</v>
          </cell>
          <cell r="B109">
            <v>8</v>
          </cell>
          <cell r="C109" t="str">
            <v>MF</v>
          </cell>
          <cell r="D109" t="str">
            <v>西田 潤</v>
          </cell>
          <cell r="E109">
            <v>0</v>
          </cell>
          <cell r="F109" t="str">
            <v>にしだ じゅん</v>
          </cell>
          <cell r="G109">
            <v>0</v>
          </cell>
          <cell r="H109">
            <v>0</v>
          </cell>
          <cell r="I109">
            <v>3</v>
          </cell>
          <cell r="K109">
            <v>0</v>
          </cell>
          <cell r="L109">
            <v>8</v>
          </cell>
          <cell r="M109" t="str">
            <v>MF</v>
          </cell>
          <cell r="N109" t="str">
            <v>瀧澤 隼平</v>
          </cell>
          <cell r="O109">
            <v>0</v>
          </cell>
          <cell r="P109" t="str">
            <v>たきざわ じゅんぺい</v>
          </cell>
          <cell r="Q109">
            <v>0</v>
          </cell>
          <cell r="R109">
            <v>0</v>
          </cell>
          <cell r="S109">
            <v>3</v>
          </cell>
          <cell r="U109">
            <v>0</v>
          </cell>
          <cell r="V109">
            <v>0</v>
          </cell>
          <cell r="W109">
            <v>0</v>
          </cell>
          <cell r="X109">
            <v>0</v>
          </cell>
          <cell r="Y109">
            <v>0</v>
          </cell>
          <cell r="Z109">
            <v>0</v>
          </cell>
          <cell r="AA109">
            <v>0</v>
          </cell>
          <cell r="AB109">
            <v>0</v>
          </cell>
          <cell r="AC109">
            <v>0</v>
          </cell>
        </row>
        <row r="110">
          <cell r="A110">
            <v>0</v>
          </cell>
          <cell r="B110">
            <v>9</v>
          </cell>
          <cell r="C110" t="str">
            <v>MF</v>
          </cell>
          <cell r="D110" t="str">
            <v>伊藤 翔太郎</v>
          </cell>
          <cell r="E110">
            <v>0</v>
          </cell>
          <cell r="F110" t="str">
            <v>いとう しょうたろう</v>
          </cell>
          <cell r="G110">
            <v>0</v>
          </cell>
          <cell r="H110">
            <v>0</v>
          </cell>
          <cell r="I110">
            <v>3</v>
          </cell>
          <cell r="K110">
            <v>0</v>
          </cell>
          <cell r="L110">
            <v>9</v>
          </cell>
          <cell r="M110" t="str">
            <v>FW</v>
          </cell>
          <cell r="N110" t="str">
            <v>風間 洸洋</v>
          </cell>
          <cell r="O110">
            <v>0</v>
          </cell>
          <cell r="P110" t="str">
            <v>ふじさわ けいすけ</v>
          </cell>
          <cell r="Q110">
            <v>0</v>
          </cell>
          <cell r="R110">
            <v>0</v>
          </cell>
          <cell r="S110">
            <v>3</v>
          </cell>
          <cell r="U110">
            <v>0</v>
          </cell>
          <cell r="V110">
            <v>0</v>
          </cell>
          <cell r="W110">
            <v>0</v>
          </cell>
          <cell r="X110">
            <v>0</v>
          </cell>
          <cell r="Y110">
            <v>0</v>
          </cell>
          <cell r="Z110">
            <v>0</v>
          </cell>
          <cell r="AA110">
            <v>0</v>
          </cell>
          <cell r="AB110">
            <v>0</v>
          </cell>
          <cell r="AC110">
            <v>0</v>
          </cell>
        </row>
        <row r="111">
          <cell r="A111">
            <v>0</v>
          </cell>
          <cell r="B111">
            <v>10</v>
          </cell>
          <cell r="C111" t="str">
            <v>MF</v>
          </cell>
          <cell r="D111" t="str">
            <v>市川 陸</v>
          </cell>
          <cell r="E111">
            <v>0</v>
          </cell>
          <cell r="F111" t="str">
            <v>いちかわ りく</v>
          </cell>
          <cell r="G111">
            <v>0</v>
          </cell>
          <cell r="H111">
            <v>0</v>
          </cell>
          <cell r="I111">
            <v>3</v>
          </cell>
          <cell r="K111">
            <v>0</v>
          </cell>
          <cell r="L111">
            <v>10</v>
          </cell>
          <cell r="M111" t="str">
            <v>MF</v>
          </cell>
          <cell r="N111" t="str">
            <v>立石 嵩文</v>
          </cell>
          <cell r="O111">
            <v>0</v>
          </cell>
          <cell r="P111" t="str">
            <v>たていし たかふみ</v>
          </cell>
          <cell r="Q111">
            <v>0</v>
          </cell>
          <cell r="R111">
            <v>0</v>
          </cell>
          <cell r="S111">
            <v>3</v>
          </cell>
          <cell r="U111">
            <v>0</v>
          </cell>
          <cell r="V111">
            <v>0</v>
          </cell>
          <cell r="W111">
            <v>0</v>
          </cell>
          <cell r="X111">
            <v>0</v>
          </cell>
          <cell r="Y111">
            <v>0</v>
          </cell>
          <cell r="Z111">
            <v>0</v>
          </cell>
          <cell r="AA111">
            <v>0</v>
          </cell>
          <cell r="AB111">
            <v>0</v>
          </cell>
          <cell r="AC111">
            <v>0</v>
          </cell>
        </row>
        <row r="112">
          <cell r="A112">
            <v>0</v>
          </cell>
          <cell r="B112">
            <v>11</v>
          </cell>
          <cell r="C112" t="str">
            <v>FW</v>
          </cell>
          <cell r="D112" t="str">
            <v>槙石 篤</v>
          </cell>
          <cell r="E112">
            <v>0</v>
          </cell>
          <cell r="F112" t="str">
            <v>まきいし あつし</v>
          </cell>
          <cell r="G112">
            <v>0</v>
          </cell>
          <cell r="H112">
            <v>0</v>
          </cell>
          <cell r="I112">
            <v>3</v>
          </cell>
          <cell r="K112">
            <v>0</v>
          </cell>
          <cell r="L112">
            <v>11</v>
          </cell>
          <cell r="M112" t="str">
            <v>FW</v>
          </cell>
          <cell r="N112" t="str">
            <v>藤沢 慶輔</v>
          </cell>
          <cell r="O112">
            <v>0</v>
          </cell>
          <cell r="P112" t="str">
            <v>ふじさわ けいすけ</v>
          </cell>
          <cell r="Q112">
            <v>0</v>
          </cell>
          <cell r="R112">
            <v>0</v>
          </cell>
          <cell r="S112">
            <v>3</v>
          </cell>
          <cell r="U112">
            <v>0</v>
          </cell>
          <cell r="V112">
            <v>0</v>
          </cell>
          <cell r="W112">
            <v>0</v>
          </cell>
          <cell r="X112">
            <v>0</v>
          </cell>
          <cell r="Y112">
            <v>0</v>
          </cell>
          <cell r="Z112">
            <v>0</v>
          </cell>
          <cell r="AA112">
            <v>0</v>
          </cell>
          <cell r="AB112">
            <v>0</v>
          </cell>
          <cell r="AC112">
            <v>0</v>
          </cell>
        </row>
        <row r="113">
          <cell r="A113">
            <v>0</v>
          </cell>
          <cell r="B113">
            <v>12</v>
          </cell>
          <cell r="C113" t="str">
            <v>FW</v>
          </cell>
          <cell r="D113" t="str">
            <v>大谷 龍平</v>
          </cell>
          <cell r="E113">
            <v>0</v>
          </cell>
          <cell r="F113" t="str">
            <v>おおや りゅうへい</v>
          </cell>
          <cell r="G113">
            <v>0</v>
          </cell>
          <cell r="H113">
            <v>0</v>
          </cell>
          <cell r="I113">
            <v>2</v>
          </cell>
          <cell r="K113">
            <v>0</v>
          </cell>
          <cell r="L113">
            <v>12</v>
          </cell>
          <cell r="M113" t="str">
            <v>FW</v>
          </cell>
          <cell r="N113" t="str">
            <v>武舎 雅輝</v>
          </cell>
          <cell r="O113">
            <v>0</v>
          </cell>
          <cell r="P113" t="str">
            <v>むしゃ まさき</v>
          </cell>
          <cell r="Q113">
            <v>0</v>
          </cell>
          <cell r="R113">
            <v>0</v>
          </cell>
          <cell r="S113">
            <v>3</v>
          </cell>
          <cell r="U113">
            <v>0</v>
          </cell>
          <cell r="V113">
            <v>0</v>
          </cell>
          <cell r="W113">
            <v>0</v>
          </cell>
          <cell r="X113">
            <v>0</v>
          </cell>
          <cell r="Y113">
            <v>0</v>
          </cell>
          <cell r="Z113">
            <v>0</v>
          </cell>
          <cell r="AA113">
            <v>0</v>
          </cell>
          <cell r="AB113">
            <v>0</v>
          </cell>
          <cell r="AC113">
            <v>0</v>
          </cell>
        </row>
        <row r="114">
          <cell r="A114">
            <v>0</v>
          </cell>
          <cell r="B114">
            <v>13</v>
          </cell>
          <cell r="C114" t="str">
            <v>MF</v>
          </cell>
          <cell r="D114" t="str">
            <v>小澤 克幸</v>
          </cell>
          <cell r="E114">
            <v>0</v>
          </cell>
          <cell r="F114" t="str">
            <v>おざわ かつゆき</v>
          </cell>
          <cell r="G114">
            <v>0</v>
          </cell>
          <cell r="H114">
            <v>0</v>
          </cell>
          <cell r="I114">
            <v>2</v>
          </cell>
          <cell r="K114">
            <v>0</v>
          </cell>
          <cell r="L114">
            <v>13</v>
          </cell>
          <cell r="M114" t="str">
            <v>DF</v>
          </cell>
          <cell r="N114" t="str">
            <v>岩崎 貴大</v>
          </cell>
          <cell r="O114">
            <v>0</v>
          </cell>
          <cell r="P114" t="str">
            <v>いわさき たかひろ</v>
          </cell>
          <cell r="Q114">
            <v>0</v>
          </cell>
          <cell r="R114">
            <v>0</v>
          </cell>
          <cell r="S114">
            <v>3</v>
          </cell>
          <cell r="U114">
            <v>0</v>
          </cell>
          <cell r="V114">
            <v>0</v>
          </cell>
          <cell r="W114">
            <v>0</v>
          </cell>
          <cell r="X114">
            <v>0</v>
          </cell>
          <cell r="Y114">
            <v>0</v>
          </cell>
          <cell r="Z114">
            <v>0</v>
          </cell>
          <cell r="AA114">
            <v>0</v>
          </cell>
          <cell r="AB114">
            <v>0</v>
          </cell>
          <cell r="AC114">
            <v>0</v>
          </cell>
        </row>
        <row r="115">
          <cell r="A115">
            <v>0</v>
          </cell>
          <cell r="B115">
            <v>14</v>
          </cell>
          <cell r="C115" t="str">
            <v>MF</v>
          </cell>
          <cell r="D115" t="str">
            <v>大月 廉太郎</v>
          </cell>
          <cell r="E115">
            <v>0</v>
          </cell>
          <cell r="F115" t="str">
            <v>おおつき れんたろう</v>
          </cell>
          <cell r="G115">
            <v>0</v>
          </cell>
          <cell r="H115">
            <v>0</v>
          </cell>
          <cell r="I115">
            <v>2</v>
          </cell>
          <cell r="K115">
            <v>0</v>
          </cell>
          <cell r="L115">
            <v>14</v>
          </cell>
          <cell r="M115" t="str">
            <v>MF</v>
          </cell>
          <cell r="N115" t="str">
            <v>大野 裕介</v>
          </cell>
          <cell r="O115">
            <v>0</v>
          </cell>
          <cell r="P115" t="str">
            <v>おおの ゆうすけ</v>
          </cell>
          <cell r="Q115">
            <v>0</v>
          </cell>
          <cell r="R115">
            <v>0</v>
          </cell>
          <cell r="S115">
            <v>0</v>
          </cell>
          <cell r="U115">
            <v>0</v>
          </cell>
          <cell r="V115">
            <v>0</v>
          </cell>
          <cell r="W115">
            <v>0</v>
          </cell>
          <cell r="X115">
            <v>0</v>
          </cell>
          <cell r="Y115">
            <v>0</v>
          </cell>
          <cell r="Z115">
            <v>0</v>
          </cell>
          <cell r="AA115">
            <v>0</v>
          </cell>
          <cell r="AB115">
            <v>0</v>
          </cell>
          <cell r="AC115">
            <v>0</v>
          </cell>
        </row>
        <row r="116">
          <cell r="A116">
            <v>0</v>
          </cell>
          <cell r="B116">
            <v>15</v>
          </cell>
          <cell r="C116" t="str">
            <v>DF</v>
          </cell>
          <cell r="D116" t="str">
            <v>柴田 瞭</v>
          </cell>
          <cell r="E116">
            <v>0</v>
          </cell>
          <cell r="F116" t="str">
            <v>しばた りょう</v>
          </cell>
          <cell r="G116">
            <v>0</v>
          </cell>
          <cell r="H116">
            <v>0</v>
          </cell>
          <cell r="I116">
            <v>2</v>
          </cell>
          <cell r="K116">
            <v>0</v>
          </cell>
          <cell r="L116">
            <v>15</v>
          </cell>
          <cell r="M116" t="str">
            <v>FW</v>
          </cell>
          <cell r="N116" t="str">
            <v>田村 一真</v>
          </cell>
          <cell r="O116">
            <v>0</v>
          </cell>
          <cell r="P116" t="str">
            <v>たむら かずま</v>
          </cell>
          <cell r="Q116">
            <v>0</v>
          </cell>
          <cell r="R116">
            <v>0</v>
          </cell>
          <cell r="S116">
            <v>2</v>
          </cell>
          <cell r="U116">
            <v>0</v>
          </cell>
          <cell r="V116">
            <v>0</v>
          </cell>
          <cell r="W116">
            <v>0</v>
          </cell>
          <cell r="X116">
            <v>0</v>
          </cell>
          <cell r="Y116">
            <v>0</v>
          </cell>
          <cell r="Z116">
            <v>0</v>
          </cell>
          <cell r="AA116">
            <v>0</v>
          </cell>
          <cell r="AB116">
            <v>0</v>
          </cell>
          <cell r="AC116">
            <v>0</v>
          </cell>
        </row>
        <row r="117">
          <cell r="A117">
            <v>0</v>
          </cell>
          <cell r="B117">
            <v>16</v>
          </cell>
          <cell r="C117" t="str">
            <v>DF</v>
          </cell>
          <cell r="D117" t="str">
            <v>村上 晴希</v>
          </cell>
          <cell r="E117">
            <v>0</v>
          </cell>
          <cell r="F117" t="str">
            <v>むらかみ はるき</v>
          </cell>
          <cell r="G117">
            <v>0</v>
          </cell>
          <cell r="H117">
            <v>0</v>
          </cell>
          <cell r="I117">
            <v>2</v>
          </cell>
          <cell r="K117">
            <v>0</v>
          </cell>
          <cell r="L117">
            <v>16</v>
          </cell>
          <cell r="M117" t="str">
            <v>FW</v>
          </cell>
          <cell r="N117" t="str">
            <v>月岡 優</v>
          </cell>
          <cell r="O117">
            <v>0</v>
          </cell>
          <cell r="P117" t="str">
            <v>つきおか ゆう</v>
          </cell>
          <cell r="Q117">
            <v>0</v>
          </cell>
          <cell r="R117">
            <v>0</v>
          </cell>
          <cell r="S117">
            <v>2</v>
          </cell>
          <cell r="U117">
            <v>0</v>
          </cell>
          <cell r="V117">
            <v>0</v>
          </cell>
          <cell r="W117">
            <v>0</v>
          </cell>
          <cell r="X117">
            <v>0</v>
          </cell>
          <cell r="Y117">
            <v>0</v>
          </cell>
          <cell r="Z117">
            <v>0</v>
          </cell>
          <cell r="AA117">
            <v>0</v>
          </cell>
          <cell r="AB117">
            <v>0</v>
          </cell>
          <cell r="AC117">
            <v>0</v>
          </cell>
        </row>
        <row r="118">
          <cell r="A118">
            <v>0</v>
          </cell>
          <cell r="B118">
            <v>17</v>
          </cell>
          <cell r="C118" t="str">
            <v>DF</v>
          </cell>
          <cell r="D118" t="str">
            <v>永田 陽生</v>
          </cell>
          <cell r="E118">
            <v>0</v>
          </cell>
          <cell r="F118" t="str">
            <v>ながた はるき</v>
          </cell>
          <cell r="G118">
            <v>0</v>
          </cell>
          <cell r="H118">
            <v>0</v>
          </cell>
          <cell r="I118">
            <v>2</v>
          </cell>
          <cell r="K118">
            <v>0</v>
          </cell>
          <cell r="L118">
            <v>17</v>
          </cell>
          <cell r="M118" t="str">
            <v>MF</v>
          </cell>
          <cell r="N118" t="str">
            <v>岩渕 泰斗</v>
          </cell>
          <cell r="O118">
            <v>0</v>
          </cell>
          <cell r="P118" t="str">
            <v>いわぶち たいと</v>
          </cell>
          <cell r="Q118">
            <v>0</v>
          </cell>
          <cell r="R118">
            <v>0</v>
          </cell>
          <cell r="S118">
            <v>2</v>
          </cell>
          <cell r="U118">
            <v>0</v>
          </cell>
          <cell r="V118">
            <v>0</v>
          </cell>
          <cell r="W118">
            <v>0</v>
          </cell>
          <cell r="X118">
            <v>0</v>
          </cell>
          <cell r="Y118">
            <v>0</v>
          </cell>
          <cell r="Z118">
            <v>0</v>
          </cell>
          <cell r="AA118">
            <v>0</v>
          </cell>
          <cell r="AB118">
            <v>0</v>
          </cell>
          <cell r="AC118">
            <v>0</v>
          </cell>
        </row>
        <row r="119">
          <cell r="A119">
            <v>0</v>
          </cell>
          <cell r="B119">
            <v>18</v>
          </cell>
          <cell r="C119" t="str">
            <v>GK</v>
          </cell>
          <cell r="D119" t="str">
            <v>渡辺 雄斗</v>
          </cell>
          <cell r="E119">
            <v>0</v>
          </cell>
          <cell r="F119" t="str">
            <v>わたなべ ゆうと</v>
          </cell>
          <cell r="G119">
            <v>0</v>
          </cell>
          <cell r="H119">
            <v>0</v>
          </cell>
          <cell r="I119">
            <v>2</v>
          </cell>
          <cell r="K119">
            <v>0</v>
          </cell>
          <cell r="L119">
            <v>18</v>
          </cell>
          <cell r="M119" t="str">
            <v>GK</v>
          </cell>
          <cell r="N119" t="str">
            <v>田村 康晃</v>
          </cell>
          <cell r="O119">
            <v>0</v>
          </cell>
          <cell r="P119" t="str">
            <v>たむら やすあき</v>
          </cell>
          <cell r="Q119">
            <v>0</v>
          </cell>
          <cell r="R119">
            <v>0</v>
          </cell>
          <cell r="S119">
            <v>3</v>
          </cell>
          <cell r="U119">
            <v>0</v>
          </cell>
          <cell r="V119">
            <v>0</v>
          </cell>
          <cell r="W119">
            <v>0</v>
          </cell>
          <cell r="X119">
            <v>0</v>
          </cell>
          <cell r="Y119">
            <v>0</v>
          </cell>
          <cell r="Z119">
            <v>0</v>
          </cell>
          <cell r="AA119">
            <v>0</v>
          </cell>
          <cell r="AB119">
            <v>0</v>
          </cell>
          <cell r="AC119">
            <v>0</v>
          </cell>
        </row>
        <row r="120">
          <cell r="U120">
            <v>0</v>
          </cell>
          <cell r="V120">
            <v>0</v>
          </cell>
          <cell r="W120">
            <v>0</v>
          </cell>
          <cell r="X120">
            <v>0</v>
          </cell>
          <cell r="Y120">
            <v>0</v>
          </cell>
          <cell r="Z120">
            <v>0</v>
          </cell>
          <cell r="AA120">
            <v>0</v>
          </cell>
          <cell r="AB120">
            <v>0</v>
          </cell>
          <cell r="AC120">
            <v>0</v>
          </cell>
        </row>
        <row r="121">
          <cell r="B121" t="str">
            <v>ユニフォーム</v>
          </cell>
          <cell r="C121">
            <v>0</v>
          </cell>
          <cell r="D121" t="str">
            <v>FP 正</v>
          </cell>
          <cell r="E121" t="str">
            <v>FP 副</v>
          </cell>
          <cell r="F121">
            <v>0</v>
          </cell>
          <cell r="G121" t="str">
            <v>GK 正</v>
          </cell>
          <cell r="H121" t="str">
            <v>GK 副</v>
          </cell>
          <cell r="I121">
            <v>0</v>
          </cell>
          <cell r="L121" t="str">
            <v>ユニフォーム</v>
          </cell>
          <cell r="M121">
            <v>0</v>
          </cell>
          <cell r="N121" t="str">
            <v>FP 正</v>
          </cell>
          <cell r="O121" t="str">
            <v>FP 副</v>
          </cell>
          <cell r="P121">
            <v>0</v>
          </cell>
          <cell r="Q121" t="str">
            <v>GK 正</v>
          </cell>
          <cell r="R121" t="str">
            <v>GK 副</v>
          </cell>
          <cell r="S121">
            <v>0</v>
          </cell>
          <cell r="U121">
            <v>0</v>
          </cell>
          <cell r="V121">
            <v>0</v>
          </cell>
          <cell r="W121">
            <v>0</v>
          </cell>
          <cell r="X121">
            <v>0</v>
          </cell>
          <cell r="Y121">
            <v>0</v>
          </cell>
          <cell r="Z121">
            <v>0</v>
          </cell>
          <cell r="AA121">
            <v>0</v>
          </cell>
          <cell r="AB121">
            <v>0</v>
          </cell>
          <cell r="AC121">
            <v>0</v>
          </cell>
        </row>
        <row r="122">
          <cell r="B122" t="str">
            <v>シャツ</v>
          </cell>
          <cell r="C122">
            <v>0</v>
          </cell>
          <cell r="D122" t="str">
            <v>青</v>
          </cell>
          <cell r="E122" t="str">
            <v>赤</v>
          </cell>
          <cell r="F122">
            <v>0</v>
          </cell>
          <cell r="G122" t="str">
            <v>緑</v>
          </cell>
          <cell r="H122" t="str">
            <v>灰</v>
          </cell>
          <cell r="I122">
            <v>0</v>
          </cell>
          <cell r="L122" t="str">
            <v>シャツ</v>
          </cell>
          <cell r="M122">
            <v>0</v>
          </cell>
          <cell r="N122" t="str">
            <v>白</v>
          </cell>
          <cell r="O122" t="str">
            <v>赤</v>
          </cell>
          <cell r="P122">
            <v>0</v>
          </cell>
          <cell r="Q122" t="str">
            <v>橙</v>
          </cell>
          <cell r="R122" t="str">
            <v>灰</v>
          </cell>
          <cell r="S122">
            <v>0</v>
          </cell>
          <cell r="U122">
            <v>0</v>
          </cell>
          <cell r="V122">
            <v>0</v>
          </cell>
          <cell r="W122">
            <v>0</v>
          </cell>
          <cell r="X122">
            <v>0</v>
          </cell>
          <cell r="Y122">
            <v>0</v>
          </cell>
          <cell r="Z122">
            <v>0</v>
          </cell>
          <cell r="AA122">
            <v>0</v>
          </cell>
          <cell r="AB122">
            <v>0</v>
          </cell>
          <cell r="AC122">
            <v>0</v>
          </cell>
        </row>
        <row r="123">
          <cell r="B123" t="str">
            <v>パンツ</v>
          </cell>
          <cell r="C123">
            <v>0</v>
          </cell>
          <cell r="D123" t="str">
            <v>青</v>
          </cell>
          <cell r="E123" t="str">
            <v>赤</v>
          </cell>
          <cell r="F123">
            <v>0</v>
          </cell>
          <cell r="G123" t="str">
            <v>緑</v>
          </cell>
          <cell r="H123" t="str">
            <v>灰</v>
          </cell>
          <cell r="I123">
            <v>0</v>
          </cell>
          <cell r="L123" t="str">
            <v>パンツ</v>
          </cell>
          <cell r="M123">
            <v>0</v>
          </cell>
          <cell r="N123" t="str">
            <v>白</v>
          </cell>
          <cell r="O123" t="str">
            <v>紺</v>
          </cell>
          <cell r="P123">
            <v>0</v>
          </cell>
          <cell r="Q123" t="str">
            <v>橙</v>
          </cell>
          <cell r="R123" t="str">
            <v>灰</v>
          </cell>
          <cell r="S123">
            <v>0</v>
          </cell>
          <cell r="U123">
            <v>0</v>
          </cell>
          <cell r="V123">
            <v>0</v>
          </cell>
          <cell r="W123">
            <v>0</v>
          </cell>
          <cell r="X123">
            <v>0</v>
          </cell>
          <cell r="Y123">
            <v>0</v>
          </cell>
          <cell r="Z123">
            <v>0</v>
          </cell>
          <cell r="AA123">
            <v>0</v>
          </cell>
          <cell r="AB123">
            <v>0</v>
          </cell>
          <cell r="AC123">
            <v>0</v>
          </cell>
        </row>
        <row r="124">
          <cell r="B124" t="str">
            <v>ストッキング</v>
          </cell>
          <cell r="C124">
            <v>0</v>
          </cell>
          <cell r="D124" t="str">
            <v>青</v>
          </cell>
          <cell r="E124" t="str">
            <v>赤</v>
          </cell>
          <cell r="F124">
            <v>0</v>
          </cell>
          <cell r="G124" t="str">
            <v>緑</v>
          </cell>
          <cell r="H124" t="str">
            <v>灰</v>
          </cell>
          <cell r="I124">
            <v>0</v>
          </cell>
          <cell r="L124" t="str">
            <v>ストッキング</v>
          </cell>
          <cell r="M124">
            <v>0</v>
          </cell>
          <cell r="N124" t="str">
            <v>白</v>
          </cell>
          <cell r="O124" t="str">
            <v>赤</v>
          </cell>
          <cell r="P124">
            <v>0</v>
          </cell>
          <cell r="Q124" t="str">
            <v>橙</v>
          </cell>
          <cell r="R124" t="str">
            <v>灰</v>
          </cell>
          <cell r="S124">
            <v>0</v>
          </cell>
          <cell r="U124">
            <v>0</v>
          </cell>
          <cell r="V124">
            <v>0</v>
          </cell>
          <cell r="W124">
            <v>0</v>
          </cell>
          <cell r="X124">
            <v>0</v>
          </cell>
          <cell r="Y124">
            <v>0</v>
          </cell>
          <cell r="Z124">
            <v>0</v>
          </cell>
          <cell r="AA124">
            <v>0</v>
          </cell>
          <cell r="AB124">
            <v>0</v>
          </cell>
          <cell r="AC124">
            <v>0</v>
          </cell>
        </row>
        <row r="125">
          <cell r="B125" t="str">
            <v>石川県代表 県大会第１位</v>
          </cell>
          <cell r="C125">
            <v>0</v>
          </cell>
          <cell r="D125">
            <v>0</v>
          </cell>
          <cell r="E125">
            <v>0</v>
          </cell>
          <cell r="F125">
            <v>0</v>
          </cell>
          <cell r="G125">
            <v>0</v>
          </cell>
          <cell r="H125">
            <v>0</v>
          </cell>
          <cell r="I125">
            <v>0</v>
          </cell>
          <cell r="L125" t="str">
            <v>石川県代表 県大会第２位</v>
          </cell>
          <cell r="M125">
            <v>0</v>
          </cell>
          <cell r="N125">
            <v>0</v>
          </cell>
          <cell r="O125">
            <v>0</v>
          </cell>
          <cell r="P125">
            <v>0</v>
          </cell>
          <cell r="Q125">
            <v>0</v>
          </cell>
          <cell r="R125">
            <v>0</v>
          </cell>
          <cell r="S125">
            <v>0</v>
          </cell>
          <cell r="V125" t="str">
            <v>石川県代表 県大会第３位</v>
          </cell>
          <cell r="W125">
            <v>0</v>
          </cell>
          <cell r="X125">
            <v>0</v>
          </cell>
          <cell r="Y125">
            <v>0</v>
          </cell>
          <cell r="Z125">
            <v>0</v>
          </cell>
          <cell r="AA125">
            <v>0</v>
          </cell>
          <cell r="AB125">
            <v>0</v>
          </cell>
          <cell r="AC125">
            <v>0</v>
          </cell>
        </row>
        <row r="126">
          <cell r="B126" t="str">
            <v>私立星稜中学校</v>
          </cell>
          <cell r="C126">
            <v>0</v>
          </cell>
          <cell r="D126">
            <v>0</v>
          </cell>
          <cell r="E126">
            <v>0</v>
          </cell>
          <cell r="F126">
            <v>0</v>
          </cell>
          <cell r="G126">
            <v>0</v>
          </cell>
          <cell r="H126">
            <v>0</v>
          </cell>
          <cell r="I126">
            <v>0</v>
          </cell>
          <cell r="L126" t="str">
            <v>小松市立南部中学校</v>
          </cell>
          <cell r="M126">
            <v>0</v>
          </cell>
          <cell r="N126">
            <v>0</v>
          </cell>
          <cell r="O126">
            <v>0</v>
          </cell>
          <cell r="P126">
            <v>0</v>
          </cell>
          <cell r="Q126">
            <v>0</v>
          </cell>
          <cell r="R126">
            <v>0</v>
          </cell>
          <cell r="S126">
            <v>0</v>
          </cell>
          <cell r="V126" t="str">
            <v>金沢市立西南部中学校</v>
          </cell>
          <cell r="W126">
            <v>0</v>
          </cell>
          <cell r="X126">
            <v>0</v>
          </cell>
          <cell r="Y126">
            <v>0</v>
          </cell>
          <cell r="Z126">
            <v>0</v>
          </cell>
          <cell r="AA126">
            <v>0</v>
          </cell>
          <cell r="AB126">
            <v>0</v>
          </cell>
          <cell r="AC126">
            <v>0</v>
          </cell>
        </row>
        <row r="127">
          <cell r="B127" t="str">
            <v>学校所在地</v>
          </cell>
          <cell r="C127">
            <v>0</v>
          </cell>
          <cell r="D127" t="str">
            <v>石川県金沢市小坂町南２０６番地</v>
          </cell>
          <cell r="E127">
            <v>0</v>
          </cell>
          <cell r="F127">
            <v>0</v>
          </cell>
          <cell r="G127">
            <v>0</v>
          </cell>
          <cell r="H127">
            <v>0</v>
          </cell>
          <cell r="I127">
            <v>0</v>
          </cell>
          <cell r="L127" t="str">
            <v>学校所在地</v>
          </cell>
          <cell r="M127">
            <v>0</v>
          </cell>
          <cell r="N127" t="str">
            <v>石川県小松市島町ヌ43番地</v>
          </cell>
          <cell r="O127">
            <v>0</v>
          </cell>
          <cell r="P127">
            <v>0</v>
          </cell>
          <cell r="Q127">
            <v>0</v>
          </cell>
          <cell r="R127">
            <v>0</v>
          </cell>
          <cell r="S127">
            <v>0</v>
          </cell>
          <cell r="V127" t="str">
            <v>学校所在地</v>
          </cell>
          <cell r="W127">
            <v>0</v>
          </cell>
          <cell r="X127" t="str">
            <v>金沢市新保本１丁目１４９番地</v>
          </cell>
          <cell r="Y127">
            <v>0</v>
          </cell>
          <cell r="Z127">
            <v>0</v>
          </cell>
          <cell r="AA127">
            <v>0</v>
          </cell>
          <cell r="AB127">
            <v>0</v>
          </cell>
          <cell r="AC127">
            <v>0</v>
          </cell>
        </row>
        <row r="128">
          <cell r="B128" t="str">
            <v>監督</v>
          </cell>
          <cell r="C128">
            <v>0</v>
          </cell>
          <cell r="D128" t="str">
            <v>河合 伸幸</v>
          </cell>
          <cell r="E128">
            <v>0</v>
          </cell>
          <cell r="F128">
            <v>0</v>
          </cell>
          <cell r="G128">
            <v>0</v>
          </cell>
          <cell r="H128">
            <v>0</v>
          </cell>
          <cell r="I128">
            <v>0</v>
          </cell>
          <cell r="L128" t="str">
            <v>監督</v>
          </cell>
          <cell r="M128">
            <v>0</v>
          </cell>
          <cell r="N128" t="str">
            <v>香林 一央</v>
          </cell>
          <cell r="O128">
            <v>0</v>
          </cell>
          <cell r="P128">
            <v>0</v>
          </cell>
          <cell r="Q128">
            <v>0</v>
          </cell>
          <cell r="R128">
            <v>0</v>
          </cell>
          <cell r="S128">
            <v>0</v>
          </cell>
          <cell r="V128" t="str">
            <v>監督</v>
          </cell>
          <cell r="W128">
            <v>0</v>
          </cell>
          <cell r="X128" t="str">
            <v>千木 良介</v>
          </cell>
          <cell r="Y128">
            <v>0</v>
          </cell>
          <cell r="Z128">
            <v>0</v>
          </cell>
          <cell r="AA128">
            <v>0</v>
          </cell>
          <cell r="AB128">
            <v>0</v>
          </cell>
          <cell r="AC128">
            <v>0</v>
          </cell>
        </row>
        <row r="129">
          <cell r="B129" t="str">
            <v>コーチ</v>
          </cell>
          <cell r="C129">
            <v>0</v>
          </cell>
          <cell r="D129" t="str">
            <v>小倉 朋也</v>
          </cell>
          <cell r="E129">
            <v>0</v>
          </cell>
          <cell r="F129">
            <v>0</v>
          </cell>
          <cell r="G129">
            <v>0</v>
          </cell>
          <cell r="H129" t="str">
            <v>(承認)</v>
          </cell>
          <cell r="I129">
            <v>0</v>
          </cell>
          <cell r="L129" t="str">
            <v>コーチ</v>
          </cell>
          <cell r="M129">
            <v>0</v>
          </cell>
          <cell r="N129" t="str">
            <v>水口 昌彦</v>
          </cell>
          <cell r="O129">
            <v>0</v>
          </cell>
          <cell r="P129">
            <v>0</v>
          </cell>
          <cell r="Q129">
            <v>0</v>
          </cell>
          <cell r="R129" t="str">
            <v>(承認)</v>
          </cell>
          <cell r="S129">
            <v>0</v>
          </cell>
          <cell r="V129" t="str">
            <v>コーチ</v>
          </cell>
          <cell r="W129">
            <v>0</v>
          </cell>
          <cell r="X129" t="str">
            <v>木村 奈緒子</v>
          </cell>
          <cell r="Y129">
            <v>0</v>
          </cell>
          <cell r="Z129">
            <v>0</v>
          </cell>
          <cell r="AA129">
            <v>0</v>
          </cell>
          <cell r="AB129" t="str">
            <v>(教員)</v>
          </cell>
          <cell r="AC129">
            <v>0</v>
          </cell>
        </row>
        <row r="130">
          <cell r="B130" t="str">
            <v>マネージャー</v>
          </cell>
          <cell r="C130">
            <v>0</v>
          </cell>
          <cell r="D130" t="str">
            <v>伊藤 累</v>
          </cell>
          <cell r="E130">
            <v>0</v>
          </cell>
          <cell r="F130">
            <v>0</v>
          </cell>
          <cell r="G130">
            <v>0</v>
          </cell>
          <cell r="H130" t="str">
            <v>(教員)</v>
          </cell>
          <cell r="I130">
            <v>0</v>
          </cell>
          <cell r="L130" t="str">
            <v>マネージャー</v>
          </cell>
          <cell r="M130">
            <v>0</v>
          </cell>
          <cell r="N130" t="str">
            <v>小田 夏稀</v>
          </cell>
          <cell r="O130">
            <v>0</v>
          </cell>
          <cell r="P130">
            <v>0</v>
          </cell>
          <cell r="Q130">
            <v>0</v>
          </cell>
          <cell r="R130" t="str">
            <v>(生徒)</v>
          </cell>
          <cell r="S130">
            <v>0</v>
          </cell>
          <cell r="V130" t="str">
            <v>マネージャー</v>
          </cell>
          <cell r="W130">
            <v>0</v>
          </cell>
          <cell r="X130" t="str">
            <v>中越 達哉</v>
          </cell>
          <cell r="Y130">
            <v>0</v>
          </cell>
          <cell r="Z130">
            <v>0</v>
          </cell>
          <cell r="AA130">
            <v>0</v>
          </cell>
          <cell r="AB130" t="str">
            <v>(生徒)</v>
          </cell>
          <cell r="AC130">
            <v>0</v>
          </cell>
        </row>
        <row r="131">
          <cell r="D131">
            <v>0</v>
          </cell>
          <cell r="E131">
            <v>0</v>
          </cell>
          <cell r="F131">
            <v>0</v>
          </cell>
          <cell r="G131">
            <v>0</v>
          </cell>
          <cell r="H131">
            <v>0</v>
          </cell>
          <cell r="I131">
            <v>0</v>
          </cell>
          <cell r="N131">
            <v>0</v>
          </cell>
          <cell r="O131">
            <v>0</v>
          </cell>
          <cell r="P131">
            <v>0</v>
          </cell>
          <cell r="Q131">
            <v>0</v>
          </cell>
          <cell r="R131">
            <v>0</v>
          </cell>
          <cell r="S131">
            <v>0</v>
          </cell>
          <cell r="X131">
            <v>0</v>
          </cell>
          <cell r="Y131">
            <v>0</v>
          </cell>
          <cell r="Z131">
            <v>0</v>
          </cell>
          <cell r="AA131">
            <v>0</v>
          </cell>
          <cell r="AB131">
            <v>0</v>
          </cell>
          <cell r="AC131">
            <v>0</v>
          </cell>
        </row>
        <row r="132">
          <cell r="A132" t="str">
            <v>先発</v>
          </cell>
          <cell r="B132" t="str">
            <v>番号</v>
          </cell>
          <cell r="C132" t="str">
            <v>位置</v>
          </cell>
          <cell r="D132" t="str">
            <v>氏名</v>
          </cell>
          <cell r="E132">
            <v>0</v>
          </cell>
          <cell r="F132" t="str">
            <v>ふりがな</v>
          </cell>
          <cell r="G132">
            <v>0</v>
          </cell>
          <cell r="H132">
            <v>0</v>
          </cell>
          <cell r="I132" t="str">
            <v>学年</v>
          </cell>
          <cell r="K132" t="str">
            <v>先発</v>
          </cell>
          <cell r="L132" t="str">
            <v>番号</v>
          </cell>
          <cell r="M132" t="str">
            <v>位置</v>
          </cell>
          <cell r="N132" t="str">
            <v>氏名</v>
          </cell>
          <cell r="O132">
            <v>0</v>
          </cell>
          <cell r="P132" t="str">
            <v>ふりがな</v>
          </cell>
          <cell r="Q132">
            <v>0</v>
          </cell>
          <cell r="R132">
            <v>0</v>
          </cell>
          <cell r="S132" t="str">
            <v>学年</v>
          </cell>
          <cell r="U132" t="str">
            <v>先発</v>
          </cell>
          <cell r="V132" t="str">
            <v>番号</v>
          </cell>
          <cell r="W132" t="str">
            <v>位置</v>
          </cell>
          <cell r="X132" t="str">
            <v>氏名</v>
          </cell>
          <cell r="Y132">
            <v>0</v>
          </cell>
          <cell r="Z132" t="str">
            <v>ふりがな</v>
          </cell>
          <cell r="AA132">
            <v>0</v>
          </cell>
          <cell r="AB132">
            <v>0</v>
          </cell>
          <cell r="AC132" t="str">
            <v>学年</v>
          </cell>
        </row>
        <row r="133">
          <cell r="A133">
            <v>0</v>
          </cell>
          <cell r="B133">
            <v>1</v>
          </cell>
          <cell r="C133" t="str">
            <v>GK</v>
          </cell>
          <cell r="D133" t="str">
            <v>高木 優輔</v>
          </cell>
          <cell r="E133">
            <v>0</v>
          </cell>
          <cell r="F133" t="str">
            <v>たかぎ ゆうすけ</v>
          </cell>
          <cell r="G133">
            <v>0</v>
          </cell>
          <cell r="H133">
            <v>0</v>
          </cell>
          <cell r="I133">
            <v>3</v>
          </cell>
          <cell r="K133">
            <v>0</v>
          </cell>
          <cell r="L133">
            <v>1</v>
          </cell>
          <cell r="M133" t="str">
            <v>GK</v>
          </cell>
          <cell r="N133" t="str">
            <v>宮本 碧</v>
          </cell>
          <cell r="O133">
            <v>0</v>
          </cell>
          <cell r="P133" t="str">
            <v>みやもと あおい</v>
          </cell>
          <cell r="Q133">
            <v>0</v>
          </cell>
          <cell r="R133">
            <v>0</v>
          </cell>
          <cell r="S133">
            <v>3</v>
          </cell>
          <cell r="U133">
            <v>0</v>
          </cell>
          <cell r="V133">
            <v>1</v>
          </cell>
          <cell r="W133" t="str">
            <v>GK</v>
          </cell>
          <cell r="X133" t="str">
            <v>廣瀬 統暉</v>
          </cell>
          <cell r="Y133">
            <v>0</v>
          </cell>
          <cell r="Z133" t="str">
            <v>ひろせ とうき</v>
          </cell>
          <cell r="AA133">
            <v>0</v>
          </cell>
          <cell r="AB133">
            <v>0</v>
          </cell>
          <cell r="AC133">
            <v>3</v>
          </cell>
        </row>
        <row r="134">
          <cell r="A134">
            <v>0</v>
          </cell>
          <cell r="B134">
            <v>2</v>
          </cell>
          <cell r="C134" t="str">
            <v>DF</v>
          </cell>
          <cell r="D134" t="str">
            <v>大海 仁嗣</v>
          </cell>
          <cell r="E134">
            <v>0</v>
          </cell>
          <cell r="F134" t="str">
            <v>おおうみ まさし</v>
          </cell>
          <cell r="G134">
            <v>0</v>
          </cell>
          <cell r="H134">
            <v>0</v>
          </cell>
          <cell r="I134">
            <v>3</v>
          </cell>
          <cell r="K134">
            <v>0</v>
          </cell>
          <cell r="L134">
            <v>2</v>
          </cell>
          <cell r="M134" t="str">
            <v>DF</v>
          </cell>
          <cell r="N134" t="str">
            <v>吉田 愛</v>
          </cell>
          <cell r="O134">
            <v>0</v>
          </cell>
          <cell r="P134" t="str">
            <v>よした ちかし</v>
          </cell>
          <cell r="Q134">
            <v>0</v>
          </cell>
          <cell r="R134">
            <v>0</v>
          </cell>
          <cell r="S134">
            <v>3</v>
          </cell>
          <cell r="U134">
            <v>0</v>
          </cell>
          <cell r="V134">
            <v>2</v>
          </cell>
          <cell r="W134" t="str">
            <v>DF</v>
          </cell>
          <cell r="X134" t="str">
            <v>中浦 俊貴</v>
          </cell>
          <cell r="Y134">
            <v>0</v>
          </cell>
          <cell r="Z134" t="str">
            <v>なかうら としき</v>
          </cell>
          <cell r="AA134">
            <v>0</v>
          </cell>
          <cell r="AB134">
            <v>0</v>
          </cell>
          <cell r="AC134">
            <v>3</v>
          </cell>
        </row>
        <row r="135">
          <cell r="A135">
            <v>0</v>
          </cell>
          <cell r="B135">
            <v>3</v>
          </cell>
          <cell r="C135" t="str">
            <v>DF</v>
          </cell>
          <cell r="D135" t="str">
            <v>坂田 秀晃</v>
          </cell>
          <cell r="E135">
            <v>0</v>
          </cell>
          <cell r="F135" t="str">
            <v>さかた ひであき</v>
          </cell>
          <cell r="G135">
            <v>0</v>
          </cell>
          <cell r="H135">
            <v>0</v>
          </cell>
          <cell r="I135">
            <v>3</v>
          </cell>
          <cell r="K135">
            <v>0</v>
          </cell>
          <cell r="L135">
            <v>3</v>
          </cell>
          <cell r="M135" t="str">
            <v>DF</v>
          </cell>
          <cell r="N135" t="str">
            <v>嶋野 虎次郎</v>
          </cell>
          <cell r="O135">
            <v>0</v>
          </cell>
          <cell r="P135" t="str">
            <v>しまの こじろう</v>
          </cell>
          <cell r="Q135">
            <v>0</v>
          </cell>
          <cell r="R135">
            <v>0</v>
          </cell>
          <cell r="S135">
            <v>3</v>
          </cell>
          <cell r="U135">
            <v>0</v>
          </cell>
          <cell r="V135">
            <v>3</v>
          </cell>
          <cell r="W135" t="str">
            <v>DF</v>
          </cell>
          <cell r="X135" t="str">
            <v>中林 成貴</v>
          </cell>
          <cell r="Y135">
            <v>0</v>
          </cell>
          <cell r="Z135" t="str">
            <v>なかばやし なるき</v>
          </cell>
          <cell r="AA135">
            <v>0</v>
          </cell>
          <cell r="AB135">
            <v>0</v>
          </cell>
          <cell r="AC135">
            <v>3</v>
          </cell>
        </row>
        <row r="136">
          <cell r="A136">
            <v>0</v>
          </cell>
          <cell r="B136">
            <v>4</v>
          </cell>
          <cell r="C136" t="str">
            <v>MF</v>
          </cell>
          <cell r="D136" t="str">
            <v>宇野 政宗</v>
          </cell>
          <cell r="E136">
            <v>0</v>
          </cell>
          <cell r="F136" t="str">
            <v>うの まさむね</v>
          </cell>
          <cell r="G136">
            <v>0</v>
          </cell>
          <cell r="H136">
            <v>0</v>
          </cell>
          <cell r="I136">
            <v>3</v>
          </cell>
          <cell r="K136">
            <v>0</v>
          </cell>
          <cell r="L136">
            <v>4</v>
          </cell>
          <cell r="M136" t="str">
            <v>DF</v>
          </cell>
          <cell r="N136" t="str">
            <v>玉田 大</v>
          </cell>
          <cell r="O136">
            <v>0</v>
          </cell>
          <cell r="P136" t="str">
            <v>たまだ はじめ</v>
          </cell>
          <cell r="Q136">
            <v>0</v>
          </cell>
          <cell r="R136">
            <v>0</v>
          </cell>
          <cell r="S136">
            <v>3</v>
          </cell>
          <cell r="U136">
            <v>0</v>
          </cell>
          <cell r="V136">
            <v>4</v>
          </cell>
          <cell r="W136" t="str">
            <v>DF</v>
          </cell>
          <cell r="X136" t="str">
            <v>清造 大翔</v>
          </cell>
          <cell r="Y136">
            <v>0</v>
          </cell>
          <cell r="Z136" t="str">
            <v>せいぞう ひろと</v>
          </cell>
          <cell r="AA136">
            <v>0</v>
          </cell>
          <cell r="AB136">
            <v>0</v>
          </cell>
          <cell r="AC136">
            <v>3</v>
          </cell>
        </row>
        <row r="137">
          <cell r="A137">
            <v>0</v>
          </cell>
          <cell r="B137">
            <v>5</v>
          </cell>
          <cell r="C137" t="str">
            <v>DF</v>
          </cell>
          <cell r="D137" t="str">
            <v>上田 凌太朗</v>
          </cell>
          <cell r="E137">
            <v>0</v>
          </cell>
          <cell r="F137" t="str">
            <v>うえだ りょうたろう</v>
          </cell>
          <cell r="G137">
            <v>0</v>
          </cell>
          <cell r="H137">
            <v>0</v>
          </cell>
          <cell r="I137">
            <v>3</v>
          </cell>
          <cell r="K137">
            <v>0</v>
          </cell>
          <cell r="L137">
            <v>5</v>
          </cell>
          <cell r="M137" t="str">
            <v>DF</v>
          </cell>
          <cell r="N137" t="str">
            <v>北村 和輝</v>
          </cell>
          <cell r="O137">
            <v>0</v>
          </cell>
          <cell r="P137" t="str">
            <v>きたむら かずき</v>
          </cell>
          <cell r="Q137">
            <v>0</v>
          </cell>
          <cell r="R137">
            <v>0</v>
          </cell>
          <cell r="S137">
            <v>3</v>
          </cell>
          <cell r="U137">
            <v>0</v>
          </cell>
          <cell r="V137">
            <v>5</v>
          </cell>
          <cell r="W137" t="str">
            <v>MF</v>
          </cell>
          <cell r="X137" t="str">
            <v>覺間 亮</v>
          </cell>
          <cell r="Y137">
            <v>0</v>
          </cell>
          <cell r="Z137" t="str">
            <v>かくま りょう</v>
          </cell>
          <cell r="AA137">
            <v>0</v>
          </cell>
          <cell r="AB137">
            <v>0</v>
          </cell>
          <cell r="AC137">
            <v>3</v>
          </cell>
        </row>
        <row r="138">
          <cell r="A138">
            <v>0</v>
          </cell>
          <cell r="B138">
            <v>6</v>
          </cell>
          <cell r="C138" t="str">
            <v>MF</v>
          </cell>
          <cell r="D138" t="str">
            <v>敷田 唯</v>
          </cell>
          <cell r="E138">
            <v>0</v>
          </cell>
          <cell r="F138" t="str">
            <v>しきだ ゆい</v>
          </cell>
          <cell r="G138">
            <v>0</v>
          </cell>
          <cell r="H138">
            <v>0</v>
          </cell>
          <cell r="I138">
            <v>2</v>
          </cell>
          <cell r="K138">
            <v>0</v>
          </cell>
          <cell r="L138">
            <v>6</v>
          </cell>
          <cell r="M138" t="str">
            <v>MF</v>
          </cell>
          <cell r="N138" t="str">
            <v>濱岡 寛太郎</v>
          </cell>
          <cell r="O138">
            <v>0</v>
          </cell>
          <cell r="P138" t="str">
            <v>はまおか かんたろう</v>
          </cell>
          <cell r="Q138">
            <v>0</v>
          </cell>
          <cell r="R138">
            <v>0</v>
          </cell>
          <cell r="S138">
            <v>3</v>
          </cell>
          <cell r="U138">
            <v>0</v>
          </cell>
          <cell r="V138">
            <v>6</v>
          </cell>
          <cell r="W138" t="str">
            <v>MF</v>
          </cell>
          <cell r="X138" t="str">
            <v>藤岡 諒太</v>
          </cell>
          <cell r="Y138">
            <v>0</v>
          </cell>
          <cell r="Z138" t="str">
            <v>ふじおか りょうた</v>
          </cell>
          <cell r="AA138">
            <v>0</v>
          </cell>
          <cell r="AB138">
            <v>0</v>
          </cell>
          <cell r="AC138">
            <v>3</v>
          </cell>
        </row>
        <row r="139">
          <cell r="A139">
            <v>0</v>
          </cell>
          <cell r="B139">
            <v>7</v>
          </cell>
          <cell r="C139" t="str">
            <v>MF</v>
          </cell>
          <cell r="D139" t="str">
            <v>川崎 聖矢</v>
          </cell>
          <cell r="E139">
            <v>0</v>
          </cell>
          <cell r="F139" t="str">
            <v>かわさき せいや</v>
          </cell>
          <cell r="G139">
            <v>0</v>
          </cell>
          <cell r="H139">
            <v>0</v>
          </cell>
          <cell r="I139">
            <v>3</v>
          </cell>
          <cell r="K139">
            <v>0</v>
          </cell>
          <cell r="L139">
            <v>7</v>
          </cell>
          <cell r="M139" t="str">
            <v>MF</v>
          </cell>
          <cell r="N139" t="str">
            <v>尾留川 大河</v>
          </cell>
          <cell r="O139">
            <v>0</v>
          </cell>
          <cell r="P139" t="str">
            <v>びるかわ たいが</v>
          </cell>
          <cell r="Q139">
            <v>0</v>
          </cell>
          <cell r="R139">
            <v>0</v>
          </cell>
          <cell r="S139">
            <v>3</v>
          </cell>
          <cell r="U139">
            <v>0</v>
          </cell>
          <cell r="V139">
            <v>7</v>
          </cell>
          <cell r="W139" t="str">
            <v>MF</v>
          </cell>
          <cell r="X139" t="str">
            <v>荒磯 賢史</v>
          </cell>
          <cell r="Y139">
            <v>0</v>
          </cell>
          <cell r="Z139" t="str">
            <v>あらいそ けんし</v>
          </cell>
          <cell r="AA139">
            <v>0</v>
          </cell>
          <cell r="AB139">
            <v>0</v>
          </cell>
          <cell r="AC139">
            <v>3</v>
          </cell>
        </row>
        <row r="140">
          <cell r="A140">
            <v>0</v>
          </cell>
          <cell r="B140">
            <v>8</v>
          </cell>
          <cell r="C140" t="str">
            <v>FW</v>
          </cell>
          <cell r="D140" t="str">
            <v>後藤 秀騎</v>
          </cell>
          <cell r="E140">
            <v>0</v>
          </cell>
          <cell r="F140" t="str">
            <v>ごとう しゅうき</v>
          </cell>
          <cell r="G140">
            <v>0</v>
          </cell>
          <cell r="H140">
            <v>0</v>
          </cell>
          <cell r="I140">
            <v>3</v>
          </cell>
          <cell r="K140">
            <v>0</v>
          </cell>
          <cell r="L140">
            <v>8</v>
          </cell>
          <cell r="M140" t="str">
            <v>FW</v>
          </cell>
          <cell r="N140" t="str">
            <v>西出 磨生</v>
          </cell>
          <cell r="O140">
            <v>0</v>
          </cell>
          <cell r="P140" t="str">
            <v>にしで まお</v>
          </cell>
          <cell r="Q140">
            <v>0</v>
          </cell>
          <cell r="R140">
            <v>0</v>
          </cell>
          <cell r="S140">
            <v>3</v>
          </cell>
          <cell r="U140">
            <v>0</v>
          </cell>
          <cell r="V140">
            <v>8</v>
          </cell>
          <cell r="W140" t="str">
            <v>MF</v>
          </cell>
          <cell r="X140" t="str">
            <v>青森 柊哉</v>
          </cell>
          <cell r="Y140">
            <v>0</v>
          </cell>
          <cell r="Z140" t="str">
            <v>あおもり とうや</v>
          </cell>
          <cell r="AA140">
            <v>0</v>
          </cell>
          <cell r="AB140">
            <v>0</v>
          </cell>
          <cell r="AC140">
            <v>3</v>
          </cell>
        </row>
        <row r="141">
          <cell r="A141">
            <v>0</v>
          </cell>
          <cell r="B141">
            <v>9</v>
          </cell>
          <cell r="C141" t="str">
            <v>MF</v>
          </cell>
          <cell r="D141" t="str">
            <v>竹森 萌</v>
          </cell>
          <cell r="E141">
            <v>0</v>
          </cell>
          <cell r="F141" t="str">
            <v>たけもり はじめ</v>
          </cell>
          <cell r="G141">
            <v>0</v>
          </cell>
          <cell r="H141">
            <v>0</v>
          </cell>
          <cell r="I141">
            <v>3</v>
          </cell>
          <cell r="K141">
            <v>0</v>
          </cell>
          <cell r="L141">
            <v>9</v>
          </cell>
          <cell r="M141" t="str">
            <v>MF</v>
          </cell>
          <cell r="N141" t="str">
            <v>長河 翔大</v>
          </cell>
          <cell r="O141">
            <v>0</v>
          </cell>
          <cell r="P141" t="str">
            <v>ながかわ しょうた</v>
          </cell>
          <cell r="Q141">
            <v>0</v>
          </cell>
          <cell r="R141">
            <v>0</v>
          </cell>
          <cell r="S141">
            <v>3</v>
          </cell>
          <cell r="U141">
            <v>0</v>
          </cell>
          <cell r="V141">
            <v>9</v>
          </cell>
          <cell r="W141" t="str">
            <v>MF</v>
          </cell>
          <cell r="X141" t="str">
            <v>溝畠 正太郎</v>
          </cell>
          <cell r="Y141">
            <v>0</v>
          </cell>
          <cell r="Z141" t="str">
            <v>みぞはた しょうたろう</v>
          </cell>
          <cell r="AA141">
            <v>0</v>
          </cell>
          <cell r="AB141">
            <v>0</v>
          </cell>
          <cell r="AC141">
            <v>3</v>
          </cell>
        </row>
        <row r="142">
          <cell r="A142">
            <v>0</v>
          </cell>
          <cell r="B142">
            <v>10</v>
          </cell>
          <cell r="C142" t="str">
            <v>FW</v>
          </cell>
          <cell r="D142" t="str">
            <v>原田 光丸</v>
          </cell>
          <cell r="E142">
            <v>0</v>
          </cell>
          <cell r="F142" t="str">
            <v>はらだ みつまる</v>
          </cell>
          <cell r="G142">
            <v>0</v>
          </cell>
          <cell r="H142">
            <v>0</v>
          </cell>
          <cell r="I142">
            <v>3</v>
          </cell>
          <cell r="K142">
            <v>0</v>
          </cell>
          <cell r="L142">
            <v>10</v>
          </cell>
          <cell r="M142" t="str">
            <v>DF</v>
          </cell>
          <cell r="N142" t="str">
            <v>山本 澪</v>
          </cell>
          <cell r="O142">
            <v>0</v>
          </cell>
          <cell r="P142" t="str">
            <v>やまもと れい</v>
          </cell>
          <cell r="Q142">
            <v>0</v>
          </cell>
          <cell r="R142">
            <v>0</v>
          </cell>
          <cell r="S142">
            <v>3</v>
          </cell>
          <cell r="U142">
            <v>0</v>
          </cell>
          <cell r="V142">
            <v>10</v>
          </cell>
          <cell r="W142" t="str">
            <v>MF</v>
          </cell>
          <cell r="X142" t="str">
            <v>南 隼人</v>
          </cell>
          <cell r="Y142">
            <v>0</v>
          </cell>
          <cell r="Z142" t="str">
            <v>みなみ はやと</v>
          </cell>
          <cell r="AA142">
            <v>0</v>
          </cell>
          <cell r="AB142">
            <v>0</v>
          </cell>
          <cell r="AC142">
            <v>3</v>
          </cell>
        </row>
        <row r="143">
          <cell r="A143">
            <v>0</v>
          </cell>
          <cell r="B143">
            <v>11</v>
          </cell>
          <cell r="C143" t="str">
            <v>FW</v>
          </cell>
          <cell r="D143" t="str">
            <v>松尾 航平</v>
          </cell>
          <cell r="E143">
            <v>0</v>
          </cell>
          <cell r="F143" t="str">
            <v>まつお こうへい</v>
          </cell>
          <cell r="G143">
            <v>0</v>
          </cell>
          <cell r="H143">
            <v>0</v>
          </cell>
          <cell r="I143">
            <v>3</v>
          </cell>
          <cell r="K143">
            <v>0</v>
          </cell>
          <cell r="L143">
            <v>11</v>
          </cell>
          <cell r="M143" t="str">
            <v>FW</v>
          </cell>
          <cell r="N143" t="str">
            <v>北原 隆矢</v>
          </cell>
          <cell r="O143">
            <v>0</v>
          </cell>
          <cell r="P143" t="str">
            <v>きたはら りゅうや</v>
          </cell>
          <cell r="Q143">
            <v>0</v>
          </cell>
          <cell r="R143">
            <v>0</v>
          </cell>
          <cell r="S143">
            <v>3</v>
          </cell>
          <cell r="U143">
            <v>0</v>
          </cell>
          <cell r="V143">
            <v>11</v>
          </cell>
          <cell r="W143" t="str">
            <v>FW</v>
          </cell>
          <cell r="X143" t="str">
            <v>坂本 侑弥</v>
          </cell>
          <cell r="Y143">
            <v>0</v>
          </cell>
          <cell r="Z143" t="str">
            <v>さかもと ゆうや</v>
          </cell>
          <cell r="AA143">
            <v>0</v>
          </cell>
          <cell r="AB143">
            <v>0</v>
          </cell>
          <cell r="AC143">
            <v>3</v>
          </cell>
        </row>
        <row r="144">
          <cell r="A144">
            <v>0</v>
          </cell>
          <cell r="B144">
            <v>12</v>
          </cell>
          <cell r="C144" t="str">
            <v>MF</v>
          </cell>
          <cell r="D144" t="str">
            <v>木挽 航</v>
          </cell>
          <cell r="E144">
            <v>0</v>
          </cell>
          <cell r="F144" t="str">
            <v>こびき わたる</v>
          </cell>
          <cell r="G144">
            <v>0</v>
          </cell>
          <cell r="H144">
            <v>0</v>
          </cell>
          <cell r="I144">
            <v>3</v>
          </cell>
          <cell r="K144">
            <v>0</v>
          </cell>
          <cell r="L144">
            <v>12</v>
          </cell>
          <cell r="M144" t="str">
            <v>MF</v>
          </cell>
          <cell r="N144" t="str">
            <v>大森 道也</v>
          </cell>
          <cell r="O144">
            <v>0</v>
          </cell>
          <cell r="P144" t="str">
            <v>おおもり みちや</v>
          </cell>
          <cell r="Q144">
            <v>0</v>
          </cell>
          <cell r="R144">
            <v>0</v>
          </cell>
          <cell r="S144">
            <v>3</v>
          </cell>
          <cell r="U144">
            <v>0</v>
          </cell>
          <cell r="V144">
            <v>12</v>
          </cell>
          <cell r="W144" t="str">
            <v>DF</v>
          </cell>
          <cell r="X144" t="str">
            <v>大矢 恭輔</v>
          </cell>
          <cell r="Y144">
            <v>0</v>
          </cell>
          <cell r="Z144" t="str">
            <v>おおや きょうすけ</v>
          </cell>
          <cell r="AA144">
            <v>0</v>
          </cell>
          <cell r="AB144">
            <v>0</v>
          </cell>
          <cell r="AC144">
            <v>3</v>
          </cell>
        </row>
        <row r="145">
          <cell r="A145">
            <v>0</v>
          </cell>
          <cell r="B145">
            <v>13</v>
          </cell>
          <cell r="C145" t="str">
            <v>DF</v>
          </cell>
          <cell r="D145" t="str">
            <v>西尾 輝陽</v>
          </cell>
          <cell r="E145">
            <v>0</v>
          </cell>
          <cell r="F145" t="str">
            <v>にしお あさひ</v>
          </cell>
          <cell r="G145">
            <v>0</v>
          </cell>
          <cell r="H145">
            <v>0</v>
          </cell>
          <cell r="I145">
            <v>3</v>
          </cell>
          <cell r="K145">
            <v>0</v>
          </cell>
          <cell r="L145">
            <v>13</v>
          </cell>
          <cell r="M145" t="str">
            <v>FW</v>
          </cell>
          <cell r="N145" t="str">
            <v>高島 崚</v>
          </cell>
          <cell r="O145">
            <v>0</v>
          </cell>
          <cell r="P145" t="str">
            <v>たかしま りょう</v>
          </cell>
          <cell r="Q145">
            <v>0</v>
          </cell>
          <cell r="R145">
            <v>0</v>
          </cell>
          <cell r="S145">
            <v>3</v>
          </cell>
          <cell r="U145">
            <v>0</v>
          </cell>
          <cell r="V145">
            <v>13</v>
          </cell>
          <cell r="W145" t="str">
            <v>DF</v>
          </cell>
          <cell r="X145" t="str">
            <v>森田 岳斗</v>
          </cell>
          <cell r="Y145">
            <v>0</v>
          </cell>
          <cell r="Z145" t="str">
            <v>もりた やまと</v>
          </cell>
          <cell r="AA145">
            <v>0</v>
          </cell>
          <cell r="AB145">
            <v>0</v>
          </cell>
          <cell r="AC145">
            <v>3</v>
          </cell>
        </row>
        <row r="146">
          <cell r="A146">
            <v>0</v>
          </cell>
          <cell r="B146">
            <v>14</v>
          </cell>
          <cell r="C146" t="str">
            <v>MF</v>
          </cell>
          <cell r="D146" t="str">
            <v>長田 大樹</v>
          </cell>
          <cell r="E146">
            <v>0</v>
          </cell>
          <cell r="F146" t="str">
            <v>ながた だいき</v>
          </cell>
          <cell r="G146">
            <v>0</v>
          </cell>
          <cell r="H146">
            <v>0</v>
          </cell>
          <cell r="I146">
            <v>2</v>
          </cell>
          <cell r="K146">
            <v>0</v>
          </cell>
          <cell r="L146">
            <v>14</v>
          </cell>
          <cell r="M146" t="str">
            <v>MF</v>
          </cell>
          <cell r="N146" t="str">
            <v>高橋 五郎</v>
          </cell>
          <cell r="O146">
            <v>0</v>
          </cell>
          <cell r="P146" t="str">
            <v>たかはし ごろう</v>
          </cell>
          <cell r="Q146">
            <v>0</v>
          </cell>
          <cell r="R146">
            <v>0</v>
          </cell>
          <cell r="S146">
            <v>2</v>
          </cell>
          <cell r="U146">
            <v>0</v>
          </cell>
          <cell r="V146">
            <v>14</v>
          </cell>
          <cell r="W146" t="str">
            <v>FW</v>
          </cell>
          <cell r="X146" t="str">
            <v>鍋島 矢宏</v>
          </cell>
          <cell r="Y146">
            <v>0</v>
          </cell>
          <cell r="Z146" t="str">
            <v>なべしま やひろ</v>
          </cell>
          <cell r="AA146">
            <v>0</v>
          </cell>
          <cell r="AB146">
            <v>0</v>
          </cell>
          <cell r="AC146">
            <v>3</v>
          </cell>
        </row>
        <row r="147">
          <cell r="A147">
            <v>0</v>
          </cell>
          <cell r="B147">
            <v>15</v>
          </cell>
          <cell r="C147" t="str">
            <v>DF</v>
          </cell>
          <cell r="D147" t="str">
            <v>五島 魁大</v>
          </cell>
          <cell r="E147">
            <v>0</v>
          </cell>
          <cell r="F147" t="str">
            <v>ごしま かいと</v>
          </cell>
          <cell r="G147">
            <v>0</v>
          </cell>
          <cell r="H147">
            <v>0</v>
          </cell>
          <cell r="I147">
            <v>2</v>
          </cell>
          <cell r="K147">
            <v>0</v>
          </cell>
          <cell r="L147">
            <v>15</v>
          </cell>
          <cell r="M147" t="str">
            <v>FW</v>
          </cell>
          <cell r="N147" t="str">
            <v>山本 忍</v>
          </cell>
          <cell r="O147">
            <v>0</v>
          </cell>
          <cell r="P147" t="str">
            <v>やまもと じん</v>
          </cell>
          <cell r="Q147">
            <v>0</v>
          </cell>
          <cell r="R147">
            <v>0</v>
          </cell>
          <cell r="S147">
            <v>1</v>
          </cell>
          <cell r="U147">
            <v>0</v>
          </cell>
          <cell r="V147">
            <v>15</v>
          </cell>
          <cell r="W147" t="str">
            <v>MF</v>
          </cell>
          <cell r="X147" t="str">
            <v>松本 直樹</v>
          </cell>
          <cell r="Y147">
            <v>0</v>
          </cell>
          <cell r="Z147" t="str">
            <v>まつもと なおき</v>
          </cell>
          <cell r="AA147">
            <v>0</v>
          </cell>
          <cell r="AB147">
            <v>0</v>
          </cell>
          <cell r="AC147">
            <v>3</v>
          </cell>
        </row>
        <row r="148">
          <cell r="A148">
            <v>0</v>
          </cell>
          <cell r="B148">
            <v>16</v>
          </cell>
          <cell r="C148" t="str">
            <v>MF</v>
          </cell>
          <cell r="D148" t="str">
            <v>河村 侑輝</v>
          </cell>
          <cell r="E148">
            <v>0</v>
          </cell>
          <cell r="F148" t="str">
            <v>かわむら ゆうき</v>
          </cell>
          <cell r="G148">
            <v>0</v>
          </cell>
          <cell r="H148">
            <v>0</v>
          </cell>
          <cell r="I148">
            <v>2</v>
          </cell>
          <cell r="K148">
            <v>0</v>
          </cell>
          <cell r="L148">
            <v>16</v>
          </cell>
          <cell r="M148" t="str">
            <v>MF</v>
          </cell>
          <cell r="N148" t="str">
            <v>北村 圭梧</v>
          </cell>
          <cell r="O148">
            <v>0</v>
          </cell>
          <cell r="P148" t="str">
            <v>きたむら けいご</v>
          </cell>
          <cell r="Q148">
            <v>0</v>
          </cell>
          <cell r="R148">
            <v>0</v>
          </cell>
          <cell r="S148">
            <v>2</v>
          </cell>
          <cell r="U148">
            <v>0</v>
          </cell>
          <cell r="V148">
            <v>16</v>
          </cell>
          <cell r="W148" t="str">
            <v>GK</v>
          </cell>
          <cell r="X148" t="str">
            <v>松田 大雅</v>
          </cell>
          <cell r="Y148">
            <v>0</v>
          </cell>
          <cell r="Z148" t="str">
            <v>まつだ たいが</v>
          </cell>
          <cell r="AA148">
            <v>0</v>
          </cell>
          <cell r="AB148">
            <v>0</v>
          </cell>
          <cell r="AC148">
            <v>3</v>
          </cell>
        </row>
        <row r="149">
          <cell r="A149">
            <v>0</v>
          </cell>
          <cell r="B149">
            <v>17</v>
          </cell>
          <cell r="C149" t="str">
            <v>GK</v>
          </cell>
          <cell r="D149" t="str">
            <v>表 瑠海</v>
          </cell>
          <cell r="E149">
            <v>0</v>
          </cell>
          <cell r="F149" t="str">
            <v>おもて るか</v>
          </cell>
          <cell r="G149">
            <v>0</v>
          </cell>
          <cell r="H149">
            <v>0</v>
          </cell>
          <cell r="I149">
            <v>2</v>
          </cell>
          <cell r="K149">
            <v>0</v>
          </cell>
          <cell r="L149">
            <v>17</v>
          </cell>
          <cell r="M149" t="str">
            <v>DF</v>
          </cell>
          <cell r="N149" t="str">
            <v>市坂 陽明</v>
          </cell>
          <cell r="O149">
            <v>0</v>
          </cell>
          <cell r="P149" t="str">
            <v>いちさか はるあき</v>
          </cell>
          <cell r="Q149">
            <v>0</v>
          </cell>
          <cell r="R149">
            <v>0</v>
          </cell>
          <cell r="S149">
            <v>2</v>
          </cell>
          <cell r="U149">
            <v>0</v>
          </cell>
          <cell r="V149">
            <v>17</v>
          </cell>
          <cell r="W149" t="str">
            <v>MF</v>
          </cell>
          <cell r="X149" t="str">
            <v>高出 逸平</v>
          </cell>
          <cell r="Y149">
            <v>0</v>
          </cell>
          <cell r="Z149" t="str">
            <v>たかで いっぺい</v>
          </cell>
          <cell r="AA149">
            <v>0</v>
          </cell>
          <cell r="AB149">
            <v>0</v>
          </cell>
          <cell r="AC149">
            <v>3</v>
          </cell>
        </row>
        <row r="150">
          <cell r="A150">
            <v>0</v>
          </cell>
          <cell r="B150">
            <v>18</v>
          </cell>
          <cell r="C150" t="str">
            <v>FW</v>
          </cell>
          <cell r="D150" t="str">
            <v>肥田 稜平</v>
          </cell>
          <cell r="E150">
            <v>0</v>
          </cell>
          <cell r="F150" t="str">
            <v>ひだ りょうへい</v>
          </cell>
          <cell r="G150">
            <v>0</v>
          </cell>
          <cell r="H150">
            <v>0</v>
          </cell>
          <cell r="I150">
            <v>2</v>
          </cell>
          <cell r="K150">
            <v>0</v>
          </cell>
          <cell r="L150">
            <v>18</v>
          </cell>
          <cell r="M150" t="str">
            <v>GK</v>
          </cell>
          <cell r="N150" t="str">
            <v>大桑 達成</v>
          </cell>
          <cell r="O150">
            <v>0</v>
          </cell>
          <cell r="P150" t="str">
            <v>おおくわ たつなり</v>
          </cell>
          <cell r="Q150">
            <v>0</v>
          </cell>
          <cell r="R150">
            <v>0</v>
          </cell>
          <cell r="S150">
            <v>3</v>
          </cell>
          <cell r="U150">
            <v>0</v>
          </cell>
          <cell r="V150">
            <v>18</v>
          </cell>
          <cell r="W150" t="str">
            <v>MF</v>
          </cell>
          <cell r="X150" t="str">
            <v>山本 海月</v>
          </cell>
          <cell r="Y150">
            <v>0</v>
          </cell>
          <cell r="Z150" t="str">
            <v>やまもと みずき</v>
          </cell>
          <cell r="AA150">
            <v>0</v>
          </cell>
          <cell r="AB150">
            <v>0</v>
          </cell>
          <cell r="AC150">
            <v>3</v>
          </cell>
        </row>
        <row r="152">
          <cell r="B152" t="str">
            <v>ユニフォーム</v>
          </cell>
          <cell r="C152">
            <v>0</v>
          </cell>
          <cell r="D152" t="str">
            <v>FP 正</v>
          </cell>
          <cell r="E152" t="str">
            <v>FP 副</v>
          </cell>
          <cell r="F152">
            <v>0</v>
          </cell>
          <cell r="G152" t="str">
            <v>GK 正</v>
          </cell>
          <cell r="H152" t="str">
            <v>GK 副</v>
          </cell>
          <cell r="I152">
            <v>0</v>
          </cell>
          <cell r="L152" t="str">
            <v>ユニフォーム</v>
          </cell>
          <cell r="M152">
            <v>0</v>
          </cell>
          <cell r="N152" t="str">
            <v>FP 正</v>
          </cell>
          <cell r="O152" t="str">
            <v>FP 副</v>
          </cell>
          <cell r="P152">
            <v>0</v>
          </cell>
          <cell r="Q152" t="str">
            <v>GK 正</v>
          </cell>
          <cell r="R152" t="str">
            <v>GK 副</v>
          </cell>
          <cell r="S152">
            <v>0</v>
          </cell>
          <cell r="V152" t="str">
            <v>ユニフォーム</v>
          </cell>
          <cell r="W152">
            <v>0</v>
          </cell>
          <cell r="X152" t="str">
            <v>FP 正</v>
          </cell>
          <cell r="Y152" t="str">
            <v>FP 副</v>
          </cell>
          <cell r="Z152">
            <v>0</v>
          </cell>
          <cell r="AA152" t="str">
            <v>GK 正</v>
          </cell>
          <cell r="AB152" t="str">
            <v>GK 副</v>
          </cell>
          <cell r="AC152">
            <v>0</v>
          </cell>
        </row>
        <row r="153">
          <cell r="B153" t="str">
            <v>シャツ</v>
          </cell>
          <cell r="C153">
            <v>0</v>
          </cell>
          <cell r="D153" t="str">
            <v>黄</v>
          </cell>
          <cell r="E153" t="str">
            <v>白</v>
          </cell>
          <cell r="F153">
            <v>0</v>
          </cell>
          <cell r="G153" t="str">
            <v>赤</v>
          </cell>
          <cell r="H153" t="str">
            <v>グレー</v>
          </cell>
          <cell r="I153">
            <v>0</v>
          </cell>
          <cell r="L153" t="str">
            <v>シャツ</v>
          </cell>
          <cell r="M153">
            <v>0</v>
          </cell>
          <cell r="N153" t="str">
            <v>赤</v>
          </cell>
          <cell r="O153" t="str">
            <v>白</v>
          </cell>
          <cell r="P153">
            <v>0</v>
          </cell>
          <cell r="Q153" t="str">
            <v>黄</v>
          </cell>
          <cell r="R153" t="str">
            <v>緑</v>
          </cell>
          <cell r="S153">
            <v>0</v>
          </cell>
          <cell r="V153" t="str">
            <v>シャツ</v>
          </cell>
          <cell r="W153">
            <v>0</v>
          </cell>
          <cell r="X153" t="str">
            <v>緑</v>
          </cell>
          <cell r="Y153" t="str">
            <v>白</v>
          </cell>
          <cell r="Z153">
            <v>0</v>
          </cell>
          <cell r="AA153" t="str">
            <v>赤</v>
          </cell>
          <cell r="AB153" t="str">
            <v>橙</v>
          </cell>
          <cell r="AC153">
            <v>0</v>
          </cell>
        </row>
        <row r="154">
          <cell r="B154" t="str">
            <v>パンツ</v>
          </cell>
          <cell r="C154">
            <v>0</v>
          </cell>
          <cell r="D154" t="str">
            <v>緑</v>
          </cell>
          <cell r="E154" t="str">
            <v>白</v>
          </cell>
          <cell r="F154">
            <v>0</v>
          </cell>
          <cell r="G154" t="str">
            <v>赤</v>
          </cell>
          <cell r="H154" t="str">
            <v>グレー</v>
          </cell>
          <cell r="I154">
            <v>0</v>
          </cell>
          <cell r="L154" t="str">
            <v>パンツ</v>
          </cell>
          <cell r="M154">
            <v>0</v>
          </cell>
          <cell r="N154" t="str">
            <v>赤</v>
          </cell>
          <cell r="O154" t="str">
            <v>白</v>
          </cell>
          <cell r="P154">
            <v>0</v>
          </cell>
          <cell r="Q154" t="str">
            <v>黄</v>
          </cell>
          <cell r="R154" t="str">
            <v>緑</v>
          </cell>
          <cell r="S154">
            <v>0</v>
          </cell>
          <cell r="V154" t="str">
            <v>パンツ</v>
          </cell>
          <cell r="W154">
            <v>0</v>
          </cell>
          <cell r="X154" t="str">
            <v>赤</v>
          </cell>
          <cell r="Y154" t="str">
            <v>白</v>
          </cell>
          <cell r="Z154">
            <v>0</v>
          </cell>
          <cell r="AA154" t="str">
            <v>灰</v>
          </cell>
          <cell r="AB154" t="str">
            <v>橙</v>
          </cell>
          <cell r="AC154">
            <v>0</v>
          </cell>
        </row>
        <row r="155">
          <cell r="B155" t="str">
            <v>ストッキング</v>
          </cell>
          <cell r="C155">
            <v>0</v>
          </cell>
          <cell r="D155" t="str">
            <v>黄</v>
          </cell>
          <cell r="E155" t="str">
            <v>白</v>
          </cell>
          <cell r="F155">
            <v>0</v>
          </cell>
          <cell r="G155" t="str">
            <v>赤</v>
          </cell>
          <cell r="H155" t="str">
            <v>グレー</v>
          </cell>
          <cell r="I155">
            <v>0</v>
          </cell>
          <cell r="L155" t="str">
            <v>ストッキング</v>
          </cell>
          <cell r="M155">
            <v>0</v>
          </cell>
          <cell r="N155" t="str">
            <v>赤</v>
          </cell>
          <cell r="O155" t="str">
            <v>白</v>
          </cell>
          <cell r="P155">
            <v>0</v>
          </cell>
          <cell r="Q155" t="str">
            <v>黄</v>
          </cell>
          <cell r="R155" t="str">
            <v>緑</v>
          </cell>
          <cell r="S155">
            <v>0</v>
          </cell>
          <cell r="V155" t="str">
            <v>ストッキング</v>
          </cell>
          <cell r="W155">
            <v>0</v>
          </cell>
          <cell r="X155" t="str">
            <v>黄</v>
          </cell>
          <cell r="Y155" t="str">
            <v>白</v>
          </cell>
          <cell r="Z155">
            <v>0</v>
          </cell>
          <cell r="AA155" t="str">
            <v>灰</v>
          </cell>
          <cell r="AB155" t="str">
            <v>橙</v>
          </cell>
          <cell r="AC155">
            <v>0</v>
          </cell>
        </row>
      </sheetData>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裏"/>
      <sheetName val="新潟"/>
      <sheetName val="福井"/>
      <sheetName val="富山"/>
      <sheetName val="長野"/>
      <sheetName val="石川"/>
      <sheetName val="くじ引き"/>
      <sheetName val="トーナメント"/>
      <sheetName val="歴代優勝校"/>
      <sheetName val="メンバー表"/>
      <sheetName val="あ1"/>
      <sheetName val="あ2"/>
      <sheetName val="い1"/>
      <sheetName val="い2"/>
      <sheetName val="う1"/>
      <sheetName val="う2"/>
      <sheetName val="う3"/>
      <sheetName val="準決勝A"/>
      <sheetName val="準決勝B"/>
      <sheetName val="決勝"/>
      <sheetName val="デー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9.bin"/><Relationship Id="rId4" Type="http://schemas.openxmlformats.org/officeDocument/2006/relationships/ctrlProp" Target="../ctrlProps/ctrlProp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33"/>
  <sheetViews>
    <sheetView showGridLines="0" tabSelected="1" zoomScale="80" zoomScaleNormal="80" workbookViewId="0">
      <selection activeCell="I16" sqref="I16"/>
    </sheetView>
  </sheetViews>
  <sheetFormatPr defaultColWidth="9" defaultRowHeight="14.25" x14ac:dyDescent="0.15"/>
  <cols>
    <col min="1" max="1" width="2" style="58" customWidth="1"/>
    <col min="2" max="3" width="9.5" style="58" bestFit="1" customWidth="1"/>
    <col min="4" max="5" width="7.5" style="58" bestFit="1" customWidth="1"/>
    <col min="6" max="6" width="31.625" style="58" bestFit="1" customWidth="1"/>
    <col min="7" max="7" width="9" style="58"/>
    <col min="8" max="8" width="9.5" style="58" bestFit="1" customWidth="1"/>
    <col min="9" max="9" width="11.625" style="58" bestFit="1" customWidth="1"/>
    <col min="10" max="10" width="10.125" style="58" bestFit="1" customWidth="1"/>
    <col min="11" max="11" width="12.75" style="58" bestFit="1" customWidth="1"/>
    <col min="12" max="12" width="26.125" style="58" bestFit="1" customWidth="1"/>
    <col min="13" max="16384" width="9" style="58"/>
  </cols>
  <sheetData>
    <row r="1" spans="2:14" ht="15" thickBot="1" x14ac:dyDescent="0.2">
      <c r="B1" s="449" t="s">
        <v>0</v>
      </c>
      <c r="C1" s="450"/>
      <c r="D1" s="450"/>
      <c r="E1" s="450"/>
      <c r="F1" s="450"/>
      <c r="H1" s="449" t="s">
        <v>1</v>
      </c>
      <c r="I1" s="450"/>
      <c r="J1" s="450"/>
      <c r="K1" s="450"/>
      <c r="L1" s="450"/>
    </row>
    <row r="2" spans="2:14" ht="15" thickBot="1" x14ac:dyDescent="0.2">
      <c r="B2" s="59" t="s">
        <v>2</v>
      </c>
      <c r="C2" s="60" t="s">
        <v>3</v>
      </c>
      <c r="D2" s="61" t="s">
        <v>4</v>
      </c>
      <c r="E2" s="447" t="s">
        <v>5</v>
      </c>
      <c r="F2" s="448"/>
      <c r="H2" s="59" t="s">
        <v>2</v>
      </c>
      <c r="I2" s="60" t="s">
        <v>3</v>
      </c>
      <c r="J2" s="61" t="s">
        <v>4</v>
      </c>
      <c r="K2" s="447" t="s">
        <v>5</v>
      </c>
      <c r="L2" s="448"/>
    </row>
    <row r="3" spans="2:14" ht="15" thickTop="1" x14ac:dyDescent="0.15">
      <c r="B3" s="427">
        <v>15</v>
      </c>
      <c r="C3" s="428" t="s">
        <v>6</v>
      </c>
      <c r="D3" s="429" t="str">
        <f t="shared" ref="D3:D8" si="0">E3</f>
        <v>金沢市</v>
      </c>
      <c r="E3" s="429" t="s">
        <v>7</v>
      </c>
      <c r="F3" s="430"/>
      <c r="H3" s="431"/>
      <c r="I3" s="428" t="s">
        <v>8</v>
      </c>
      <c r="J3" s="429" t="str">
        <f>K3</f>
        <v>小松市</v>
      </c>
      <c r="K3" s="429" t="s">
        <v>9</v>
      </c>
      <c r="L3" s="430"/>
      <c r="N3" s="62"/>
    </row>
    <row r="4" spans="2:14" x14ac:dyDescent="0.15">
      <c r="B4" s="63">
        <v>5</v>
      </c>
      <c r="C4" s="64" t="s">
        <v>10</v>
      </c>
      <c r="D4" s="65" t="str">
        <f t="shared" si="0"/>
        <v>金沢市</v>
      </c>
      <c r="E4" s="65" t="s">
        <v>7</v>
      </c>
      <c r="F4" s="66"/>
      <c r="H4" s="432"/>
      <c r="I4" s="64" t="s">
        <v>11</v>
      </c>
      <c r="J4" s="65" t="str">
        <f>K4</f>
        <v>小松市</v>
      </c>
      <c r="K4" s="65" t="s">
        <v>9</v>
      </c>
      <c r="L4" s="66"/>
      <c r="N4" s="62"/>
    </row>
    <row r="5" spans="2:14" x14ac:dyDescent="0.15">
      <c r="B5" s="63">
        <v>10</v>
      </c>
      <c r="C5" s="64" t="s">
        <v>12</v>
      </c>
      <c r="D5" s="65" t="str">
        <f t="shared" si="0"/>
        <v>金沢市</v>
      </c>
      <c r="E5" s="65" t="s">
        <v>7</v>
      </c>
      <c r="F5" s="66"/>
      <c r="H5" s="432">
        <v>2</v>
      </c>
      <c r="I5" s="64" t="s">
        <v>17</v>
      </c>
      <c r="J5" s="65" t="s">
        <v>18</v>
      </c>
      <c r="K5" s="65" t="s">
        <v>18</v>
      </c>
      <c r="L5" s="66"/>
      <c r="N5" s="62"/>
    </row>
    <row r="6" spans="2:14" x14ac:dyDescent="0.15">
      <c r="B6" s="63">
        <v>20</v>
      </c>
      <c r="C6" s="64" t="s">
        <v>14</v>
      </c>
      <c r="D6" s="65" t="str">
        <f t="shared" si="0"/>
        <v>金沢市</v>
      </c>
      <c r="E6" s="65" t="s">
        <v>7</v>
      </c>
      <c r="F6" s="66"/>
      <c r="H6" s="432"/>
      <c r="I6" s="64" t="s">
        <v>20</v>
      </c>
      <c r="J6" s="65" t="s">
        <v>18</v>
      </c>
      <c r="K6" s="65" t="s">
        <v>18</v>
      </c>
      <c r="L6" s="66"/>
      <c r="N6" s="67"/>
    </row>
    <row r="7" spans="2:14" x14ac:dyDescent="0.15">
      <c r="B7" s="63">
        <v>6</v>
      </c>
      <c r="C7" s="64" t="s">
        <v>15</v>
      </c>
      <c r="D7" s="65" t="str">
        <f t="shared" si="0"/>
        <v>金沢市</v>
      </c>
      <c r="E7" s="65" t="s">
        <v>7</v>
      </c>
      <c r="F7" s="66"/>
      <c r="H7" s="432">
        <v>8</v>
      </c>
      <c r="I7" s="64" t="s">
        <v>22</v>
      </c>
      <c r="J7" s="65" t="s">
        <v>18</v>
      </c>
      <c r="K7" s="65" t="s">
        <v>18</v>
      </c>
      <c r="L7" s="66"/>
      <c r="N7" s="67"/>
    </row>
    <row r="8" spans="2:14" x14ac:dyDescent="0.15">
      <c r="B8" s="63">
        <v>7</v>
      </c>
      <c r="C8" s="64" t="s">
        <v>16</v>
      </c>
      <c r="D8" s="65" t="str">
        <f t="shared" si="0"/>
        <v>金沢市</v>
      </c>
      <c r="E8" s="65" t="s">
        <v>7</v>
      </c>
      <c r="F8" s="66"/>
      <c r="H8" s="432">
        <v>1</v>
      </c>
      <c r="I8" s="64" t="s">
        <v>24</v>
      </c>
      <c r="J8" s="65" t="s">
        <v>18</v>
      </c>
      <c r="K8" s="65" t="s">
        <v>18</v>
      </c>
      <c r="L8" s="66"/>
      <c r="N8" s="67"/>
    </row>
    <row r="9" spans="2:14" x14ac:dyDescent="0.15">
      <c r="B9" s="63">
        <v>4</v>
      </c>
      <c r="C9" s="64" t="s">
        <v>19</v>
      </c>
      <c r="D9" s="65" t="str">
        <f t="shared" ref="D9:D18" si="1">E9</f>
        <v>金沢市</v>
      </c>
      <c r="E9" s="65" t="s">
        <v>7</v>
      </c>
      <c r="F9" s="66"/>
      <c r="H9" s="432"/>
      <c r="I9" s="64" t="s">
        <v>26</v>
      </c>
      <c r="J9" s="65" t="s">
        <v>18</v>
      </c>
      <c r="K9" s="65" t="s">
        <v>18</v>
      </c>
      <c r="L9" s="66"/>
    </row>
    <row r="10" spans="2:14" x14ac:dyDescent="0.15">
      <c r="B10" s="63">
        <v>11</v>
      </c>
      <c r="C10" s="64" t="s">
        <v>21</v>
      </c>
      <c r="D10" s="65" t="str">
        <f t="shared" si="1"/>
        <v>金沢市</v>
      </c>
      <c r="E10" s="65" t="s">
        <v>7</v>
      </c>
      <c r="F10" s="66"/>
      <c r="H10" s="432">
        <v>7</v>
      </c>
      <c r="I10" s="64" t="s">
        <v>28</v>
      </c>
      <c r="J10" s="65" t="s">
        <v>18</v>
      </c>
      <c r="K10" s="65" t="s">
        <v>18</v>
      </c>
      <c r="L10" s="66"/>
    </row>
    <row r="11" spans="2:14" x14ac:dyDescent="0.15">
      <c r="B11" s="63">
        <v>19</v>
      </c>
      <c r="C11" s="64" t="s">
        <v>23</v>
      </c>
      <c r="D11" s="65" t="str">
        <f t="shared" si="1"/>
        <v>金沢市</v>
      </c>
      <c r="E11" s="65" t="s">
        <v>7</v>
      </c>
      <c r="F11" s="66"/>
      <c r="H11" s="432">
        <v>6</v>
      </c>
      <c r="I11" s="64" t="s">
        <v>29</v>
      </c>
      <c r="J11" s="65" t="s">
        <v>30</v>
      </c>
      <c r="K11" s="65" t="s">
        <v>30</v>
      </c>
      <c r="L11" s="66"/>
    </row>
    <row r="12" spans="2:14" x14ac:dyDescent="0.15">
      <c r="B12" s="63">
        <v>18</v>
      </c>
      <c r="C12" s="64" t="s">
        <v>25</v>
      </c>
      <c r="D12" s="65" t="str">
        <f t="shared" si="1"/>
        <v>金沢市</v>
      </c>
      <c r="E12" s="65" t="s">
        <v>7</v>
      </c>
      <c r="F12" s="66"/>
      <c r="H12" s="432">
        <v>9</v>
      </c>
      <c r="I12" s="64" t="s">
        <v>32</v>
      </c>
      <c r="J12" s="65" t="s">
        <v>30</v>
      </c>
      <c r="K12" s="65" t="s">
        <v>30</v>
      </c>
      <c r="L12" s="66"/>
    </row>
    <row r="13" spans="2:14" x14ac:dyDescent="0.15">
      <c r="B13" s="63">
        <v>8</v>
      </c>
      <c r="C13" s="64" t="s">
        <v>27</v>
      </c>
      <c r="D13" s="65" t="str">
        <f t="shared" si="1"/>
        <v>金沢市</v>
      </c>
      <c r="E13" s="65" t="s">
        <v>7</v>
      </c>
      <c r="F13" s="66"/>
      <c r="H13" s="63">
        <v>3</v>
      </c>
      <c r="I13" s="64" t="s">
        <v>603</v>
      </c>
      <c r="J13" s="65" t="s">
        <v>18</v>
      </c>
      <c r="K13" s="65"/>
      <c r="L13" s="439" t="s">
        <v>650</v>
      </c>
    </row>
    <row r="14" spans="2:14" x14ac:dyDescent="0.15">
      <c r="B14" s="63">
        <v>23</v>
      </c>
      <c r="C14" s="64" t="s">
        <v>31</v>
      </c>
      <c r="D14" s="65" t="str">
        <f t="shared" si="1"/>
        <v>金沢市</v>
      </c>
      <c r="E14" s="65" t="s">
        <v>7</v>
      </c>
      <c r="F14" s="66"/>
      <c r="H14" s="432">
        <v>4</v>
      </c>
      <c r="I14" s="64" t="s">
        <v>649</v>
      </c>
      <c r="J14" s="65" t="s">
        <v>652</v>
      </c>
      <c r="K14" s="65"/>
      <c r="L14" s="439" t="s">
        <v>651</v>
      </c>
    </row>
    <row r="15" spans="2:14" ht="14.25" customHeight="1" x14ac:dyDescent="0.15">
      <c r="B15" s="63">
        <v>9</v>
      </c>
      <c r="C15" s="64" t="s">
        <v>33</v>
      </c>
      <c r="D15" s="65" t="str">
        <f t="shared" si="1"/>
        <v>金沢市</v>
      </c>
      <c r="E15" s="65" t="s">
        <v>7</v>
      </c>
      <c r="F15" s="66"/>
      <c r="H15" s="432">
        <v>5</v>
      </c>
      <c r="I15" s="64" t="s">
        <v>671</v>
      </c>
      <c r="J15" s="65" t="s">
        <v>653</v>
      </c>
      <c r="K15" s="65"/>
      <c r="L15" s="439" t="s">
        <v>670</v>
      </c>
    </row>
    <row r="16" spans="2:14" x14ac:dyDescent="0.15">
      <c r="B16" s="63">
        <v>2</v>
      </c>
      <c r="C16" s="64" t="s">
        <v>34</v>
      </c>
      <c r="D16" s="65" t="str">
        <f t="shared" si="1"/>
        <v>金沢市</v>
      </c>
      <c r="E16" s="65" t="s">
        <v>7</v>
      </c>
      <c r="F16" s="66"/>
      <c r="H16" s="432"/>
      <c r="I16" s="64"/>
      <c r="J16" s="65"/>
      <c r="K16" s="65"/>
      <c r="L16" s="66"/>
    </row>
    <row r="17" spans="2:12" x14ac:dyDescent="0.15">
      <c r="B17" s="63">
        <v>21</v>
      </c>
      <c r="C17" s="64" t="s">
        <v>35</v>
      </c>
      <c r="D17" s="65" t="str">
        <f t="shared" si="1"/>
        <v>金沢市</v>
      </c>
      <c r="E17" s="65" t="s">
        <v>7</v>
      </c>
      <c r="F17" s="66"/>
      <c r="H17" s="63"/>
      <c r="I17" s="64"/>
      <c r="J17" s="65"/>
      <c r="K17" s="65"/>
      <c r="L17" s="66"/>
    </row>
    <row r="18" spans="2:12" ht="15" thickBot="1" x14ac:dyDescent="0.2">
      <c r="B18" s="63">
        <v>13</v>
      </c>
      <c r="C18" s="64" t="s">
        <v>36</v>
      </c>
      <c r="D18" s="65" t="str">
        <f t="shared" si="1"/>
        <v>金沢市</v>
      </c>
      <c r="E18" s="65" t="s">
        <v>7</v>
      </c>
      <c r="F18" s="66"/>
      <c r="H18" s="68"/>
      <c r="I18" s="69"/>
      <c r="J18" s="70"/>
      <c r="K18" s="70"/>
      <c r="L18" s="71"/>
    </row>
    <row r="19" spans="2:12" x14ac:dyDescent="0.15">
      <c r="B19" s="63">
        <v>17</v>
      </c>
      <c r="C19" s="64" t="s">
        <v>38</v>
      </c>
      <c r="D19" s="65" t="s">
        <v>7</v>
      </c>
      <c r="E19" s="65" t="s">
        <v>7</v>
      </c>
      <c r="F19" s="66"/>
    </row>
    <row r="20" spans="2:12" ht="15" thickBot="1" x14ac:dyDescent="0.2">
      <c r="B20" s="63"/>
      <c r="C20" s="64" t="s">
        <v>39</v>
      </c>
      <c r="D20" s="65" t="s">
        <v>7</v>
      </c>
      <c r="E20" s="65"/>
      <c r="F20" s="439" t="s">
        <v>595</v>
      </c>
      <c r="H20" s="449" t="s">
        <v>37</v>
      </c>
      <c r="I20" s="450"/>
      <c r="J20" s="450"/>
      <c r="K20" s="450"/>
      <c r="L20" s="450"/>
    </row>
    <row r="21" spans="2:12" ht="15" thickBot="1" x14ac:dyDescent="0.2">
      <c r="B21" s="63">
        <v>1</v>
      </c>
      <c r="C21" s="64" t="s">
        <v>42</v>
      </c>
      <c r="D21" s="65" t="s">
        <v>7</v>
      </c>
      <c r="E21" s="65"/>
      <c r="F21" s="439" t="s">
        <v>596</v>
      </c>
      <c r="H21" s="59" t="s">
        <v>2</v>
      </c>
      <c r="I21" s="60" t="s">
        <v>3</v>
      </c>
      <c r="J21" s="61" t="s">
        <v>4</v>
      </c>
      <c r="K21" s="447" t="s">
        <v>5</v>
      </c>
      <c r="L21" s="448"/>
    </row>
    <row r="22" spans="2:12" ht="15" thickTop="1" x14ac:dyDescent="0.15">
      <c r="B22" s="63">
        <v>14</v>
      </c>
      <c r="C22" s="64" t="s">
        <v>45</v>
      </c>
      <c r="D22" s="65" t="s">
        <v>7</v>
      </c>
      <c r="E22" s="65" t="s">
        <v>46</v>
      </c>
      <c r="F22" s="439"/>
      <c r="G22" s="72" t="s">
        <v>40</v>
      </c>
      <c r="H22" s="427">
        <v>1</v>
      </c>
      <c r="I22" s="428" t="s">
        <v>43</v>
      </c>
      <c r="J22" s="429" t="s">
        <v>41</v>
      </c>
      <c r="K22" s="429" t="s">
        <v>44</v>
      </c>
      <c r="L22" s="430"/>
    </row>
    <row r="23" spans="2:12" x14ac:dyDescent="0.15">
      <c r="B23" s="63">
        <v>12</v>
      </c>
      <c r="C23" s="64" t="s">
        <v>52</v>
      </c>
      <c r="D23" s="65" t="s">
        <v>7</v>
      </c>
      <c r="E23" s="65"/>
      <c r="F23" s="439" t="s">
        <v>597</v>
      </c>
      <c r="H23" s="63">
        <v>2</v>
      </c>
      <c r="I23" s="64" t="s">
        <v>47</v>
      </c>
      <c r="J23" s="65" t="s">
        <v>48</v>
      </c>
      <c r="K23" s="65" t="s">
        <v>49</v>
      </c>
      <c r="L23" s="66"/>
    </row>
    <row r="24" spans="2:12" x14ac:dyDescent="0.15">
      <c r="B24" s="63">
        <v>16</v>
      </c>
      <c r="C24" s="64" t="s">
        <v>55</v>
      </c>
      <c r="D24" s="65" t="s">
        <v>56</v>
      </c>
      <c r="E24" s="65" t="s">
        <v>57</v>
      </c>
      <c r="F24" s="66"/>
      <c r="H24" s="63">
        <v>5</v>
      </c>
      <c r="I24" s="64" t="s">
        <v>50</v>
      </c>
      <c r="J24" s="65" t="s">
        <v>654</v>
      </c>
      <c r="K24" s="65" t="s">
        <v>51</v>
      </c>
      <c r="L24" s="66"/>
    </row>
    <row r="25" spans="2:12" x14ac:dyDescent="0.15">
      <c r="B25" s="63">
        <v>3</v>
      </c>
      <c r="C25" s="64" t="s">
        <v>60</v>
      </c>
      <c r="D25" s="65" t="s">
        <v>56</v>
      </c>
      <c r="E25" s="65" t="s">
        <v>61</v>
      </c>
      <c r="F25" s="66"/>
      <c r="H25" s="63">
        <v>3</v>
      </c>
      <c r="I25" s="64" t="s">
        <v>53</v>
      </c>
      <c r="J25" s="65" t="s">
        <v>654</v>
      </c>
      <c r="K25" s="65" t="s">
        <v>51</v>
      </c>
      <c r="L25" s="66"/>
    </row>
    <row r="26" spans="2:12" x14ac:dyDescent="0.15">
      <c r="B26" s="63">
        <v>22</v>
      </c>
      <c r="C26" s="64" t="s">
        <v>62</v>
      </c>
      <c r="D26" s="65" t="s">
        <v>56</v>
      </c>
      <c r="E26" s="65" t="s">
        <v>61</v>
      </c>
      <c r="F26" s="66"/>
      <c r="H26" s="63">
        <v>4</v>
      </c>
      <c r="I26" s="64" t="s">
        <v>58</v>
      </c>
      <c r="J26" s="65" t="s">
        <v>59</v>
      </c>
      <c r="K26" s="65" t="s">
        <v>59</v>
      </c>
      <c r="L26" s="66"/>
    </row>
    <row r="27" spans="2:12" x14ac:dyDescent="0.15">
      <c r="B27" s="63"/>
      <c r="C27" s="64"/>
      <c r="D27" s="65"/>
      <c r="E27" s="65"/>
      <c r="F27" s="66"/>
      <c r="H27" s="63"/>
      <c r="I27" s="64"/>
      <c r="J27" s="65"/>
      <c r="K27" s="65"/>
      <c r="L27" s="66"/>
    </row>
    <row r="28" spans="2:12" x14ac:dyDescent="0.15">
      <c r="B28" s="63"/>
      <c r="C28" s="64"/>
      <c r="D28" s="65"/>
      <c r="E28" s="65"/>
      <c r="F28" s="66"/>
      <c r="H28" s="63"/>
      <c r="I28" s="64"/>
      <c r="J28" s="65"/>
      <c r="K28" s="65"/>
      <c r="L28" s="66"/>
    </row>
    <row r="29" spans="2:12" x14ac:dyDescent="0.15">
      <c r="B29" s="63"/>
      <c r="C29" s="64"/>
      <c r="D29" s="65"/>
      <c r="E29" s="65"/>
      <c r="F29" s="66"/>
      <c r="H29" s="63"/>
      <c r="I29" s="64"/>
      <c r="J29" s="65"/>
      <c r="K29" s="65"/>
      <c r="L29" s="66"/>
    </row>
    <row r="30" spans="2:12" x14ac:dyDescent="0.15">
      <c r="B30" s="63"/>
      <c r="C30" s="64"/>
      <c r="D30" s="65"/>
      <c r="E30" s="65"/>
      <c r="F30" s="66"/>
      <c r="H30" s="63"/>
      <c r="I30" s="64"/>
      <c r="J30" s="65"/>
      <c r="K30" s="65"/>
      <c r="L30" s="66"/>
    </row>
    <row r="31" spans="2:12" x14ac:dyDescent="0.15">
      <c r="B31" s="63"/>
      <c r="C31" s="64"/>
      <c r="D31" s="65"/>
      <c r="E31" s="65"/>
      <c r="F31" s="66"/>
      <c r="H31" s="63"/>
      <c r="I31" s="64"/>
      <c r="J31" s="65"/>
      <c r="K31" s="65"/>
      <c r="L31" s="66"/>
    </row>
    <row r="32" spans="2:12" ht="15" thickBot="1" x14ac:dyDescent="0.2">
      <c r="B32" s="68"/>
      <c r="C32" s="69"/>
      <c r="D32" s="70"/>
      <c r="E32" s="70"/>
      <c r="F32" s="71"/>
      <c r="H32" s="68"/>
      <c r="I32" s="69"/>
      <c r="J32" s="70"/>
      <c r="K32" s="70"/>
      <c r="L32" s="71"/>
    </row>
    <row r="33" spans="3:6" x14ac:dyDescent="0.15">
      <c r="C33" s="73" t="s">
        <v>598</v>
      </c>
      <c r="F33" s="58" t="s">
        <v>594</v>
      </c>
    </row>
  </sheetData>
  <mergeCells count="6">
    <mergeCell ref="E2:F2"/>
    <mergeCell ref="K2:L2"/>
    <mergeCell ref="K21:L21"/>
    <mergeCell ref="H20:L20"/>
    <mergeCell ref="H1:L1"/>
    <mergeCell ref="B1:F1"/>
  </mergeCells>
  <phoneticPr fontId="2"/>
  <dataValidations count="1">
    <dataValidation imeMode="off" allowBlank="1" showInputMessage="1" showErrorMessage="1" sqref="H22:H32 B3:B32 H3:H18" xr:uid="{00000000-0002-0000-0000-000000000000}"/>
  </dataValidations>
  <pageMargins left="0.78700000000000003" right="0.78700000000000003" top="0.98399999999999999" bottom="0.98399999999999999" header="0.51200000000000001" footer="0.51200000000000001"/>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pageSetUpPr fitToPage="1"/>
  </sheetPr>
  <dimension ref="A1:BJ52"/>
  <sheetViews>
    <sheetView showGridLines="0" view="pageBreakPreview" topLeftCell="A22" zoomScaleNormal="80" zoomScaleSheetLayoutView="100" workbookViewId="0">
      <selection activeCell="BV46" sqref="BV46"/>
    </sheetView>
  </sheetViews>
  <sheetFormatPr defaultColWidth="9" defaultRowHeight="14.25" x14ac:dyDescent="0.15"/>
  <cols>
    <col min="1" max="1" width="10.125" style="58" customWidth="1"/>
    <col min="2" max="2" width="5" style="58" customWidth="1"/>
    <col min="3" max="4" width="0.625" style="72" customWidth="1"/>
    <col min="5" max="5" width="2.5" style="75" customWidth="1"/>
    <col min="6" max="6" width="3.125" style="76" customWidth="1"/>
    <col min="7" max="7" width="2.5" style="77" customWidth="1"/>
    <col min="8" max="11" width="0.625" style="72" customWidth="1"/>
    <col min="12" max="12" width="2.5" style="75" customWidth="1"/>
    <col min="13" max="13" width="3.125" style="76" customWidth="1"/>
    <col min="14" max="14" width="2.5" style="77" customWidth="1"/>
    <col min="15" max="18" width="0.625" style="72" customWidth="1"/>
    <col min="19" max="19" width="2.5" style="75" customWidth="1"/>
    <col min="20" max="20" width="3.125" style="76" customWidth="1"/>
    <col min="21" max="21" width="2.5" style="77" customWidth="1"/>
    <col min="22" max="23" width="0.625" style="72" customWidth="1"/>
    <col min="24" max="25" width="0.625" style="58" customWidth="1"/>
    <col min="26" max="26" width="2.5" style="58" customWidth="1"/>
    <col min="27" max="27" width="3.125" style="58" customWidth="1"/>
    <col min="28" max="28" width="2.5" style="58" customWidth="1"/>
    <col min="29" max="32" width="0.625" style="58" customWidth="1"/>
    <col min="33" max="33" width="2.5" style="58" customWidth="1"/>
    <col min="34" max="34" width="3.125" style="58" customWidth="1"/>
    <col min="35" max="35" width="2.5" style="58" customWidth="1"/>
    <col min="36" max="37" width="0.625" style="58" customWidth="1"/>
    <col min="38" max="41" width="7.5" style="58" customWidth="1"/>
    <col min="42" max="42" width="0.625" style="58" customWidth="1"/>
    <col min="43" max="43" width="9.5" style="58" hidden="1" customWidth="1"/>
    <col min="44" max="45" width="0.625" style="58" hidden="1" customWidth="1"/>
    <col min="46" max="51" width="6.25" style="58" hidden="1" customWidth="1"/>
    <col min="52" max="56" width="2.375" style="58" customWidth="1"/>
    <col min="57" max="57" width="3.625" style="58" bestFit="1" customWidth="1"/>
    <col min="58" max="58" width="4" style="58" bestFit="1" customWidth="1"/>
    <col min="59" max="60" width="2.375" style="58" customWidth="1"/>
    <col min="61" max="61" width="6.75" style="58" bestFit="1" customWidth="1"/>
    <col min="62" max="62" width="10.875" style="58" bestFit="1" customWidth="1"/>
    <col min="63" max="91" width="2.375" style="58" customWidth="1"/>
    <col min="92" max="16384" width="9" style="58"/>
  </cols>
  <sheetData>
    <row r="1" spans="1:62" ht="24.75" x14ac:dyDescent="0.15">
      <c r="B1" s="74" t="str">
        <f ca="1">"令和"&amp;IF(YEAR(NOW())=2019,"元",YEAR(NOW())-2018)&amp;"年度 第"&amp;YEAR(NOW())-1999&amp;"回 全能登中学校サッカー大会"</f>
        <v>令和7年度 第26回 全能登中学校サッカー大会</v>
      </c>
      <c r="AG1" s="72"/>
      <c r="AH1" s="72"/>
      <c r="AI1" s="75"/>
      <c r="AJ1" s="76"/>
      <c r="AK1" s="77"/>
      <c r="AL1" s="72"/>
      <c r="AM1" s="72"/>
      <c r="AN1" s="72"/>
      <c r="AO1" s="72"/>
      <c r="AP1" s="75"/>
      <c r="AQ1" s="76"/>
      <c r="AR1" s="77"/>
      <c r="AS1" s="72"/>
      <c r="BE1" s="72" t="s">
        <v>93</v>
      </c>
      <c r="BF1" s="58">
        <f>15</f>
        <v>15</v>
      </c>
      <c r="BG1" s="58" t="s">
        <v>67</v>
      </c>
      <c r="BH1" s="58" t="str">
        <f t="shared" ref="BH1:BH10" si="0">CHAR(10)</f>
        <v xml:space="preserve">
</v>
      </c>
      <c r="BI1" s="78" t="s">
        <v>98</v>
      </c>
      <c r="BJ1" s="58" t="str">
        <f>BF1&amp;BG1&amp;BH1&amp;BI1</f>
        <v>15日
9:00</v>
      </c>
    </row>
    <row r="2" spans="1:62" x14ac:dyDescent="0.15">
      <c r="AG2" s="72"/>
      <c r="AH2" s="72"/>
      <c r="AI2" s="75"/>
      <c r="AJ2" s="76"/>
      <c r="AK2" s="77"/>
      <c r="AL2" s="72"/>
      <c r="AM2" s="72"/>
      <c r="AN2" s="72"/>
      <c r="AO2" s="72"/>
      <c r="AP2" s="75"/>
      <c r="AQ2" s="76"/>
      <c r="AR2" s="77"/>
      <c r="AS2" s="72"/>
      <c r="BE2" s="72" t="s">
        <v>90</v>
      </c>
      <c r="BF2" s="58">
        <f>BF1</f>
        <v>15</v>
      </c>
      <c r="BG2" s="58" t="s">
        <v>67</v>
      </c>
      <c r="BH2" s="58" t="str">
        <f t="shared" si="0"/>
        <v xml:space="preserve">
</v>
      </c>
      <c r="BI2" s="78" t="s">
        <v>99</v>
      </c>
      <c r="BJ2" s="58" t="str">
        <f t="shared" ref="BJ2:BJ10" si="1">BF2&amp;BG2&amp;BH2&amp;BI2</f>
        <v>15日
10:15</v>
      </c>
    </row>
    <row r="3" spans="1:62" ht="25.5" customHeight="1" x14ac:dyDescent="0.15">
      <c r="A3" s="72">
        <f>1</f>
        <v>1</v>
      </c>
      <c r="E3" s="485" t="s">
        <v>63</v>
      </c>
      <c r="F3" s="485"/>
      <c r="G3" s="485"/>
      <c r="H3" s="486" t="str">
        <f>IF(ISERROR(MATCH($A3,$AO$33:$AO$52,0)),"",INDEX(予選学校名!$I$22:$K$32,MATCH(INDEX($B$33:$B$52,MATCH($A3,$AO$33:$AO$52,0),1),予選学校名!$I$22:$I$32,0),3)&amp;"立"&amp;INDEX($B$33:$B$52,MATCH($A3,$AO$33:$AO$52,0),1)&amp;"中学校")</f>
        <v/>
      </c>
      <c r="I3" s="486"/>
      <c r="J3" s="486"/>
      <c r="K3" s="486"/>
      <c r="L3" s="486"/>
      <c r="M3" s="486"/>
      <c r="N3" s="486"/>
      <c r="O3" s="486"/>
      <c r="P3" s="486"/>
      <c r="Q3" s="486"/>
      <c r="R3" s="486"/>
      <c r="S3" s="486"/>
      <c r="T3" s="486"/>
      <c r="U3" s="486"/>
      <c r="V3" s="486"/>
      <c r="W3" s="486"/>
      <c r="X3" s="486"/>
      <c r="Y3" s="486"/>
      <c r="Z3" s="486"/>
      <c r="AA3" s="486"/>
      <c r="AB3" s="486"/>
      <c r="AC3" s="486"/>
      <c r="AD3" s="486"/>
      <c r="AE3" s="486"/>
      <c r="AF3" s="79"/>
      <c r="AG3" s="452" t="str">
        <f>IF(H3="","","("&amp;INDEX(予選学校名!$I$22:$K$32,MATCH(INDEX($B$33:$B$52,MATCH($A3,$AO$33:$AO$52,0),1),予選学校名!$I$22:$I$32,0),2)&amp;")")</f>
        <v/>
      </c>
      <c r="AH3" s="452"/>
      <c r="AI3" s="452"/>
      <c r="AJ3" s="452"/>
      <c r="AL3" s="58" t="s">
        <v>64</v>
      </c>
      <c r="AM3" s="80"/>
      <c r="BE3" s="72" t="s">
        <v>94</v>
      </c>
      <c r="BF3" s="58">
        <f t="shared" ref="BF3:BF10" si="2">BF2</f>
        <v>15</v>
      </c>
      <c r="BG3" s="58" t="s">
        <v>67</v>
      </c>
      <c r="BH3" s="58" t="str">
        <f t="shared" si="0"/>
        <v xml:space="preserve">
</v>
      </c>
      <c r="BI3" s="78" t="s">
        <v>100</v>
      </c>
      <c r="BJ3" s="58" t="str">
        <f t="shared" si="1"/>
        <v>15日
11:30</v>
      </c>
    </row>
    <row r="4" spans="1:62" ht="25.5" customHeight="1" x14ac:dyDescent="0.15">
      <c r="A4" s="72">
        <f>A3+1</f>
        <v>2</v>
      </c>
      <c r="E4" s="485" t="s">
        <v>65</v>
      </c>
      <c r="F4" s="485"/>
      <c r="G4" s="485"/>
      <c r="H4" s="486" t="str">
        <f>IF(ISERROR(MATCH($A4,$AO$33:$AO$52,0)),"",INDEX(予選学校名!$I$22:$K$32,MATCH(INDEX($B$33:$B$52,MATCH($A4,$AO$33:$AO$52,0),1),予選学校名!$I$22:$I$32,0),3)&amp;"立"&amp;INDEX($B$33:$B$52,MATCH($A4,$AO$33:$AO$52,0),1)&amp;"中学校")</f>
        <v/>
      </c>
      <c r="I4" s="486"/>
      <c r="J4" s="486"/>
      <c r="K4" s="486"/>
      <c r="L4" s="486"/>
      <c r="M4" s="486"/>
      <c r="N4" s="486"/>
      <c r="O4" s="486"/>
      <c r="P4" s="486"/>
      <c r="Q4" s="486"/>
      <c r="R4" s="486"/>
      <c r="S4" s="486"/>
      <c r="T4" s="486"/>
      <c r="U4" s="486"/>
      <c r="V4" s="486"/>
      <c r="W4" s="486"/>
      <c r="X4" s="486"/>
      <c r="Y4" s="486"/>
      <c r="Z4" s="486"/>
      <c r="AA4" s="486"/>
      <c r="AB4" s="486"/>
      <c r="AC4" s="486"/>
      <c r="AD4" s="486"/>
      <c r="AE4" s="486"/>
      <c r="AF4" s="79"/>
      <c r="AG4" s="452" t="str">
        <f>IF(H4="","","("&amp;INDEX(予選学校名!$I$22:$K$32,MATCH(INDEX($B$33:$B$52,MATCH($A4,$AO$33:$AO$52,0),1),予選学校名!$I$22:$I$32,0),2)&amp;")")</f>
        <v/>
      </c>
      <c r="AH4" s="452"/>
      <c r="AI4" s="452"/>
      <c r="AJ4" s="452"/>
      <c r="AL4" s="58" t="s">
        <v>64</v>
      </c>
      <c r="AM4" s="80"/>
      <c r="BE4" s="72" t="s">
        <v>92</v>
      </c>
      <c r="BF4" s="58">
        <f t="shared" si="2"/>
        <v>15</v>
      </c>
      <c r="BG4" s="58" t="s">
        <v>67</v>
      </c>
      <c r="BH4" s="58" t="str">
        <f t="shared" si="0"/>
        <v xml:space="preserve">
</v>
      </c>
      <c r="BI4" s="78" t="s">
        <v>102</v>
      </c>
      <c r="BJ4" s="58" t="str">
        <f t="shared" si="1"/>
        <v>15日
12:45</v>
      </c>
    </row>
    <row r="5" spans="1:62" ht="25.5" customHeight="1" x14ac:dyDescent="0.15">
      <c r="A5" s="72">
        <f>A4+1</f>
        <v>3</v>
      </c>
      <c r="E5" s="485" t="s">
        <v>66</v>
      </c>
      <c r="F5" s="485"/>
      <c r="G5" s="485"/>
      <c r="H5" s="486" t="str">
        <f>IF(ISERROR(MATCH($A5,$AO$33:$AO$52,0)),"",INDEX(予選学校名!$I$22:$K$32,MATCH(INDEX($B$33:$B$52,MATCH($A5,$AO$33:$AO$52,0),1),予選学校名!$I$22:$I$32,0),3)&amp;"立"&amp;INDEX($B$33:$B$52,MATCH($A5,$AO$33:$AO$52,0),1)&amp;"中学校")</f>
        <v/>
      </c>
      <c r="I5" s="486"/>
      <c r="J5" s="486"/>
      <c r="K5" s="486"/>
      <c r="L5" s="486"/>
      <c r="M5" s="486"/>
      <c r="N5" s="486"/>
      <c r="O5" s="486"/>
      <c r="P5" s="486"/>
      <c r="Q5" s="486"/>
      <c r="R5" s="486"/>
      <c r="S5" s="486"/>
      <c r="T5" s="486"/>
      <c r="U5" s="486"/>
      <c r="V5" s="486"/>
      <c r="W5" s="486"/>
      <c r="X5" s="486"/>
      <c r="Y5" s="486"/>
      <c r="Z5" s="486"/>
      <c r="AA5" s="486"/>
      <c r="AB5" s="486"/>
      <c r="AC5" s="486"/>
      <c r="AD5" s="486"/>
      <c r="AE5" s="486"/>
      <c r="AF5" s="81"/>
      <c r="AG5" s="452" t="str">
        <f>IF(H5="","","("&amp;INDEX(予選学校名!$I$22:$K$32,MATCH(INDEX($B$33:$B$52,MATCH($A5,$AO$33:$AO$52,0),1),予選学校名!$I$22:$I$32,0),2)&amp;")")</f>
        <v/>
      </c>
      <c r="AH5" s="452"/>
      <c r="AI5" s="452"/>
      <c r="AJ5" s="452"/>
      <c r="AK5" s="72"/>
      <c r="AL5" s="72"/>
      <c r="AM5" s="75"/>
      <c r="AN5" s="76"/>
      <c r="AO5" s="77"/>
      <c r="AP5" s="72"/>
      <c r="AQ5" s="72"/>
      <c r="AR5" s="72"/>
      <c r="AS5" s="72"/>
      <c r="BE5" s="72" t="s">
        <v>95</v>
      </c>
      <c r="BF5" s="58">
        <f t="shared" si="2"/>
        <v>15</v>
      </c>
      <c r="BG5" s="58" t="s">
        <v>67</v>
      </c>
      <c r="BH5" s="58" t="str">
        <f t="shared" si="0"/>
        <v xml:space="preserve">
</v>
      </c>
      <c r="BI5" s="78" t="s">
        <v>101</v>
      </c>
      <c r="BJ5" s="58" t="str">
        <f t="shared" si="1"/>
        <v>15日
14:00</v>
      </c>
    </row>
    <row r="6" spans="1:62" ht="25.5" customHeight="1" x14ac:dyDescent="0.15">
      <c r="A6" s="58" t="str">
        <f>IF(ISERROR(INDEX($B$33:$B$52,MATCH(A3,$AO$33:$AO$52,0),1)),"",INDEX($B$33:$B$52,MATCH(A3,$AO$33:$AO$52,0),1))</f>
        <v/>
      </c>
      <c r="H6" s="487"/>
      <c r="I6" s="488"/>
      <c r="J6" s="488"/>
      <c r="K6" s="488"/>
      <c r="L6" s="488"/>
      <c r="M6" s="488"/>
      <c r="N6" s="488"/>
      <c r="O6" s="488"/>
      <c r="P6" s="488"/>
      <c r="Q6" s="488"/>
      <c r="R6" s="488"/>
      <c r="S6" s="488"/>
      <c r="T6" s="488"/>
      <c r="U6" s="488"/>
      <c r="V6" s="488"/>
      <c r="W6" s="488"/>
      <c r="X6" s="82"/>
      <c r="Y6" s="83"/>
      <c r="Z6" s="83"/>
      <c r="AA6" s="83"/>
      <c r="AD6" s="72"/>
      <c r="AE6" s="72"/>
      <c r="AF6" s="75"/>
      <c r="AG6" s="76"/>
      <c r="AH6" s="77"/>
      <c r="AI6" s="72"/>
      <c r="AJ6" s="72"/>
      <c r="AK6" s="72"/>
      <c r="AL6" s="72"/>
      <c r="AM6" s="75"/>
      <c r="AN6" s="76"/>
      <c r="AO6" s="77"/>
      <c r="AP6" s="72"/>
      <c r="AQ6" s="72"/>
      <c r="AR6" s="72"/>
      <c r="AS6" s="72"/>
      <c r="BE6" s="72" t="s">
        <v>96</v>
      </c>
      <c r="BF6" s="58">
        <f>BF5+1</f>
        <v>16</v>
      </c>
      <c r="BG6" s="58" t="s">
        <v>67</v>
      </c>
      <c r="BH6" s="58" t="str">
        <f t="shared" si="0"/>
        <v xml:space="preserve">
</v>
      </c>
      <c r="BI6" s="78" t="s">
        <v>98</v>
      </c>
      <c r="BJ6" s="58" t="str">
        <f t="shared" si="1"/>
        <v>16日
9:00</v>
      </c>
    </row>
    <row r="7" spans="1:62" ht="26.25" customHeight="1" x14ac:dyDescent="0.15">
      <c r="A7" s="58" t="str">
        <f t="shared" ref="A7:A8" si="3">IF(ISERROR(INDEX($B$33:$B$52,MATCH(A4,$AO$33:$AO$52,0),1)),"",INDEX($B$33:$B$52,MATCH(A4,$AO$33:$AO$52,0),1))</f>
        <v/>
      </c>
      <c r="AG7" s="72"/>
      <c r="AH7" s="72"/>
      <c r="AI7" s="75"/>
      <c r="AJ7" s="76"/>
      <c r="AK7" s="77"/>
      <c r="AL7" s="72"/>
      <c r="AM7" s="72"/>
      <c r="AN7" s="72"/>
      <c r="AO7" s="84" t="s">
        <v>600</v>
      </c>
      <c r="AP7" s="75"/>
      <c r="AQ7" s="76"/>
      <c r="AR7" s="77"/>
      <c r="AS7" s="72"/>
      <c r="BE7" s="72" t="s">
        <v>91</v>
      </c>
      <c r="BF7" s="58">
        <f t="shared" ref="BF7" si="4">BF6</f>
        <v>16</v>
      </c>
      <c r="BG7" s="58" t="s">
        <v>67</v>
      </c>
      <c r="BH7" s="58" t="str">
        <f t="shared" si="0"/>
        <v xml:space="preserve">
</v>
      </c>
      <c r="BI7" s="78" t="s">
        <v>99</v>
      </c>
      <c r="BJ7" s="58" t="str">
        <f t="shared" si="1"/>
        <v>16日
10:15</v>
      </c>
    </row>
    <row r="8" spans="1:62" s="85" customFormat="1" ht="26.25" customHeight="1" x14ac:dyDescent="0.15">
      <c r="A8" s="58" t="str">
        <f t="shared" si="3"/>
        <v/>
      </c>
      <c r="B8" s="86" t="s">
        <v>602</v>
      </c>
      <c r="C8" s="87"/>
      <c r="D8" s="87"/>
      <c r="E8" s="88"/>
      <c r="F8" s="89"/>
      <c r="G8" s="90"/>
      <c r="H8" s="87"/>
      <c r="I8" s="87"/>
      <c r="J8" s="87"/>
      <c r="K8" s="87"/>
      <c r="L8" s="88"/>
      <c r="M8" s="89"/>
      <c r="N8" s="90"/>
      <c r="O8" s="87"/>
      <c r="P8" s="87"/>
      <c r="Q8" s="87"/>
      <c r="R8" s="87"/>
      <c r="S8" s="88"/>
      <c r="T8" s="89"/>
      <c r="U8" s="90"/>
      <c r="V8" s="87"/>
      <c r="W8" s="87"/>
      <c r="AF8" s="87"/>
      <c r="AG8" s="87"/>
      <c r="AH8" s="88"/>
      <c r="AI8" s="89"/>
      <c r="AJ8" s="90"/>
      <c r="AK8" s="87"/>
      <c r="AL8" s="87"/>
      <c r="AM8" s="87"/>
      <c r="AN8" s="87"/>
      <c r="AO8" s="88"/>
      <c r="AP8" s="89"/>
      <c r="AQ8" s="90"/>
      <c r="AR8" s="87"/>
      <c r="AS8" s="87"/>
      <c r="BE8" s="72" t="s">
        <v>89</v>
      </c>
      <c r="BF8" s="58">
        <f>BF7</f>
        <v>16</v>
      </c>
      <c r="BG8" s="58" t="s">
        <v>87</v>
      </c>
      <c r="BH8" s="58" t="str">
        <f t="shared" si="0"/>
        <v xml:space="preserve">
</v>
      </c>
      <c r="BI8" s="78" t="s">
        <v>100</v>
      </c>
      <c r="BJ8" s="58" t="str">
        <f t="shared" si="1"/>
        <v>16日
11:30</v>
      </c>
    </row>
    <row r="9" spans="1:62" ht="30" customHeight="1" x14ac:dyDescent="0.15">
      <c r="B9" s="91"/>
      <c r="C9" s="484" t="str">
        <f>B10</f>
        <v>志賀</v>
      </c>
      <c r="D9" s="484"/>
      <c r="E9" s="484"/>
      <c r="F9" s="484"/>
      <c r="G9" s="484"/>
      <c r="H9" s="484"/>
      <c r="I9" s="484"/>
      <c r="J9" s="484" t="str">
        <f>B14</f>
        <v>中能登</v>
      </c>
      <c r="K9" s="484"/>
      <c r="L9" s="484"/>
      <c r="M9" s="484"/>
      <c r="N9" s="484"/>
      <c r="O9" s="484"/>
      <c r="P9" s="484"/>
      <c r="Q9" s="484" t="str">
        <f>B18</f>
        <v>七尾</v>
      </c>
      <c r="R9" s="484"/>
      <c r="S9" s="484"/>
      <c r="T9" s="484"/>
      <c r="U9" s="484"/>
      <c r="V9" s="484"/>
      <c r="W9" s="484"/>
      <c r="X9" s="484" t="str">
        <f>B22</f>
        <v>輪島</v>
      </c>
      <c r="Y9" s="484"/>
      <c r="Z9" s="484"/>
      <c r="AA9" s="484"/>
      <c r="AB9" s="484"/>
      <c r="AC9" s="484"/>
      <c r="AD9" s="484"/>
      <c r="AE9" s="484" t="str">
        <f>B26</f>
        <v>七尾東部</v>
      </c>
      <c r="AF9" s="484"/>
      <c r="AG9" s="484"/>
      <c r="AH9" s="484"/>
      <c r="AI9" s="484"/>
      <c r="AJ9" s="484"/>
      <c r="AK9" s="484"/>
      <c r="AL9" s="92" t="s">
        <v>68</v>
      </c>
      <c r="AM9" s="93" t="s">
        <v>69</v>
      </c>
      <c r="AN9" s="92" t="s">
        <v>70</v>
      </c>
      <c r="AO9" s="92" t="s">
        <v>71</v>
      </c>
      <c r="AU9" s="72"/>
      <c r="AV9" s="72"/>
      <c r="AW9" s="72"/>
      <c r="BA9" s="78"/>
      <c r="BE9" s="58" t="s">
        <v>97</v>
      </c>
      <c r="BF9" s="58">
        <f t="shared" si="2"/>
        <v>16</v>
      </c>
      <c r="BG9" s="58" t="s">
        <v>87</v>
      </c>
      <c r="BH9" s="58" t="str">
        <f t="shared" si="0"/>
        <v xml:space="preserve">
</v>
      </c>
      <c r="BI9" s="78" t="s">
        <v>102</v>
      </c>
      <c r="BJ9" s="58" t="str">
        <f t="shared" si="1"/>
        <v>16日
12:45</v>
      </c>
    </row>
    <row r="10" spans="1:62" ht="19.5" customHeight="1" x14ac:dyDescent="0.15">
      <c r="A10" s="58">
        <f>1</f>
        <v>1</v>
      </c>
      <c r="B10" s="471" t="str">
        <f>IF(ISERROR(MATCH(A10,予選学校名!$H$22:$H$32,0)),"",INDEX(予選学校名!$H$22:$K$32,MATCH(A10,予選学校名!$H$22:$H$32,0),2))</f>
        <v>志賀</v>
      </c>
      <c r="C10" s="453"/>
      <c r="D10" s="454"/>
      <c r="E10" s="454"/>
      <c r="F10" s="454"/>
      <c r="G10" s="454"/>
      <c r="H10" s="454"/>
      <c r="I10" s="455"/>
      <c r="J10" s="462" t="str">
        <f>VLOOKUP(C14,$BE$1:$BJ$10,6,FALSE)</f>
        <v>15日
9:00</v>
      </c>
      <c r="K10" s="463"/>
      <c r="L10" s="463"/>
      <c r="M10" s="463"/>
      <c r="N10" s="463"/>
      <c r="O10" s="463"/>
      <c r="P10" s="464"/>
      <c r="Q10" s="462" t="str">
        <f>VLOOKUP(C18,$BE$1:$BJ$10,6,FALSE)</f>
        <v>16日
12:45</v>
      </c>
      <c r="R10" s="463"/>
      <c r="S10" s="463"/>
      <c r="T10" s="463"/>
      <c r="U10" s="463"/>
      <c r="V10" s="463"/>
      <c r="W10" s="464"/>
      <c r="X10" s="462" t="str">
        <f>VLOOKUP(C22,$BE$1:$BJ$10,6,FALSE)</f>
        <v>16日
9:00</v>
      </c>
      <c r="Y10" s="463"/>
      <c r="Z10" s="463"/>
      <c r="AA10" s="463"/>
      <c r="AB10" s="463"/>
      <c r="AC10" s="463"/>
      <c r="AD10" s="464"/>
      <c r="AE10" s="462" t="str">
        <f>VLOOKUP(C26,$BE$1:$BJ$10,6,FALSE)</f>
        <v>15日
11:30</v>
      </c>
      <c r="AF10" s="463"/>
      <c r="AG10" s="463"/>
      <c r="AH10" s="463"/>
      <c r="AI10" s="463"/>
      <c r="AJ10" s="463"/>
      <c r="AK10" s="464"/>
      <c r="AL10" s="451" t="str">
        <f>IF(COUNT(C11:AK11)=0,"",COUNTIF(C10:AK10,"○")*3+COUNTIF(X10:AK10,"△"))</f>
        <v/>
      </c>
      <c r="AM10" s="451" t="str">
        <f>IF(AL10="","",SUM(G10:G29)/2-SUM(E10:E29))</f>
        <v/>
      </c>
      <c r="AN10" s="451" t="str">
        <f>IF(AL10="","",SUM(G10:G29)/2)</f>
        <v/>
      </c>
      <c r="AO10" s="451" t="str">
        <f>IF(OR(AL10="",MOD(COUNT(C10:AK10),2)=1),"",RANK(AQ10,$AQ$10:$AQ$29))</f>
        <v/>
      </c>
      <c r="AQ10" s="58" t="str">
        <f>IF(OR(AL10="",MOD(COUNT(C10:AK10),2)=1),"",AL10*10000+AM10*100+AN10)</f>
        <v/>
      </c>
      <c r="BE10" s="58" t="s">
        <v>88</v>
      </c>
      <c r="BF10" s="58">
        <f t="shared" si="2"/>
        <v>16</v>
      </c>
      <c r="BG10" s="58" t="s">
        <v>87</v>
      </c>
      <c r="BH10" s="58" t="str">
        <f t="shared" si="0"/>
        <v xml:space="preserve">
</v>
      </c>
      <c r="BI10" s="78" t="s">
        <v>101</v>
      </c>
      <c r="BJ10" s="58" t="str">
        <f t="shared" si="1"/>
        <v>16日
14:00</v>
      </c>
    </row>
    <row r="11" spans="1:62" ht="19.5" customHeight="1" x14ac:dyDescent="0.15">
      <c r="B11" s="471"/>
      <c r="C11" s="456"/>
      <c r="D11" s="457"/>
      <c r="E11" s="457"/>
      <c r="F11" s="457"/>
      <c r="G11" s="457"/>
      <c r="H11" s="457"/>
      <c r="I11" s="458"/>
      <c r="J11" s="465"/>
      <c r="K11" s="466"/>
      <c r="L11" s="466"/>
      <c r="M11" s="466"/>
      <c r="N11" s="466"/>
      <c r="O11" s="466"/>
      <c r="P11" s="467"/>
      <c r="Q11" s="465"/>
      <c r="R11" s="466"/>
      <c r="S11" s="466"/>
      <c r="T11" s="466"/>
      <c r="U11" s="466"/>
      <c r="V11" s="466"/>
      <c r="W11" s="467"/>
      <c r="X11" s="465"/>
      <c r="Y11" s="466"/>
      <c r="Z11" s="466"/>
      <c r="AA11" s="466"/>
      <c r="AB11" s="466"/>
      <c r="AC11" s="466"/>
      <c r="AD11" s="467"/>
      <c r="AE11" s="465"/>
      <c r="AF11" s="466"/>
      <c r="AG11" s="466"/>
      <c r="AH11" s="466"/>
      <c r="AI11" s="466"/>
      <c r="AJ11" s="466"/>
      <c r="AK11" s="467"/>
      <c r="AL11" s="451"/>
      <c r="AM11" s="451"/>
      <c r="AN11" s="451"/>
      <c r="AO11" s="451"/>
    </row>
    <row r="12" spans="1:62" ht="19.5" customHeight="1" x14ac:dyDescent="0.15">
      <c r="B12" s="471"/>
      <c r="C12" s="456"/>
      <c r="D12" s="457"/>
      <c r="E12" s="457"/>
      <c r="F12" s="457"/>
      <c r="G12" s="457"/>
      <c r="H12" s="457"/>
      <c r="I12" s="458"/>
      <c r="J12" s="465"/>
      <c r="K12" s="466"/>
      <c r="L12" s="466"/>
      <c r="M12" s="466"/>
      <c r="N12" s="466"/>
      <c r="O12" s="466"/>
      <c r="P12" s="467"/>
      <c r="Q12" s="465"/>
      <c r="R12" s="466"/>
      <c r="S12" s="466"/>
      <c r="T12" s="466"/>
      <c r="U12" s="466"/>
      <c r="V12" s="466"/>
      <c r="W12" s="467"/>
      <c r="X12" s="465"/>
      <c r="Y12" s="466"/>
      <c r="Z12" s="466"/>
      <c r="AA12" s="466"/>
      <c r="AB12" s="466"/>
      <c r="AC12" s="466"/>
      <c r="AD12" s="467"/>
      <c r="AE12" s="465"/>
      <c r="AF12" s="466"/>
      <c r="AG12" s="466"/>
      <c r="AH12" s="466"/>
      <c r="AI12" s="466"/>
      <c r="AJ12" s="466"/>
      <c r="AK12" s="467"/>
      <c r="AL12" s="451"/>
      <c r="AM12" s="451"/>
      <c r="AN12" s="451"/>
      <c r="AO12" s="451"/>
    </row>
    <row r="13" spans="1:62" ht="3.75" customHeight="1" x14ac:dyDescent="0.15">
      <c r="B13" s="471"/>
      <c r="C13" s="459"/>
      <c r="D13" s="460"/>
      <c r="E13" s="460"/>
      <c r="F13" s="460"/>
      <c r="G13" s="460"/>
      <c r="H13" s="460"/>
      <c r="I13" s="461"/>
      <c r="J13" s="468"/>
      <c r="K13" s="469"/>
      <c r="L13" s="469"/>
      <c r="M13" s="469"/>
      <c r="N13" s="469"/>
      <c r="O13" s="469"/>
      <c r="P13" s="470"/>
      <c r="Q13" s="468"/>
      <c r="R13" s="469"/>
      <c r="S13" s="469"/>
      <c r="T13" s="469"/>
      <c r="U13" s="469"/>
      <c r="V13" s="469"/>
      <c r="W13" s="470"/>
      <c r="X13" s="468"/>
      <c r="Y13" s="469"/>
      <c r="Z13" s="469"/>
      <c r="AA13" s="469"/>
      <c r="AB13" s="469"/>
      <c r="AC13" s="469"/>
      <c r="AD13" s="470"/>
      <c r="AE13" s="468"/>
      <c r="AF13" s="469"/>
      <c r="AG13" s="469"/>
      <c r="AH13" s="469"/>
      <c r="AI13" s="469"/>
      <c r="AJ13" s="469"/>
      <c r="AK13" s="470"/>
      <c r="AL13" s="451"/>
      <c r="AM13" s="451"/>
      <c r="AN13" s="451"/>
      <c r="AO13" s="451"/>
      <c r="AQ13" s="58" t="str">
        <f t="shared" ref="AQ13" si="5">IF(OR(AL13="",MOD(COUNT(C13:AK13),2)=1),"",AL13*10000+AM13*100+AN13)</f>
        <v/>
      </c>
    </row>
    <row r="14" spans="1:62" ht="19.5" customHeight="1" x14ac:dyDescent="0.15">
      <c r="A14" s="58">
        <f>A10+1</f>
        <v>2</v>
      </c>
      <c r="B14" s="471" t="str">
        <f>IF(ISERROR(MATCH(A14,予選学校名!$H$22:$H$32,0)),"",INDEX(予選学校名!$H$22:$K$32,MATCH(A14,予選学校名!$H$22:$H$32,0),2))</f>
        <v>中能登</v>
      </c>
      <c r="C14" s="472" t="s">
        <v>93</v>
      </c>
      <c r="D14" s="473"/>
      <c r="E14" s="473"/>
      <c r="F14" s="473"/>
      <c r="G14" s="473"/>
      <c r="H14" s="473"/>
      <c r="I14" s="474"/>
      <c r="J14" s="453"/>
      <c r="K14" s="454"/>
      <c r="L14" s="454"/>
      <c r="M14" s="454"/>
      <c r="N14" s="454"/>
      <c r="O14" s="454"/>
      <c r="P14" s="455"/>
      <c r="Q14" s="462" t="str">
        <f>VLOOKUP(J18,$BE$1:$BJ$10,6,FALSE)</f>
        <v>15日
12:45</v>
      </c>
      <c r="R14" s="463"/>
      <c r="S14" s="463"/>
      <c r="T14" s="463"/>
      <c r="U14" s="463"/>
      <c r="V14" s="463"/>
      <c r="W14" s="464"/>
      <c r="X14" s="462" t="str">
        <f>VLOOKUP(J22,$BE$1:$BJ$10,6,FALSE)</f>
        <v>16日
11:30</v>
      </c>
      <c r="Y14" s="463"/>
      <c r="Z14" s="463"/>
      <c r="AA14" s="463"/>
      <c r="AB14" s="463"/>
      <c r="AC14" s="463"/>
      <c r="AD14" s="464"/>
      <c r="AE14" s="462" t="str">
        <f>VLOOKUP(J26,$BE$1:$BJ$10,6,FALSE)</f>
        <v>16日
14:00</v>
      </c>
      <c r="AF14" s="463"/>
      <c r="AG14" s="463"/>
      <c r="AH14" s="463"/>
      <c r="AI14" s="463"/>
      <c r="AJ14" s="463"/>
      <c r="AK14" s="464"/>
      <c r="AL14" s="451" t="str">
        <f>IF(COUNT(C15:AK15)=0,"",COUNTIF(C14:AK14,"○")*3+COUNTIF(X14:AK14,"△"))</f>
        <v/>
      </c>
      <c r="AM14" s="451" t="str">
        <f>IF(AL14="","",SUM(N10:N29)/2-SUM(L10:L29))</f>
        <v/>
      </c>
      <c r="AN14" s="451" t="str">
        <f>IF(AL14="","",SUM(N10:N29)/2)</f>
        <v/>
      </c>
      <c r="AO14" s="451" t="str">
        <f>IF(OR(AL14="",MOD(COUNT(C14:AK14),2)=1),"",RANK(AQ14,$AQ$10:$AQ$29))</f>
        <v/>
      </c>
    </row>
    <row r="15" spans="1:62" ht="19.5" customHeight="1" x14ac:dyDescent="0.15">
      <c r="B15" s="471"/>
      <c r="C15" s="475"/>
      <c r="D15" s="476"/>
      <c r="E15" s="476"/>
      <c r="F15" s="476"/>
      <c r="G15" s="476"/>
      <c r="H15" s="476"/>
      <c r="I15" s="477"/>
      <c r="J15" s="456"/>
      <c r="K15" s="457"/>
      <c r="L15" s="457"/>
      <c r="M15" s="457"/>
      <c r="N15" s="457"/>
      <c r="O15" s="457"/>
      <c r="P15" s="458"/>
      <c r="Q15" s="465"/>
      <c r="R15" s="466"/>
      <c r="S15" s="466"/>
      <c r="T15" s="466"/>
      <c r="U15" s="466"/>
      <c r="V15" s="466"/>
      <c r="W15" s="467"/>
      <c r="X15" s="465"/>
      <c r="Y15" s="466"/>
      <c r="Z15" s="466"/>
      <c r="AA15" s="466"/>
      <c r="AB15" s="466"/>
      <c r="AC15" s="466"/>
      <c r="AD15" s="467"/>
      <c r="AE15" s="465"/>
      <c r="AF15" s="466"/>
      <c r="AG15" s="466"/>
      <c r="AH15" s="466"/>
      <c r="AI15" s="466"/>
      <c r="AJ15" s="466"/>
      <c r="AK15" s="467"/>
      <c r="AL15" s="451"/>
      <c r="AM15" s="451"/>
      <c r="AN15" s="451"/>
      <c r="AO15" s="451"/>
    </row>
    <row r="16" spans="1:62" ht="19.5" customHeight="1" x14ac:dyDescent="0.15">
      <c r="B16" s="471"/>
      <c r="C16" s="475"/>
      <c r="D16" s="476"/>
      <c r="E16" s="476"/>
      <c r="F16" s="476"/>
      <c r="G16" s="476"/>
      <c r="H16" s="476"/>
      <c r="I16" s="477"/>
      <c r="J16" s="456"/>
      <c r="K16" s="457"/>
      <c r="L16" s="457"/>
      <c r="M16" s="457"/>
      <c r="N16" s="457"/>
      <c r="O16" s="457"/>
      <c r="P16" s="458"/>
      <c r="Q16" s="465"/>
      <c r="R16" s="466"/>
      <c r="S16" s="466"/>
      <c r="T16" s="466"/>
      <c r="U16" s="466"/>
      <c r="V16" s="466"/>
      <c r="W16" s="467"/>
      <c r="X16" s="465"/>
      <c r="Y16" s="466"/>
      <c r="Z16" s="466"/>
      <c r="AA16" s="466"/>
      <c r="AB16" s="466"/>
      <c r="AC16" s="466"/>
      <c r="AD16" s="467"/>
      <c r="AE16" s="465"/>
      <c r="AF16" s="466"/>
      <c r="AG16" s="466"/>
      <c r="AH16" s="466"/>
      <c r="AI16" s="466"/>
      <c r="AJ16" s="466"/>
      <c r="AK16" s="467"/>
      <c r="AL16" s="451"/>
      <c r="AM16" s="451"/>
      <c r="AN16" s="451"/>
      <c r="AO16" s="451"/>
      <c r="AQ16" s="58" t="str">
        <f t="shared" ref="AQ16" si="6">IF(OR(AL16="",MOD(COUNT(C16:AK16),2)=1),"",AL16*10000+AM16*100+AN16)</f>
        <v/>
      </c>
    </row>
    <row r="17" spans="1:61" ht="3.75" customHeight="1" x14ac:dyDescent="0.15">
      <c r="B17" s="471"/>
      <c r="C17" s="478"/>
      <c r="D17" s="479"/>
      <c r="E17" s="479"/>
      <c r="F17" s="479"/>
      <c r="G17" s="479"/>
      <c r="H17" s="479"/>
      <c r="I17" s="480"/>
      <c r="J17" s="459"/>
      <c r="K17" s="460"/>
      <c r="L17" s="460"/>
      <c r="M17" s="460"/>
      <c r="N17" s="460"/>
      <c r="O17" s="460"/>
      <c r="P17" s="461"/>
      <c r="Q17" s="468"/>
      <c r="R17" s="469"/>
      <c r="S17" s="469"/>
      <c r="T17" s="469"/>
      <c r="U17" s="469"/>
      <c r="V17" s="469"/>
      <c r="W17" s="470"/>
      <c r="X17" s="468"/>
      <c r="Y17" s="469"/>
      <c r="Z17" s="469"/>
      <c r="AA17" s="469"/>
      <c r="AB17" s="469"/>
      <c r="AC17" s="469"/>
      <c r="AD17" s="470"/>
      <c r="AE17" s="468"/>
      <c r="AF17" s="469"/>
      <c r="AG17" s="469"/>
      <c r="AH17" s="469"/>
      <c r="AI17" s="469"/>
      <c r="AJ17" s="469"/>
      <c r="AK17" s="470"/>
      <c r="AL17" s="451"/>
      <c r="AM17" s="451"/>
      <c r="AN17" s="451"/>
      <c r="AO17" s="451"/>
    </row>
    <row r="18" spans="1:61" ht="19.5" customHeight="1" x14ac:dyDescent="0.15">
      <c r="A18" s="58">
        <f t="shared" ref="A18" si="7">A14+1</f>
        <v>3</v>
      </c>
      <c r="B18" s="471" t="str">
        <f>IF(ISERROR(MATCH(A18,予選学校名!$H$22:$H$32,0)),"",INDEX(予選学校名!$H$22:$K$32,MATCH(A18,予選学校名!$H$22:$H$32,0),2))</f>
        <v>七尾</v>
      </c>
      <c r="C18" s="472" t="s">
        <v>97</v>
      </c>
      <c r="D18" s="473"/>
      <c r="E18" s="473"/>
      <c r="F18" s="473"/>
      <c r="G18" s="473"/>
      <c r="H18" s="473"/>
      <c r="I18" s="474"/>
      <c r="J18" s="472" t="s">
        <v>92</v>
      </c>
      <c r="K18" s="473"/>
      <c r="L18" s="473"/>
      <c r="M18" s="473"/>
      <c r="N18" s="473"/>
      <c r="O18" s="473"/>
      <c r="P18" s="474"/>
      <c r="Q18" s="453"/>
      <c r="R18" s="454"/>
      <c r="S18" s="454"/>
      <c r="T18" s="454"/>
      <c r="U18" s="454"/>
      <c r="V18" s="454"/>
      <c r="W18" s="455"/>
      <c r="X18" s="462" t="str">
        <f>VLOOKUP(Q22,$BE$1:$BJ$10,6,FALSE)</f>
        <v>15日
10:15</v>
      </c>
      <c r="Y18" s="463"/>
      <c r="Z18" s="463"/>
      <c r="AA18" s="463"/>
      <c r="AB18" s="463"/>
      <c r="AC18" s="463"/>
      <c r="AD18" s="464"/>
      <c r="AE18" s="462" t="str">
        <f>VLOOKUP(Q26,$BE$1:$BJ$10,6,FALSE)</f>
        <v>16日
10:15</v>
      </c>
      <c r="AF18" s="463"/>
      <c r="AG18" s="463"/>
      <c r="AH18" s="463"/>
      <c r="AI18" s="463"/>
      <c r="AJ18" s="463"/>
      <c r="AK18" s="464"/>
      <c r="AL18" s="451" t="str">
        <f t="shared" ref="AL18" si="8">IF(COUNT(C19:AK19)=0,"",COUNTIF(C18:AK18,"○")*3+COUNTIF(X18:AK18,"△"))</f>
        <v/>
      </c>
      <c r="AM18" s="451" t="str">
        <f>IF(AL18="","",SUM(U10:U29)/2-SUM(S10:S29))</f>
        <v/>
      </c>
      <c r="AN18" s="451" t="str">
        <f>IF(AL18="","",SUM(U10:U29)/2)</f>
        <v/>
      </c>
      <c r="AO18" s="451" t="str">
        <f t="shared" ref="AO18" si="9">IF(OR(AL18="",MOD(COUNT(C18:AK18),2)=1),"",RANK(AQ18,$AQ$10:$AQ$29))</f>
        <v/>
      </c>
    </row>
    <row r="19" spans="1:61" ht="19.5" customHeight="1" x14ac:dyDescent="0.15">
      <c r="B19" s="471"/>
      <c r="C19" s="475"/>
      <c r="D19" s="476"/>
      <c r="E19" s="476"/>
      <c r="F19" s="476"/>
      <c r="G19" s="476"/>
      <c r="H19" s="476"/>
      <c r="I19" s="477"/>
      <c r="J19" s="475"/>
      <c r="K19" s="476"/>
      <c r="L19" s="476"/>
      <c r="M19" s="476"/>
      <c r="N19" s="476"/>
      <c r="O19" s="476"/>
      <c r="P19" s="477"/>
      <c r="Q19" s="456"/>
      <c r="R19" s="457"/>
      <c r="S19" s="457"/>
      <c r="T19" s="457"/>
      <c r="U19" s="457"/>
      <c r="V19" s="457"/>
      <c r="W19" s="458"/>
      <c r="X19" s="465"/>
      <c r="Y19" s="466"/>
      <c r="Z19" s="466"/>
      <c r="AA19" s="466"/>
      <c r="AB19" s="466"/>
      <c r="AC19" s="466"/>
      <c r="AD19" s="467"/>
      <c r="AE19" s="465"/>
      <c r="AF19" s="466"/>
      <c r="AG19" s="466"/>
      <c r="AH19" s="466"/>
      <c r="AI19" s="466"/>
      <c r="AJ19" s="466"/>
      <c r="AK19" s="467"/>
      <c r="AL19" s="451"/>
      <c r="AM19" s="451"/>
      <c r="AN19" s="451"/>
      <c r="AO19" s="451"/>
      <c r="AQ19" s="58" t="str">
        <f t="shared" ref="AQ19" si="10">IF(OR(AL19="",MOD(COUNT(C19:AK19),2)=1),"",AL19*10000+AM19*100+AN19)</f>
        <v/>
      </c>
    </row>
    <row r="20" spans="1:61" ht="19.5" customHeight="1" x14ac:dyDescent="0.15">
      <c r="B20" s="471"/>
      <c r="C20" s="475"/>
      <c r="D20" s="476"/>
      <c r="E20" s="476"/>
      <c r="F20" s="476"/>
      <c r="G20" s="476"/>
      <c r="H20" s="476"/>
      <c r="I20" s="477"/>
      <c r="J20" s="475"/>
      <c r="K20" s="476"/>
      <c r="L20" s="476"/>
      <c r="M20" s="476"/>
      <c r="N20" s="476"/>
      <c r="O20" s="476"/>
      <c r="P20" s="477"/>
      <c r="Q20" s="456"/>
      <c r="R20" s="457"/>
      <c r="S20" s="457"/>
      <c r="T20" s="457"/>
      <c r="U20" s="457"/>
      <c r="V20" s="457"/>
      <c r="W20" s="458"/>
      <c r="X20" s="465"/>
      <c r="Y20" s="466"/>
      <c r="Z20" s="466"/>
      <c r="AA20" s="466"/>
      <c r="AB20" s="466"/>
      <c r="AC20" s="466"/>
      <c r="AD20" s="467"/>
      <c r="AE20" s="465"/>
      <c r="AF20" s="466"/>
      <c r="AG20" s="466"/>
      <c r="AH20" s="466"/>
      <c r="AI20" s="466"/>
      <c r="AJ20" s="466"/>
      <c r="AK20" s="467"/>
      <c r="AL20" s="451"/>
      <c r="AM20" s="451"/>
      <c r="AN20" s="451"/>
      <c r="AO20" s="451"/>
    </row>
    <row r="21" spans="1:61" ht="3.75" customHeight="1" x14ac:dyDescent="0.15">
      <c r="B21" s="471"/>
      <c r="C21" s="478"/>
      <c r="D21" s="479"/>
      <c r="E21" s="479"/>
      <c r="F21" s="479"/>
      <c r="G21" s="479"/>
      <c r="H21" s="479"/>
      <c r="I21" s="480"/>
      <c r="J21" s="478"/>
      <c r="K21" s="479"/>
      <c r="L21" s="479"/>
      <c r="M21" s="479"/>
      <c r="N21" s="479"/>
      <c r="O21" s="479"/>
      <c r="P21" s="480"/>
      <c r="Q21" s="459"/>
      <c r="R21" s="460"/>
      <c r="S21" s="460"/>
      <c r="T21" s="460"/>
      <c r="U21" s="460"/>
      <c r="V21" s="460"/>
      <c r="W21" s="461"/>
      <c r="X21" s="468"/>
      <c r="Y21" s="469"/>
      <c r="Z21" s="469"/>
      <c r="AA21" s="469"/>
      <c r="AB21" s="469"/>
      <c r="AC21" s="469"/>
      <c r="AD21" s="470"/>
      <c r="AE21" s="468"/>
      <c r="AF21" s="469"/>
      <c r="AG21" s="469"/>
      <c r="AH21" s="469"/>
      <c r="AI21" s="469"/>
      <c r="AJ21" s="469"/>
      <c r="AK21" s="470"/>
      <c r="AL21" s="451"/>
      <c r="AM21" s="451"/>
      <c r="AN21" s="451"/>
      <c r="AO21" s="451"/>
    </row>
    <row r="22" spans="1:61" ht="19.5" customHeight="1" x14ac:dyDescent="0.15">
      <c r="A22" s="58">
        <f t="shared" ref="A22" si="11">A18+1</f>
        <v>4</v>
      </c>
      <c r="B22" s="471" t="str">
        <f>IF(ISERROR(MATCH(A22,予選学校名!$H$22:$H$32,0)),"",INDEX(予選学校名!$H$22:$K$32,MATCH(A22,予選学校名!$H$22:$H$32,0),2))</f>
        <v>輪島</v>
      </c>
      <c r="C22" s="472" t="s">
        <v>96</v>
      </c>
      <c r="D22" s="473"/>
      <c r="E22" s="473"/>
      <c r="F22" s="473"/>
      <c r="G22" s="473"/>
      <c r="H22" s="473"/>
      <c r="I22" s="474"/>
      <c r="J22" s="472" t="s">
        <v>89</v>
      </c>
      <c r="K22" s="473"/>
      <c r="L22" s="473"/>
      <c r="M22" s="473"/>
      <c r="N22" s="473"/>
      <c r="O22" s="473"/>
      <c r="P22" s="474"/>
      <c r="Q22" s="472" t="s">
        <v>90</v>
      </c>
      <c r="R22" s="473"/>
      <c r="S22" s="473"/>
      <c r="T22" s="473"/>
      <c r="U22" s="473"/>
      <c r="V22" s="473"/>
      <c r="W22" s="474"/>
      <c r="X22" s="453"/>
      <c r="Y22" s="454"/>
      <c r="Z22" s="454"/>
      <c r="AA22" s="454"/>
      <c r="AB22" s="454"/>
      <c r="AC22" s="454"/>
      <c r="AD22" s="455"/>
      <c r="AE22" s="462" t="str">
        <f>VLOOKUP(X26,$BE$1:$BJ$10,6,FALSE)</f>
        <v>15日
14:00</v>
      </c>
      <c r="AF22" s="463"/>
      <c r="AG22" s="463"/>
      <c r="AH22" s="463"/>
      <c r="AI22" s="463"/>
      <c r="AJ22" s="463"/>
      <c r="AK22" s="464"/>
      <c r="AL22" s="451" t="str">
        <f t="shared" ref="AL22" si="12">IF(COUNT(C23:AK23)=0,"",COUNTIF(C22:AK22,"○")*3+COUNTIF(X22:AK22,"△"))</f>
        <v/>
      </c>
      <c r="AM22" s="451" t="str">
        <f>IF(AL22="","",SUM(AB10:AB29)/2-SUM(Z10:Z29))</f>
        <v/>
      </c>
      <c r="AN22" s="451" t="str">
        <f>IF(AL22="","",SUM(AB10:AB29)/2)</f>
        <v/>
      </c>
      <c r="AO22" s="451" t="str">
        <f t="shared" ref="AO22" si="13">IF(OR(AL22="",MOD(COUNT(C22:AK22),2)=1),"",RANK(AQ22,$AQ$10:$AQ$29))</f>
        <v/>
      </c>
      <c r="AQ22" s="58" t="str">
        <f t="shared" ref="AQ22" si="14">IF(OR(AL22="",MOD(COUNT(C22:AK22),2)=1),"",AL22*10000+AM22*100+AN22)</f>
        <v/>
      </c>
    </row>
    <row r="23" spans="1:61" ht="19.5" customHeight="1" x14ac:dyDescent="0.15">
      <c r="B23" s="471"/>
      <c r="C23" s="475"/>
      <c r="D23" s="476"/>
      <c r="E23" s="476"/>
      <c r="F23" s="476"/>
      <c r="G23" s="476"/>
      <c r="H23" s="476"/>
      <c r="I23" s="477"/>
      <c r="J23" s="475"/>
      <c r="K23" s="476"/>
      <c r="L23" s="476"/>
      <c r="M23" s="476"/>
      <c r="N23" s="476"/>
      <c r="O23" s="476"/>
      <c r="P23" s="477"/>
      <c r="Q23" s="475"/>
      <c r="R23" s="476"/>
      <c r="S23" s="476"/>
      <c r="T23" s="476"/>
      <c r="U23" s="476"/>
      <c r="V23" s="476"/>
      <c r="W23" s="477"/>
      <c r="X23" s="456"/>
      <c r="Y23" s="457"/>
      <c r="Z23" s="457"/>
      <c r="AA23" s="457"/>
      <c r="AB23" s="457"/>
      <c r="AC23" s="457"/>
      <c r="AD23" s="458"/>
      <c r="AE23" s="465"/>
      <c r="AF23" s="466"/>
      <c r="AG23" s="466"/>
      <c r="AH23" s="466"/>
      <c r="AI23" s="466"/>
      <c r="AJ23" s="466"/>
      <c r="AK23" s="467"/>
      <c r="AL23" s="451"/>
      <c r="AM23" s="451"/>
      <c r="AN23" s="451"/>
      <c r="AO23" s="451"/>
    </row>
    <row r="24" spans="1:61" ht="19.5" customHeight="1" x14ac:dyDescent="0.15">
      <c r="B24" s="471"/>
      <c r="C24" s="475"/>
      <c r="D24" s="476"/>
      <c r="E24" s="476"/>
      <c r="F24" s="476"/>
      <c r="G24" s="476"/>
      <c r="H24" s="476"/>
      <c r="I24" s="477"/>
      <c r="J24" s="475"/>
      <c r="K24" s="476"/>
      <c r="L24" s="476"/>
      <c r="M24" s="476"/>
      <c r="N24" s="476"/>
      <c r="O24" s="476"/>
      <c r="P24" s="477"/>
      <c r="Q24" s="475"/>
      <c r="R24" s="476"/>
      <c r="S24" s="476"/>
      <c r="T24" s="476"/>
      <c r="U24" s="476"/>
      <c r="V24" s="476"/>
      <c r="W24" s="477"/>
      <c r="X24" s="456"/>
      <c r="Y24" s="457"/>
      <c r="Z24" s="457"/>
      <c r="AA24" s="457"/>
      <c r="AB24" s="457"/>
      <c r="AC24" s="457"/>
      <c r="AD24" s="458"/>
      <c r="AE24" s="465"/>
      <c r="AF24" s="466"/>
      <c r="AG24" s="466"/>
      <c r="AH24" s="466"/>
      <c r="AI24" s="466"/>
      <c r="AJ24" s="466"/>
      <c r="AK24" s="467"/>
      <c r="AL24" s="451"/>
      <c r="AM24" s="451"/>
      <c r="AN24" s="451"/>
      <c r="AO24" s="451"/>
    </row>
    <row r="25" spans="1:61" ht="3.75" customHeight="1" x14ac:dyDescent="0.15">
      <c r="B25" s="471"/>
      <c r="C25" s="478"/>
      <c r="D25" s="479"/>
      <c r="E25" s="479"/>
      <c r="F25" s="479"/>
      <c r="G25" s="479"/>
      <c r="H25" s="479"/>
      <c r="I25" s="480"/>
      <c r="J25" s="478"/>
      <c r="K25" s="479"/>
      <c r="L25" s="479"/>
      <c r="M25" s="479"/>
      <c r="N25" s="479"/>
      <c r="O25" s="479"/>
      <c r="P25" s="480"/>
      <c r="Q25" s="478"/>
      <c r="R25" s="479"/>
      <c r="S25" s="479"/>
      <c r="T25" s="479"/>
      <c r="U25" s="479"/>
      <c r="V25" s="479"/>
      <c r="W25" s="480"/>
      <c r="X25" s="459"/>
      <c r="Y25" s="460"/>
      <c r="Z25" s="460"/>
      <c r="AA25" s="460"/>
      <c r="AB25" s="460"/>
      <c r="AC25" s="460"/>
      <c r="AD25" s="461"/>
      <c r="AE25" s="468"/>
      <c r="AF25" s="469"/>
      <c r="AG25" s="469"/>
      <c r="AH25" s="469"/>
      <c r="AI25" s="469"/>
      <c r="AJ25" s="469"/>
      <c r="AK25" s="470"/>
      <c r="AL25" s="451"/>
      <c r="AM25" s="451"/>
      <c r="AN25" s="451"/>
      <c r="AO25" s="451"/>
      <c r="AQ25" s="58" t="str">
        <f t="shared" ref="AQ25" si="15">IF(OR(AL25="",MOD(COUNT(C25:AK25),2)=1),"",AL25*10000+AM25*100+AN25)</f>
        <v/>
      </c>
    </row>
    <row r="26" spans="1:61" ht="19.5" customHeight="1" x14ac:dyDescent="0.15">
      <c r="A26" s="58">
        <f t="shared" ref="A26" si="16">A22+1</f>
        <v>5</v>
      </c>
      <c r="B26" s="471" t="str">
        <f>IF(ISERROR(MATCH(A26,予選学校名!$H$22:$H$32,0)),"",INDEX(予選学校名!$H$22:$K$32,MATCH(A26,予選学校名!$H$22:$H$32,0),2))</f>
        <v>七尾東部</v>
      </c>
      <c r="C26" s="472" t="s">
        <v>94</v>
      </c>
      <c r="D26" s="473"/>
      <c r="E26" s="473"/>
      <c r="F26" s="473"/>
      <c r="G26" s="473"/>
      <c r="H26" s="473"/>
      <c r="I26" s="474"/>
      <c r="J26" s="472" t="s">
        <v>88</v>
      </c>
      <c r="K26" s="473"/>
      <c r="L26" s="473"/>
      <c r="M26" s="473"/>
      <c r="N26" s="473"/>
      <c r="O26" s="473"/>
      <c r="P26" s="474"/>
      <c r="Q26" s="472" t="s">
        <v>91</v>
      </c>
      <c r="R26" s="473"/>
      <c r="S26" s="473"/>
      <c r="T26" s="473"/>
      <c r="U26" s="473"/>
      <c r="V26" s="473"/>
      <c r="W26" s="474"/>
      <c r="X26" s="472" t="s">
        <v>95</v>
      </c>
      <c r="Y26" s="473"/>
      <c r="Z26" s="473"/>
      <c r="AA26" s="473"/>
      <c r="AB26" s="473"/>
      <c r="AC26" s="473"/>
      <c r="AD26" s="474"/>
      <c r="AE26" s="453"/>
      <c r="AF26" s="454"/>
      <c r="AG26" s="454"/>
      <c r="AH26" s="454"/>
      <c r="AI26" s="454"/>
      <c r="AJ26" s="454"/>
      <c r="AK26" s="455"/>
      <c r="AL26" s="451" t="str">
        <f t="shared" ref="AL26" si="17">IF(COUNT(C27:AK27)=0,"",COUNTIF(C26:AK26,"○")*3+COUNTIF(X26:AK26,"△"))</f>
        <v/>
      </c>
      <c r="AM26" s="451" t="str">
        <f>IF(AL26="","",SUM(AI10:AI29)/2-SUM(AG10:AG29))</f>
        <v/>
      </c>
      <c r="AN26" s="451" t="str">
        <f>IF(AL26="","",SUM(AI10:AI29)/2)</f>
        <v/>
      </c>
      <c r="AO26" s="451" t="str">
        <f t="shared" ref="AO26" si="18">IF(OR(AL26="",MOD(COUNT(C26:AK26),2)=1),"",RANK(AQ26,$AQ$10:$AQ$29))</f>
        <v/>
      </c>
    </row>
    <row r="27" spans="1:61" ht="19.5" customHeight="1" x14ac:dyDescent="0.15">
      <c r="B27" s="471"/>
      <c r="C27" s="475"/>
      <c r="D27" s="476"/>
      <c r="E27" s="476"/>
      <c r="F27" s="476"/>
      <c r="G27" s="476"/>
      <c r="H27" s="476"/>
      <c r="I27" s="477"/>
      <c r="J27" s="475"/>
      <c r="K27" s="476"/>
      <c r="L27" s="476"/>
      <c r="M27" s="476"/>
      <c r="N27" s="476"/>
      <c r="O27" s="476"/>
      <c r="P27" s="477"/>
      <c r="Q27" s="475"/>
      <c r="R27" s="476"/>
      <c r="S27" s="476"/>
      <c r="T27" s="476"/>
      <c r="U27" s="476"/>
      <c r="V27" s="476"/>
      <c r="W27" s="477"/>
      <c r="X27" s="475"/>
      <c r="Y27" s="476"/>
      <c r="Z27" s="476"/>
      <c r="AA27" s="476"/>
      <c r="AB27" s="476"/>
      <c r="AC27" s="476"/>
      <c r="AD27" s="477"/>
      <c r="AE27" s="456"/>
      <c r="AF27" s="457"/>
      <c r="AG27" s="457"/>
      <c r="AH27" s="457"/>
      <c r="AI27" s="457"/>
      <c r="AJ27" s="457"/>
      <c r="AK27" s="458"/>
      <c r="AL27" s="451"/>
      <c r="AM27" s="451"/>
      <c r="AN27" s="451"/>
      <c r="AO27" s="451"/>
    </row>
    <row r="28" spans="1:61" ht="19.5" customHeight="1" x14ac:dyDescent="0.15">
      <c r="B28" s="471"/>
      <c r="C28" s="475"/>
      <c r="D28" s="476"/>
      <c r="E28" s="476"/>
      <c r="F28" s="476"/>
      <c r="G28" s="476"/>
      <c r="H28" s="476"/>
      <c r="I28" s="477"/>
      <c r="J28" s="475"/>
      <c r="K28" s="476"/>
      <c r="L28" s="476"/>
      <c r="M28" s="476"/>
      <c r="N28" s="476"/>
      <c r="O28" s="476"/>
      <c r="P28" s="477"/>
      <c r="Q28" s="475"/>
      <c r="R28" s="476"/>
      <c r="S28" s="476"/>
      <c r="T28" s="476"/>
      <c r="U28" s="476"/>
      <c r="V28" s="476"/>
      <c r="W28" s="477"/>
      <c r="X28" s="475"/>
      <c r="Y28" s="476"/>
      <c r="Z28" s="476"/>
      <c r="AA28" s="476"/>
      <c r="AB28" s="476"/>
      <c r="AC28" s="476"/>
      <c r="AD28" s="477"/>
      <c r="AE28" s="456"/>
      <c r="AF28" s="457"/>
      <c r="AG28" s="457"/>
      <c r="AH28" s="457"/>
      <c r="AI28" s="457"/>
      <c r="AJ28" s="457"/>
      <c r="AK28" s="458"/>
      <c r="AL28" s="451"/>
      <c r="AM28" s="451"/>
      <c r="AN28" s="451"/>
      <c r="AO28" s="451"/>
      <c r="AQ28" s="58" t="str">
        <f t="shared" ref="AQ28" si="19">IF(OR(AL28="",MOD(COUNT(C28:AK28),2)=1),"",AL28*10000+AM28*100+AN28)</f>
        <v/>
      </c>
    </row>
    <row r="29" spans="1:61" ht="3.75" customHeight="1" x14ac:dyDescent="0.15">
      <c r="B29" s="471"/>
      <c r="C29" s="478"/>
      <c r="D29" s="479"/>
      <c r="E29" s="479"/>
      <c r="F29" s="479"/>
      <c r="G29" s="479"/>
      <c r="H29" s="479"/>
      <c r="I29" s="480"/>
      <c r="J29" s="478"/>
      <c r="K29" s="479"/>
      <c r="L29" s="479"/>
      <c r="M29" s="479"/>
      <c r="N29" s="479"/>
      <c r="O29" s="479"/>
      <c r="P29" s="480"/>
      <c r="Q29" s="478"/>
      <c r="R29" s="479"/>
      <c r="S29" s="479"/>
      <c r="T29" s="479"/>
      <c r="U29" s="479"/>
      <c r="V29" s="479"/>
      <c r="W29" s="480"/>
      <c r="X29" s="478"/>
      <c r="Y29" s="479"/>
      <c r="Z29" s="479"/>
      <c r="AA29" s="479"/>
      <c r="AB29" s="479"/>
      <c r="AC29" s="479"/>
      <c r="AD29" s="480"/>
      <c r="AE29" s="459"/>
      <c r="AF29" s="460"/>
      <c r="AG29" s="460"/>
      <c r="AH29" s="460"/>
      <c r="AI29" s="460"/>
      <c r="AJ29" s="460"/>
      <c r="AK29" s="461"/>
      <c r="AL29" s="451"/>
      <c r="AM29" s="451"/>
      <c r="AN29" s="451"/>
      <c r="AO29" s="451"/>
    </row>
    <row r="30" spans="1:61" ht="26.25" customHeight="1" x14ac:dyDescent="0.15"/>
    <row r="31" spans="1:61" ht="26.25" customHeight="1" x14ac:dyDescent="0.15">
      <c r="B31" s="86" t="s">
        <v>601</v>
      </c>
      <c r="C31" s="87"/>
      <c r="D31" s="87"/>
      <c r="E31" s="88"/>
      <c r="F31" s="89"/>
      <c r="G31" s="90"/>
      <c r="H31" s="87"/>
      <c r="I31" s="87"/>
      <c r="J31" s="87"/>
      <c r="K31" s="87"/>
      <c r="L31" s="88"/>
      <c r="M31" s="89"/>
      <c r="N31" s="90"/>
      <c r="O31" s="87"/>
      <c r="P31" s="87"/>
      <c r="Q31" s="87"/>
      <c r="R31" s="87"/>
      <c r="S31" s="88"/>
      <c r="T31" s="89"/>
      <c r="U31" s="90"/>
      <c r="V31" s="87"/>
      <c r="W31" s="87"/>
      <c r="X31" s="85"/>
      <c r="Y31" s="85"/>
      <c r="Z31" s="85"/>
      <c r="AA31" s="85"/>
      <c r="AB31" s="85"/>
      <c r="AC31" s="85"/>
      <c r="AD31" s="85"/>
      <c r="AE31" s="85"/>
      <c r="AF31" s="87"/>
      <c r="AG31" s="87"/>
      <c r="AH31" s="88"/>
      <c r="AI31" s="89"/>
      <c r="AJ31" s="90"/>
      <c r="AK31" s="87"/>
      <c r="AL31" s="87"/>
      <c r="AM31" s="87"/>
      <c r="AN31" s="87"/>
      <c r="AO31" s="88"/>
    </row>
    <row r="32" spans="1:61" ht="30" customHeight="1" x14ac:dyDescent="0.15">
      <c r="B32" s="91"/>
      <c r="C32" s="484" t="str">
        <f>B33</f>
        <v>志賀</v>
      </c>
      <c r="D32" s="484"/>
      <c r="E32" s="484"/>
      <c r="F32" s="484"/>
      <c r="G32" s="484"/>
      <c r="H32" s="484"/>
      <c r="I32" s="484"/>
      <c r="J32" s="484" t="str">
        <f>B37</f>
        <v>中能登</v>
      </c>
      <c r="K32" s="484"/>
      <c r="L32" s="484"/>
      <c r="M32" s="484"/>
      <c r="N32" s="484"/>
      <c r="O32" s="484"/>
      <c r="P32" s="484"/>
      <c r="Q32" s="484" t="str">
        <f>B41</f>
        <v>七尾</v>
      </c>
      <c r="R32" s="484"/>
      <c r="S32" s="484"/>
      <c r="T32" s="484"/>
      <c r="U32" s="484"/>
      <c r="V32" s="484"/>
      <c r="W32" s="484"/>
      <c r="X32" s="484" t="str">
        <f>B45</f>
        <v>輪島</v>
      </c>
      <c r="Y32" s="484"/>
      <c r="Z32" s="484"/>
      <c r="AA32" s="484"/>
      <c r="AB32" s="484"/>
      <c r="AC32" s="484"/>
      <c r="AD32" s="484"/>
      <c r="AE32" s="484" t="str">
        <f>B49</f>
        <v>七尾東部</v>
      </c>
      <c r="AF32" s="484"/>
      <c r="AG32" s="484"/>
      <c r="AH32" s="484"/>
      <c r="AI32" s="484"/>
      <c r="AJ32" s="484"/>
      <c r="AK32" s="484"/>
      <c r="AL32" s="92" t="s">
        <v>68</v>
      </c>
      <c r="AM32" s="93" t="s">
        <v>69</v>
      </c>
      <c r="AN32" s="92" t="s">
        <v>70</v>
      </c>
      <c r="AO32" s="92" t="s">
        <v>71</v>
      </c>
      <c r="AT32" s="72" t="str">
        <f>C32</f>
        <v>志賀</v>
      </c>
      <c r="AU32" s="58" t="str">
        <f>C32</f>
        <v>志賀</v>
      </c>
      <c r="AV32" s="72" t="str">
        <f>J32</f>
        <v>中能登</v>
      </c>
      <c r="AW32" s="72" t="str">
        <f>Q32</f>
        <v>七尾</v>
      </c>
      <c r="AX32" s="72" t="str">
        <f>X32</f>
        <v>輪島</v>
      </c>
      <c r="AY32" s="58" t="str">
        <f>AE32</f>
        <v>七尾東部</v>
      </c>
      <c r="BA32" s="78"/>
      <c r="BI32" s="78"/>
    </row>
    <row r="33" spans="1:61" ht="19.5" customHeight="1" x14ac:dyDescent="0.15">
      <c r="A33" s="58">
        <f>1</f>
        <v>1</v>
      </c>
      <c r="B33" s="471" t="str">
        <f>IF(ISERROR(MATCH(A33,予選学校名!$H$22:$H$32,0)),"",INDEX(予選学校名!$H$22:$K$32,MATCH(A33,予選学校名!$H$22:$H$32,0),2))</f>
        <v>志賀</v>
      </c>
      <c r="C33" s="453"/>
      <c r="D33" s="454"/>
      <c r="E33" s="454"/>
      <c r="F33" s="454"/>
      <c r="G33" s="454"/>
      <c r="H33" s="454"/>
      <c r="I33" s="455"/>
      <c r="J33" s="483" t="str">
        <f>IF(L34="","",SUM(L34,L35))</f>
        <v/>
      </c>
      <c r="K33" s="481"/>
      <c r="L33" s="481"/>
      <c r="M33" s="94" t="str">
        <f>IF(J33="","",IF(J33&gt;N33,"○",IF(J33&lt;N33,"●","△")))</f>
        <v/>
      </c>
      <c r="N33" s="481" t="str">
        <f>IF(N34="","",SUM(N34,N35))</f>
        <v/>
      </c>
      <c r="O33" s="481"/>
      <c r="P33" s="482"/>
      <c r="Q33" s="483" t="str">
        <f>IF(S34="","",SUM(S34,S35))</f>
        <v/>
      </c>
      <c r="R33" s="481"/>
      <c r="S33" s="481"/>
      <c r="T33" s="94" t="str">
        <f>IF(Q33="","",IF(Q33&gt;U33,"○",IF(Q33&lt;U33,"●","△")))</f>
        <v/>
      </c>
      <c r="U33" s="481" t="str">
        <f>IF(U34="","",SUM(U34,U35))</f>
        <v/>
      </c>
      <c r="V33" s="481"/>
      <c r="W33" s="482"/>
      <c r="X33" s="483" t="str">
        <f>IF(Z34="","",SUM(Z34,Z35))</f>
        <v/>
      </c>
      <c r="Y33" s="481"/>
      <c r="Z33" s="481"/>
      <c r="AA33" s="94" t="str">
        <f>IF(X33="","",IF(X33&gt;AB33,"○",IF(X33&lt;AB33,"●","△")))</f>
        <v/>
      </c>
      <c r="AB33" s="481" t="str">
        <f>IF(AB34="","",SUM(AB34,AB35))</f>
        <v/>
      </c>
      <c r="AC33" s="481"/>
      <c r="AD33" s="482"/>
      <c r="AE33" s="483" t="str">
        <f>IF(AG34="","",SUM(AG34,AG35))</f>
        <v/>
      </c>
      <c r="AF33" s="481"/>
      <c r="AG33" s="481"/>
      <c r="AH33" s="94" t="str">
        <f>IF(AE33="","",IF(AE33&gt;AI33,"○",IF(AE33&lt;AI33,"●","△")))</f>
        <v/>
      </c>
      <c r="AI33" s="481" t="str">
        <f>IF(AI34="","",SUM(AI34,AI35))</f>
        <v/>
      </c>
      <c r="AJ33" s="481"/>
      <c r="AK33" s="482"/>
      <c r="AL33" s="451" t="str">
        <f>IF(COUNT(C34:AK34)=0,"",COUNTIF(C33:AK33,"○")*3+COUNTIF(C33:AK33,"△"))</f>
        <v/>
      </c>
      <c r="AM33" s="451" t="str">
        <f>IF(AL33="","",SUM(G33:G52)/2-SUM(E33:E52))</f>
        <v/>
      </c>
      <c r="AN33" s="451" t="str">
        <f>IF(AL33="","",SUM(G33:G52)/2)</f>
        <v/>
      </c>
      <c r="AO33" s="451" t="str">
        <f>IF(OR(AL33="",MOD(COUNT(C33:AK33),2)=1),"",RANK(AQ33,$AQ$33:$AQ$52))</f>
        <v/>
      </c>
      <c r="AQ33" s="58" t="str">
        <f>IF(OR(AL33="",MOD(COUNT(C33:AK33),2)=1),"",AL33*1000000+SUM(AU33:AY33)*10000+AM33*100+AN33)</f>
        <v/>
      </c>
      <c r="AT33" s="72" t="str">
        <f>B33</f>
        <v>志賀</v>
      </c>
      <c r="AV33" s="58">
        <f>IF(AL33=$AL37,IF(M33="○",3,IF(M33="△",1,0)),0)</f>
        <v>0</v>
      </c>
      <c r="AW33" s="58">
        <f>IF(AL33=$AL41,IF(T33="○",3,IF(T33="△",1,0)),0)</f>
        <v>0</v>
      </c>
      <c r="AX33" s="58">
        <f>IF(AL33=$AL45,IF(AA33="○",3,IF(AA33="△",1,0)),0)</f>
        <v>0</v>
      </c>
      <c r="AY33" s="58">
        <f>IF(AL33=$AL49,IF(AH33="○",3,IF(AH33="△",1,0)),0)</f>
        <v>0</v>
      </c>
      <c r="BI33" s="78"/>
    </row>
    <row r="34" spans="1:61" ht="19.5" customHeight="1" x14ac:dyDescent="0.15">
      <c r="B34" s="471"/>
      <c r="C34" s="456"/>
      <c r="D34" s="457"/>
      <c r="E34" s="457"/>
      <c r="F34" s="457"/>
      <c r="G34" s="457"/>
      <c r="H34" s="457"/>
      <c r="I34" s="458"/>
      <c r="J34" s="95"/>
      <c r="L34" s="96"/>
      <c r="M34" s="76" t="s">
        <v>72</v>
      </c>
      <c r="N34" s="97"/>
      <c r="P34" s="98"/>
      <c r="Q34" s="95"/>
      <c r="S34" s="96"/>
      <c r="T34" s="76" t="s">
        <v>72</v>
      </c>
      <c r="U34" s="97"/>
      <c r="W34" s="98"/>
      <c r="X34" s="95"/>
      <c r="Y34" s="72"/>
      <c r="Z34" s="96"/>
      <c r="AA34" s="76" t="s">
        <v>72</v>
      </c>
      <c r="AB34" s="97"/>
      <c r="AC34" s="72"/>
      <c r="AD34" s="98"/>
      <c r="AE34" s="95"/>
      <c r="AF34" s="72"/>
      <c r="AG34" s="96"/>
      <c r="AH34" s="76" t="s">
        <v>72</v>
      </c>
      <c r="AI34" s="97"/>
      <c r="AJ34" s="72"/>
      <c r="AK34" s="98"/>
      <c r="AL34" s="451"/>
      <c r="AM34" s="451"/>
      <c r="AN34" s="451"/>
      <c r="AO34" s="451"/>
      <c r="AT34" s="72"/>
    </row>
    <row r="35" spans="1:61" ht="19.5" customHeight="1" x14ac:dyDescent="0.15">
      <c r="B35" s="471"/>
      <c r="C35" s="456"/>
      <c r="D35" s="457"/>
      <c r="E35" s="457"/>
      <c r="F35" s="457"/>
      <c r="G35" s="457"/>
      <c r="H35" s="457"/>
      <c r="I35" s="458"/>
      <c r="J35" s="95"/>
      <c r="L35" s="96"/>
      <c r="M35" s="76" t="s">
        <v>72</v>
      </c>
      <c r="N35" s="97"/>
      <c r="P35" s="98"/>
      <c r="Q35" s="95"/>
      <c r="S35" s="96"/>
      <c r="T35" s="76" t="s">
        <v>72</v>
      </c>
      <c r="U35" s="97"/>
      <c r="W35" s="98"/>
      <c r="X35" s="95"/>
      <c r="Y35" s="72"/>
      <c r="Z35" s="96"/>
      <c r="AA35" s="76" t="s">
        <v>72</v>
      </c>
      <c r="AB35" s="97"/>
      <c r="AC35" s="72"/>
      <c r="AD35" s="98"/>
      <c r="AE35" s="95"/>
      <c r="AF35" s="72"/>
      <c r="AG35" s="96"/>
      <c r="AH35" s="76" t="s">
        <v>72</v>
      </c>
      <c r="AI35" s="97"/>
      <c r="AJ35" s="72"/>
      <c r="AK35" s="98"/>
      <c r="AL35" s="451"/>
      <c r="AM35" s="451"/>
      <c r="AN35" s="451"/>
      <c r="AO35" s="451"/>
      <c r="AT35" s="72"/>
    </row>
    <row r="36" spans="1:61" ht="3.75" customHeight="1" x14ac:dyDescent="0.15">
      <c r="B36" s="471"/>
      <c r="C36" s="459"/>
      <c r="D36" s="460"/>
      <c r="E36" s="460"/>
      <c r="F36" s="460"/>
      <c r="G36" s="460"/>
      <c r="H36" s="460"/>
      <c r="I36" s="461"/>
      <c r="J36" s="99"/>
      <c r="K36" s="100"/>
      <c r="L36" s="101"/>
      <c r="M36" s="102"/>
      <c r="N36" s="103"/>
      <c r="O36" s="100"/>
      <c r="P36" s="104"/>
      <c r="Q36" s="99"/>
      <c r="R36" s="100"/>
      <c r="S36" s="101"/>
      <c r="T36" s="102"/>
      <c r="U36" s="103"/>
      <c r="V36" s="100"/>
      <c r="W36" s="104"/>
      <c r="X36" s="99"/>
      <c r="Y36" s="100"/>
      <c r="Z36" s="101"/>
      <c r="AA36" s="102"/>
      <c r="AB36" s="103"/>
      <c r="AC36" s="100"/>
      <c r="AD36" s="104"/>
      <c r="AE36" s="99"/>
      <c r="AF36" s="100"/>
      <c r="AG36" s="101"/>
      <c r="AH36" s="102"/>
      <c r="AI36" s="103"/>
      <c r="AJ36" s="100"/>
      <c r="AK36" s="104"/>
      <c r="AL36" s="451"/>
      <c r="AM36" s="451"/>
      <c r="AN36" s="451"/>
      <c r="AO36" s="451"/>
      <c r="AQ36" s="58" t="str">
        <f>IF(OR(AL36="",MOD(COUNT(C36:AK36),2)=1),"",AL36*10000+AM36*100+AN36)</f>
        <v/>
      </c>
      <c r="AT36" s="72"/>
    </row>
    <row r="37" spans="1:61" ht="19.5" customHeight="1" x14ac:dyDescent="0.15">
      <c r="A37" s="58">
        <f>A33+1</f>
        <v>2</v>
      </c>
      <c r="B37" s="471" t="str">
        <f>IF(ISERROR(MATCH(A37,予選学校名!$H$22:$H$32,0)),"",INDEX(予選学校名!$H$22:$K$32,MATCH(A37,予選学校名!$H$22:$H$32,0),2))</f>
        <v>中能登</v>
      </c>
      <c r="C37" s="483" t="str">
        <f>IF(E38="","",SUM(E38,E39))</f>
        <v/>
      </c>
      <c r="D37" s="481"/>
      <c r="E37" s="481"/>
      <c r="F37" s="94" t="str">
        <f>IF(C37="","",IF(C37&gt;G37,"○",IF(C37&lt;G37,"●","△")))</f>
        <v/>
      </c>
      <c r="G37" s="481" t="str">
        <f>IF(G38="","",SUM(G38,G39))</f>
        <v/>
      </c>
      <c r="H37" s="481"/>
      <c r="I37" s="482"/>
      <c r="J37" s="453"/>
      <c r="K37" s="454"/>
      <c r="L37" s="454"/>
      <c r="M37" s="454"/>
      <c r="N37" s="454"/>
      <c r="O37" s="454"/>
      <c r="P37" s="455"/>
      <c r="Q37" s="483" t="str">
        <f>IF(S38="","",SUM(S38,S39))</f>
        <v/>
      </c>
      <c r="R37" s="481"/>
      <c r="S37" s="481"/>
      <c r="T37" s="94" t="str">
        <f>IF(Q37="","",IF(Q37&gt;U37,"○",IF(Q37&lt;U37,"●","△")))</f>
        <v/>
      </c>
      <c r="U37" s="481" t="str">
        <f>IF(U38="","",SUM(U38,U39))</f>
        <v/>
      </c>
      <c r="V37" s="481"/>
      <c r="W37" s="482"/>
      <c r="X37" s="483" t="str">
        <f>IF(Z38="","",SUM(Z38,Z39))</f>
        <v/>
      </c>
      <c r="Y37" s="481"/>
      <c r="Z37" s="481"/>
      <c r="AA37" s="94" t="str">
        <f>IF(X37="","",IF(X37&gt;AB37,"○",IF(X37&lt;AB37,"●","△")))</f>
        <v/>
      </c>
      <c r="AB37" s="481" t="str">
        <f>IF(AB38="","",SUM(AB38,AB39))</f>
        <v/>
      </c>
      <c r="AC37" s="481"/>
      <c r="AD37" s="482"/>
      <c r="AE37" s="483" t="str">
        <f>IF(AG38="","",SUM(AG38,AG39))</f>
        <v/>
      </c>
      <c r="AF37" s="481"/>
      <c r="AG37" s="481"/>
      <c r="AH37" s="94" t="str">
        <f>IF(AE37="","",IF(AE37&gt;AI37,"○",IF(AE37&lt;AI37,"●","△")))</f>
        <v/>
      </c>
      <c r="AI37" s="481" t="str">
        <f>IF(AI38="","",SUM(AI38,AI39))</f>
        <v/>
      </c>
      <c r="AJ37" s="481"/>
      <c r="AK37" s="482"/>
      <c r="AL37" s="451" t="str">
        <f t="shared" ref="AL37" si="20">IF(COUNT(C38:AK38)=0,"",COUNTIF(C37:AK37,"○")*3+COUNTIF(C37:AK37,"△"))</f>
        <v/>
      </c>
      <c r="AM37" s="451" t="str">
        <f>IF(AL37="","",SUM(N33:N52)/2-SUM(L33:L52))</f>
        <v/>
      </c>
      <c r="AN37" s="451" t="str">
        <f>IF(AL37="","",SUM(N33:N52)/2)</f>
        <v/>
      </c>
      <c r="AO37" s="451" t="str">
        <f>IF(OR(AL37="",MOD(COUNT(C37:AK37),2)=1),"",RANK(AQ37,$AQ$33:$AQ$52))</f>
        <v/>
      </c>
      <c r="AQ37" s="58" t="str">
        <f t="shared" ref="AQ37" si="21">IF(OR(AL37="",MOD(COUNT(C37:AK37),2)=1),"",AL37*1000000+SUM(AU37:AY37)*10000+AM37*100+AN37)</f>
        <v/>
      </c>
      <c r="AT37" s="72" t="str">
        <f t="shared" ref="AT37" si="22">B37</f>
        <v>中能登</v>
      </c>
      <c r="AU37" s="58">
        <f>IF(AL37=$AL33,IF(F37="○",3,IF(F37="△",1,0)),0)</f>
        <v>0</v>
      </c>
      <c r="AW37" s="58">
        <f>IF(AL37=$AL41,IF(T37="○",3,IF(T37="△",1,0)),0)</f>
        <v>0</v>
      </c>
      <c r="AX37" s="58">
        <f>IF(AL37=$AL45,IF(AA37="○",3,IF(AA37="△",1,0)),0)</f>
        <v>0</v>
      </c>
      <c r="AY37" s="58">
        <f>IF(AL37=$AL49,IF(AH37="○",3,IF(AH37="△",1,0)),0)</f>
        <v>0</v>
      </c>
    </row>
    <row r="38" spans="1:61" ht="19.5" customHeight="1" x14ac:dyDescent="0.15">
      <c r="B38" s="471"/>
      <c r="C38" s="95"/>
      <c r="E38" s="75" t="str">
        <f>IF(N34="","",N34)</f>
        <v/>
      </c>
      <c r="F38" s="76" t="s">
        <v>72</v>
      </c>
      <c r="G38" s="77" t="str">
        <f>IF(L34="","",L34)</f>
        <v/>
      </c>
      <c r="I38" s="98"/>
      <c r="J38" s="456"/>
      <c r="K38" s="457"/>
      <c r="L38" s="457"/>
      <c r="M38" s="457"/>
      <c r="N38" s="457"/>
      <c r="O38" s="457"/>
      <c r="P38" s="458"/>
      <c r="Q38" s="95"/>
      <c r="S38" s="96"/>
      <c r="T38" s="76" t="s">
        <v>72</v>
      </c>
      <c r="U38" s="97"/>
      <c r="W38" s="98"/>
      <c r="X38" s="95"/>
      <c r="Y38" s="72"/>
      <c r="Z38" s="96"/>
      <c r="AA38" s="76" t="s">
        <v>72</v>
      </c>
      <c r="AB38" s="97"/>
      <c r="AC38" s="72"/>
      <c r="AD38" s="98"/>
      <c r="AE38" s="95"/>
      <c r="AF38" s="72"/>
      <c r="AG38" s="96"/>
      <c r="AH38" s="76" t="s">
        <v>72</v>
      </c>
      <c r="AI38" s="97"/>
      <c r="AJ38" s="72"/>
      <c r="AK38" s="98"/>
      <c r="AL38" s="451"/>
      <c r="AM38" s="451"/>
      <c r="AN38" s="451"/>
      <c r="AO38" s="451"/>
      <c r="AT38" s="72"/>
    </row>
    <row r="39" spans="1:61" ht="19.5" customHeight="1" x14ac:dyDescent="0.15">
      <c r="B39" s="471"/>
      <c r="C39" s="95"/>
      <c r="E39" s="75" t="str">
        <f>IF(N35="","",N35)</f>
        <v/>
      </c>
      <c r="F39" s="76" t="s">
        <v>72</v>
      </c>
      <c r="G39" s="77" t="str">
        <f>IF(L35="","",L35)</f>
        <v/>
      </c>
      <c r="I39" s="98"/>
      <c r="J39" s="456"/>
      <c r="K39" s="457"/>
      <c r="L39" s="457"/>
      <c r="M39" s="457"/>
      <c r="N39" s="457"/>
      <c r="O39" s="457"/>
      <c r="P39" s="458"/>
      <c r="Q39" s="95"/>
      <c r="S39" s="96"/>
      <c r="T39" s="76" t="s">
        <v>72</v>
      </c>
      <c r="U39" s="97"/>
      <c r="W39" s="98"/>
      <c r="X39" s="95"/>
      <c r="Y39" s="72"/>
      <c r="Z39" s="96"/>
      <c r="AA39" s="76" t="s">
        <v>72</v>
      </c>
      <c r="AB39" s="97"/>
      <c r="AC39" s="72"/>
      <c r="AD39" s="98"/>
      <c r="AE39" s="95"/>
      <c r="AF39" s="72"/>
      <c r="AG39" s="96"/>
      <c r="AH39" s="76" t="s">
        <v>72</v>
      </c>
      <c r="AI39" s="97"/>
      <c r="AJ39" s="72"/>
      <c r="AK39" s="98"/>
      <c r="AL39" s="451"/>
      <c r="AM39" s="451"/>
      <c r="AN39" s="451"/>
      <c r="AO39" s="451"/>
      <c r="AT39" s="72"/>
    </row>
    <row r="40" spans="1:61" ht="3.75" customHeight="1" x14ac:dyDescent="0.15">
      <c r="B40" s="471"/>
      <c r="C40" s="99"/>
      <c r="D40" s="100"/>
      <c r="E40" s="101"/>
      <c r="F40" s="102"/>
      <c r="G40" s="103"/>
      <c r="H40" s="100"/>
      <c r="I40" s="104"/>
      <c r="J40" s="459"/>
      <c r="K40" s="460"/>
      <c r="L40" s="460"/>
      <c r="M40" s="460"/>
      <c r="N40" s="460"/>
      <c r="O40" s="460"/>
      <c r="P40" s="461"/>
      <c r="Q40" s="99"/>
      <c r="R40" s="100"/>
      <c r="S40" s="101"/>
      <c r="T40" s="102"/>
      <c r="U40" s="103"/>
      <c r="V40" s="100"/>
      <c r="W40" s="104"/>
      <c r="X40" s="99"/>
      <c r="Y40" s="100"/>
      <c r="Z40" s="101"/>
      <c r="AA40" s="102"/>
      <c r="AB40" s="103"/>
      <c r="AC40" s="100"/>
      <c r="AD40" s="104"/>
      <c r="AE40" s="99"/>
      <c r="AF40" s="100"/>
      <c r="AG40" s="101"/>
      <c r="AH40" s="102"/>
      <c r="AI40" s="103"/>
      <c r="AJ40" s="100"/>
      <c r="AK40" s="104"/>
      <c r="AL40" s="451"/>
      <c r="AM40" s="451"/>
      <c r="AN40" s="451"/>
      <c r="AO40" s="451"/>
      <c r="AQ40" s="58" t="str">
        <f t="shared" ref="AQ40" si="23">IF(OR(AL40="",MOD(COUNT(C40:AK40),2)=1),"",AL40*10000+AM40*100+AN40)</f>
        <v/>
      </c>
      <c r="AT40" s="72"/>
    </row>
    <row r="41" spans="1:61" ht="19.5" customHeight="1" x14ac:dyDescent="0.15">
      <c r="A41" s="58">
        <f t="shared" ref="A41" si="24">A37+1</f>
        <v>3</v>
      </c>
      <c r="B41" s="471" t="str">
        <f>IF(ISERROR(MATCH(A41,予選学校名!$H$22:$H$32,0)),"",INDEX(予選学校名!$H$22:$K$32,MATCH(A41,予選学校名!$H$22:$H$32,0),2))</f>
        <v>七尾</v>
      </c>
      <c r="C41" s="483" t="str">
        <f>IF(E42="","",SUM(E42,E43))</f>
        <v/>
      </c>
      <c r="D41" s="481"/>
      <c r="E41" s="481"/>
      <c r="F41" s="94" t="str">
        <f>IF(C41="","",IF(C41&gt;G41,"○",IF(C41&lt;G41,"●","△")))</f>
        <v/>
      </c>
      <c r="G41" s="481" t="str">
        <f>IF(G42="","",SUM(G42,G43))</f>
        <v/>
      </c>
      <c r="H41" s="481"/>
      <c r="I41" s="482"/>
      <c r="J41" s="483" t="str">
        <f>IF(L42="","",SUM(L42,L43))</f>
        <v/>
      </c>
      <c r="K41" s="481"/>
      <c r="L41" s="481"/>
      <c r="M41" s="94" t="str">
        <f>IF(J41="","",IF(J41&gt;N41,"○",IF(J41&lt;N41,"●","△")))</f>
        <v/>
      </c>
      <c r="N41" s="481" t="str">
        <f>IF(N42="","",SUM(N42,N43))</f>
        <v/>
      </c>
      <c r="O41" s="481"/>
      <c r="P41" s="482"/>
      <c r="Q41" s="453"/>
      <c r="R41" s="454"/>
      <c r="S41" s="454"/>
      <c r="T41" s="454"/>
      <c r="U41" s="454"/>
      <c r="V41" s="454"/>
      <c r="W41" s="455"/>
      <c r="X41" s="483" t="str">
        <f>IF(Z42="","",SUM(Z42,Z43))</f>
        <v/>
      </c>
      <c r="Y41" s="481"/>
      <c r="Z41" s="481"/>
      <c r="AA41" s="94" t="str">
        <f>IF(X41="","",IF(X41&gt;AB41,"○",IF(X41&lt;AB41,"●","△")))</f>
        <v/>
      </c>
      <c r="AB41" s="481" t="str">
        <f>IF(AB42="","",SUM(AB42,AB43))</f>
        <v/>
      </c>
      <c r="AC41" s="481"/>
      <c r="AD41" s="482"/>
      <c r="AE41" s="483" t="str">
        <f>IF(AG42="","",SUM(AG42,AG43))</f>
        <v/>
      </c>
      <c r="AF41" s="481"/>
      <c r="AG41" s="481"/>
      <c r="AH41" s="94" t="str">
        <f>IF(AE41="","",IF(AE41&gt;AI41,"○",IF(AE41&lt;AI41,"●","△")))</f>
        <v/>
      </c>
      <c r="AI41" s="481" t="str">
        <f>IF(AI42="","",SUM(AI42,AI43))</f>
        <v/>
      </c>
      <c r="AJ41" s="481"/>
      <c r="AK41" s="482"/>
      <c r="AL41" s="451" t="str">
        <f t="shared" ref="AL41" si="25">IF(COUNT(C42:AK42)=0,"",COUNTIF(C41:AK41,"○")*3+COUNTIF(C41:AK41,"△"))</f>
        <v/>
      </c>
      <c r="AM41" s="451" t="str">
        <f>IF(AL41="","",SUM(U33:U52)/2-SUM(S33:S52))</f>
        <v/>
      </c>
      <c r="AN41" s="451" t="str">
        <f>IF(AL41="","",SUM(U33:U52)/2)</f>
        <v/>
      </c>
      <c r="AO41" s="451" t="str">
        <f t="shared" ref="AO41" si="26">IF(OR(AL41="",MOD(COUNT(C41:AK41),2)=1),"",RANK(AQ41,$AQ$33:$AQ$52))</f>
        <v/>
      </c>
      <c r="AQ41" s="58" t="str">
        <f t="shared" ref="AQ41" si="27">IF(OR(AL41="",MOD(COUNT(C41:AK41),2)=1),"",AL41*1000000+SUM(AU41:AY41)*10000+AM41*100+AN41)</f>
        <v/>
      </c>
      <c r="AT41" s="72" t="str">
        <f t="shared" ref="AT41" si="28">B41</f>
        <v>七尾</v>
      </c>
      <c r="AU41" s="58">
        <f>IF(AL41=$AL33,IF(F41="○",3,IF(F41="△",1,0)),0)</f>
        <v>0</v>
      </c>
      <c r="AV41" s="58">
        <f>IF(AL41=$AL37,IF(M41="○",3,IF(M41="△",1,0)),0)</f>
        <v>0</v>
      </c>
      <c r="AX41" s="58">
        <f>IF(AL41=$AL45,IF(AA41="○",3,IF(AA41="△",1,0)),0)</f>
        <v>0</v>
      </c>
      <c r="AY41" s="58">
        <f>IF(AL41=$AL49,IF(AH41="○",3,IF(AH41="△",1,0)),0)</f>
        <v>0</v>
      </c>
    </row>
    <row r="42" spans="1:61" ht="19.5" customHeight="1" x14ac:dyDescent="0.15">
      <c r="B42" s="471"/>
      <c r="C42" s="95"/>
      <c r="E42" s="75" t="str">
        <f>IF(U34="","",U34)</f>
        <v/>
      </c>
      <c r="F42" s="76" t="s">
        <v>72</v>
      </c>
      <c r="G42" s="77" t="str">
        <f>IF(S34="","",S34)</f>
        <v/>
      </c>
      <c r="I42" s="98"/>
      <c r="J42" s="95"/>
      <c r="L42" s="75" t="str">
        <f>IF(U38="","",U38)</f>
        <v/>
      </c>
      <c r="M42" s="76" t="s">
        <v>72</v>
      </c>
      <c r="N42" s="77" t="str">
        <f>IF(S38="","",S38)</f>
        <v/>
      </c>
      <c r="P42" s="98"/>
      <c r="Q42" s="456"/>
      <c r="R42" s="457"/>
      <c r="S42" s="457"/>
      <c r="T42" s="457"/>
      <c r="U42" s="457"/>
      <c r="V42" s="457"/>
      <c r="W42" s="458"/>
      <c r="X42" s="95"/>
      <c r="Y42" s="72"/>
      <c r="Z42" s="96"/>
      <c r="AA42" s="76" t="s">
        <v>72</v>
      </c>
      <c r="AB42" s="97"/>
      <c r="AC42" s="72"/>
      <c r="AD42" s="98"/>
      <c r="AE42" s="95"/>
      <c r="AF42" s="72"/>
      <c r="AG42" s="96"/>
      <c r="AH42" s="76" t="s">
        <v>72</v>
      </c>
      <c r="AI42" s="97"/>
      <c r="AJ42" s="72"/>
      <c r="AK42" s="98"/>
      <c r="AL42" s="451"/>
      <c r="AM42" s="451"/>
      <c r="AN42" s="451"/>
      <c r="AO42" s="451"/>
      <c r="AT42" s="72"/>
    </row>
    <row r="43" spans="1:61" ht="19.5" customHeight="1" x14ac:dyDescent="0.15">
      <c r="B43" s="471"/>
      <c r="C43" s="95"/>
      <c r="E43" s="75" t="str">
        <f>IF(U35="","",U35)</f>
        <v/>
      </c>
      <c r="F43" s="76" t="s">
        <v>72</v>
      </c>
      <c r="G43" s="77" t="str">
        <f>IF(S35="","",S35)</f>
        <v/>
      </c>
      <c r="I43" s="98"/>
      <c r="J43" s="95"/>
      <c r="L43" s="75" t="str">
        <f>IF(U39="","",U39)</f>
        <v/>
      </c>
      <c r="M43" s="76" t="s">
        <v>72</v>
      </c>
      <c r="N43" s="77" t="str">
        <f>IF(S39="","",S39)</f>
        <v/>
      </c>
      <c r="P43" s="98"/>
      <c r="Q43" s="456"/>
      <c r="R43" s="457"/>
      <c r="S43" s="457"/>
      <c r="T43" s="457"/>
      <c r="U43" s="457"/>
      <c r="V43" s="457"/>
      <c r="W43" s="458"/>
      <c r="X43" s="95"/>
      <c r="Y43" s="72"/>
      <c r="Z43" s="96"/>
      <c r="AA43" s="76" t="s">
        <v>72</v>
      </c>
      <c r="AB43" s="97"/>
      <c r="AC43" s="72"/>
      <c r="AD43" s="98"/>
      <c r="AE43" s="95"/>
      <c r="AF43" s="72"/>
      <c r="AG43" s="96"/>
      <c r="AH43" s="76" t="s">
        <v>72</v>
      </c>
      <c r="AI43" s="97"/>
      <c r="AJ43" s="72"/>
      <c r="AK43" s="98"/>
      <c r="AL43" s="451"/>
      <c r="AM43" s="451"/>
      <c r="AN43" s="451"/>
      <c r="AO43" s="451"/>
      <c r="AT43" s="72"/>
    </row>
    <row r="44" spans="1:61" ht="3.75" customHeight="1" x14ac:dyDescent="0.15">
      <c r="B44" s="471"/>
      <c r="C44" s="99"/>
      <c r="D44" s="100"/>
      <c r="E44" s="101"/>
      <c r="F44" s="102"/>
      <c r="G44" s="103"/>
      <c r="H44" s="100"/>
      <c r="I44" s="104"/>
      <c r="J44" s="99"/>
      <c r="K44" s="100"/>
      <c r="L44" s="101"/>
      <c r="M44" s="102"/>
      <c r="N44" s="103"/>
      <c r="O44" s="100"/>
      <c r="P44" s="104"/>
      <c r="Q44" s="459"/>
      <c r="R44" s="460"/>
      <c r="S44" s="460"/>
      <c r="T44" s="460"/>
      <c r="U44" s="460"/>
      <c r="V44" s="460"/>
      <c r="W44" s="461"/>
      <c r="X44" s="99"/>
      <c r="Y44" s="100"/>
      <c r="Z44" s="101"/>
      <c r="AA44" s="102"/>
      <c r="AB44" s="103"/>
      <c r="AC44" s="100"/>
      <c r="AD44" s="104"/>
      <c r="AE44" s="99"/>
      <c r="AF44" s="100"/>
      <c r="AG44" s="101"/>
      <c r="AH44" s="102"/>
      <c r="AI44" s="103"/>
      <c r="AJ44" s="100"/>
      <c r="AK44" s="104"/>
      <c r="AL44" s="451"/>
      <c r="AM44" s="451"/>
      <c r="AN44" s="451"/>
      <c r="AO44" s="451"/>
      <c r="AQ44" s="58" t="str">
        <f t="shared" ref="AQ44" si="29">IF(OR(AL44="",MOD(COUNT(C44:AK44),2)=1),"",AL44*10000+AM44*100+AN44)</f>
        <v/>
      </c>
      <c r="AT44" s="72"/>
    </row>
    <row r="45" spans="1:61" ht="19.5" customHeight="1" x14ac:dyDescent="0.15">
      <c r="A45" s="58">
        <f t="shared" ref="A45" si="30">A41+1</f>
        <v>4</v>
      </c>
      <c r="B45" s="471" t="str">
        <f>IF(ISERROR(MATCH(A45,予選学校名!$H$22:$H$32,0)),"",INDEX(予選学校名!$H$22:$K$32,MATCH(A45,予選学校名!$H$22:$H$32,0),2))</f>
        <v>輪島</v>
      </c>
      <c r="C45" s="483" t="str">
        <f>IF(E46="","",SUM(E46,E47))</f>
        <v/>
      </c>
      <c r="D45" s="481"/>
      <c r="E45" s="481"/>
      <c r="F45" s="94" t="str">
        <f>IF(C45="","",IF(C45&gt;G45,"○",IF(C45&lt;G45,"●","△")))</f>
        <v/>
      </c>
      <c r="G45" s="481" t="str">
        <f>IF(G46="","",SUM(G46,G47))</f>
        <v/>
      </c>
      <c r="H45" s="481"/>
      <c r="I45" s="482"/>
      <c r="J45" s="483" t="str">
        <f>IF(L46="","",SUM(L46,L47))</f>
        <v/>
      </c>
      <c r="K45" s="481"/>
      <c r="L45" s="481"/>
      <c r="M45" s="94" t="str">
        <f>IF(J45="","",IF(J45&gt;N45,"○",IF(J45&lt;N45,"●","△")))</f>
        <v/>
      </c>
      <c r="N45" s="481" t="str">
        <f>IF(N46="","",SUM(N46,N47))</f>
        <v/>
      </c>
      <c r="O45" s="481"/>
      <c r="P45" s="482"/>
      <c r="Q45" s="483" t="str">
        <f>IF(S46="","",SUM(S46,S47))</f>
        <v/>
      </c>
      <c r="R45" s="481"/>
      <c r="S45" s="481"/>
      <c r="T45" s="94" t="str">
        <f>IF(Q45="","",IF(Q45&gt;U45,"○",IF(Q45&lt;U45,"●","△")))</f>
        <v/>
      </c>
      <c r="U45" s="481" t="str">
        <f>IF(U46="","",SUM(U46,U47))</f>
        <v/>
      </c>
      <c r="V45" s="481"/>
      <c r="W45" s="482"/>
      <c r="X45" s="453"/>
      <c r="Y45" s="454"/>
      <c r="Z45" s="454"/>
      <c r="AA45" s="454"/>
      <c r="AB45" s="454"/>
      <c r="AC45" s="454"/>
      <c r="AD45" s="455"/>
      <c r="AE45" s="483" t="str">
        <f>IF(AG46="","",SUM(AG46,AG47))</f>
        <v/>
      </c>
      <c r="AF45" s="481"/>
      <c r="AG45" s="481"/>
      <c r="AH45" s="94" t="str">
        <f>IF(AE45="","",IF(AE45&gt;AI45,"○",IF(AE45&lt;AI45,"●","△")))</f>
        <v/>
      </c>
      <c r="AI45" s="481" t="str">
        <f>IF(AI46="","",SUM(AI46,AI47))</f>
        <v/>
      </c>
      <c r="AJ45" s="481"/>
      <c r="AK45" s="482"/>
      <c r="AL45" s="451" t="str">
        <f t="shared" ref="AL45" si="31">IF(COUNT(C46:AK46)=0,"",COUNTIF(C45:AK45,"○")*3+COUNTIF(C45:AK45,"△"))</f>
        <v/>
      </c>
      <c r="AM45" s="451" t="str">
        <f>IF(AL45="","",SUM(AB33:AB52)/2-SUM(Z33:Z52))</f>
        <v/>
      </c>
      <c r="AN45" s="451" t="str">
        <f>IF(AL45="","",SUM(AB33:AB52)/2)</f>
        <v/>
      </c>
      <c r="AO45" s="451" t="str">
        <f t="shared" ref="AO45" si="32">IF(OR(AL45="",MOD(COUNT(C45:AK45),2)=1),"",RANK(AQ45,$AQ$33:$AQ$52))</f>
        <v/>
      </c>
      <c r="AQ45" s="58" t="str">
        <f t="shared" ref="AQ45" si="33">IF(OR(AL45="",MOD(COUNT(C45:AK45),2)=1),"",AL45*1000000+SUM(AU45:AY45)*10000+AM45*100+AN45)</f>
        <v/>
      </c>
      <c r="AT45" s="72" t="str">
        <f t="shared" ref="AT45" si="34">B45</f>
        <v>輪島</v>
      </c>
      <c r="AU45" s="58">
        <f>IF(AL45=$AL33,IF(F45="○",3,IF(F45="△",1,0)),0)</f>
        <v>0</v>
      </c>
      <c r="AV45" s="58">
        <f>IF(AL45=$AL37,IF(M45="○",3,IF(M45="△",1,0)),0)</f>
        <v>0</v>
      </c>
      <c r="AW45" s="58">
        <f>IF(AL45=$AL41,IF(T45="○",3,IF(T45="△",1,0)),0)</f>
        <v>0</v>
      </c>
      <c r="AY45" s="58">
        <f>IF(AL45=$AL49,IF(AH45="○",3,IF(AH45="△",1,0)),0)</f>
        <v>0</v>
      </c>
    </row>
    <row r="46" spans="1:61" ht="19.5" customHeight="1" x14ac:dyDescent="0.15">
      <c r="B46" s="471"/>
      <c r="C46" s="95"/>
      <c r="E46" s="75" t="str">
        <f>IF(AB34="","",AB34)</f>
        <v/>
      </c>
      <c r="F46" s="76" t="s">
        <v>72</v>
      </c>
      <c r="G46" s="77" t="str">
        <f>IF(Z34="","",Z34)</f>
        <v/>
      </c>
      <c r="I46" s="98"/>
      <c r="J46" s="95"/>
      <c r="L46" s="75" t="str">
        <f>IF(AB38="","",AB38)</f>
        <v/>
      </c>
      <c r="M46" s="76" t="s">
        <v>72</v>
      </c>
      <c r="N46" s="77" t="str">
        <f>IF(Z38="","",Z38)</f>
        <v/>
      </c>
      <c r="P46" s="98"/>
      <c r="Q46" s="95"/>
      <c r="S46" s="75" t="str">
        <f>IF(AB42="","",AB42)</f>
        <v/>
      </c>
      <c r="T46" s="76" t="s">
        <v>72</v>
      </c>
      <c r="U46" s="77" t="str">
        <f>IF(Z42="","",Z42)</f>
        <v/>
      </c>
      <c r="W46" s="98"/>
      <c r="X46" s="456"/>
      <c r="Y46" s="457"/>
      <c r="Z46" s="457"/>
      <c r="AA46" s="457"/>
      <c r="AB46" s="457"/>
      <c r="AC46" s="457"/>
      <c r="AD46" s="458"/>
      <c r="AE46" s="95"/>
      <c r="AF46" s="72"/>
      <c r="AG46" s="96"/>
      <c r="AH46" s="76" t="s">
        <v>72</v>
      </c>
      <c r="AI46" s="97"/>
      <c r="AJ46" s="72"/>
      <c r="AK46" s="98"/>
      <c r="AL46" s="451"/>
      <c r="AM46" s="451"/>
      <c r="AN46" s="451"/>
      <c r="AO46" s="451"/>
      <c r="AT46" s="72"/>
    </row>
    <row r="47" spans="1:61" ht="19.5" customHeight="1" x14ac:dyDescent="0.15">
      <c r="B47" s="471"/>
      <c r="C47" s="95"/>
      <c r="E47" s="75" t="str">
        <f>IF(AB35="","",AB35)</f>
        <v/>
      </c>
      <c r="F47" s="76" t="s">
        <v>72</v>
      </c>
      <c r="G47" s="77" t="str">
        <f>IF(Z35="","",Z35)</f>
        <v/>
      </c>
      <c r="I47" s="98"/>
      <c r="J47" s="95"/>
      <c r="L47" s="75" t="str">
        <f>IF(AB39="","",AB39)</f>
        <v/>
      </c>
      <c r="M47" s="76" t="s">
        <v>72</v>
      </c>
      <c r="N47" s="77" t="str">
        <f>IF(Z39="","",Z39)</f>
        <v/>
      </c>
      <c r="P47" s="98"/>
      <c r="Q47" s="95"/>
      <c r="S47" s="75" t="str">
        <f>IF(AB43="","",AB43)</f>
        <v/>
      </c>
      <c r="T47" s="76" t="s">
        <v>72</v>
      </c>
      <c r="U47" s="77" t="str">
        <f>IF(Z43="","",Z43)</f>
        <v/>
      </c>
      <c r="W47" s="98"/>
      <c r="X47" s="456"/>
      <c r="Y47" s="457"/>
      <c r="Z47" s="457"/>
      <c r="AA47" s="457"/>
      <c r="AB47" s="457"/>
      <c r="AC47" s="457"/>
      <c r="AD47" s="458"/>
      <c r="AE47" s="95"/>
      <c r="AF47" s="72"/>
      <c r="AG47" s="96"/>
      <c r="AH47" s="76" t="s">
        <v>72</v>
      </c>
      <c r="AI47" s="97"/>
      <c r="AJ47" s="72"/>
      <c r="AK47" s="98"/>
      <c r="AL47" s="451"/>
      <c r="AM47" s="451"/>
      <c r="AN47" s="451"/>
      <c r="AO47" s="451"/>
      <c r="AT47" s="72"/>
    </row>
    <row r="48" spans="1:61" ht="3.75" customHeight="1" x14ac:dyDescent="0.15">
      <c r="B48" s="471"/>
      <c r="C48" s="99"/>
      <c r="D48" s="100"/>
      <c r="E48" s="101"/>
      <c r="F48" s="102"/>
      <c r="G48" s="103"/>
      <c r="H48" s="100"/>
      <c r="I48" s="104"/>
      <c r="J48" s="99"/>
      <c r="K48" s="100"/>
      <c r="L48" s="101"/>
      <c r="M48" s="102"/>
      <c r="N48" s="103"/>
      <c r="O48" s="100"/>
      <c r="P48" s="104"/>
      <c r="Q48" s="99"/>
      <c r="R48" s="100"/>
      <c r="S48" s="101"/>
      <c r="T48" s="102"/>
      <c r="U48" s="103"/>
      <c r="V48" s="100"/>
      <c r="W48" s="104"/>
      <c r="X48" s="459"/>
      <c r="Y48" s="460"/>
      <c r="Z48" s="460"/>
      <c r="AA48" s="460"/>
      <c r="AB48" s="460"/>
      <c r="AC48" s="460"/>
      <c r="AD48" s="461"/>
      <c r="AE48" s="99"/>
      <c r="AF48" s="100"/>
      <c r="AG48" s="101"/>
      <c r="AH48" s="102"/>
      <c r="AI48" s="103"/>
      <c r="AJ48" s="100"/>
      <c r="AK48" s="104"/>
      <c r="AL48" s="451"/>
      <c r="AM48" s="451"/>
      <c r="AN48" s="451"/>
      <c r="AO48" s="451"/>
      <c r="AQ48" s="58" t="str">
        <f t="shared" ref="AQ48" si="35">IF(OR(AL48="",MOD(COUNT(C48:AK48),2)=1),"",AL48*10000+AM48*100+AN48)</f>
        <v/>
      </c>
      <c r="AT48" s="72"/>
    </row>
    <row r="49" spans="1:50" ht="19.5" customHeight="1" x14ac:dyDescent="0.15">
      <c r="A49" s="58">
        <f t="shared" ref="A49" si="36">A45+1</f>
        <v>5</v>
      </c>
      <c r="B49" s="471" t="str">
        <f>IF(ISERROR(MATCH(A49,予選学校名!$H$22:$H$32,0)),"",INDEX(予選学校名!$H$22:$K$32,MATCH(A49,予選学校名!$H$22:$H$32,0),2))</f>
        <v>七尾東部</v>
      </c>
      <c r="C49" s="483" t="str">
        <f>IF(E50="","",SUM(E50,E51))</f>
        <v/>
      </c>
      <c r="D49" s="481"/>
      <c r="E49" s="481"/>
      <c r="F49" s="94" t="str">
        <f>IF(C49="","",IF(C49&gt;G49,"○",IF(C49&lt;G49,"●","△")))</f>
        <v/>
      </c>
      <c r="G49" s="481" t="str">
        <f>IF(G50="","",SUM(G50,G51))</f>
        <v/>
      </c>
      <c r="H49" s="481"/>
      <c r="I49" s="482"/>
      <c r="J49" s="483" t="str">
        <f>IF(L50="","",SUM(L50,L51))</f>
        <v/>
      </c>
      <c r="K49" s="481"/>
      <c r="L49" s="481"/>
      <c r="M49" s="94" t="str">
        <f>IF(J49="","",IF(J49&gt;N49,"○",IF(J49&lt;N49,"●","△")))</f>
        <v/>
      </c>
      <c r="N49" s="481" t="str">
        <f>IF(N50="","",SUM(N50,N51))</f>
        <v/>
      </c>
      <c r="O49" s="481"/>
      <c r="P49" s="482"/>
      <c r="Q49" s="483" t="str">
        <f>IF(S50="","",SUM(S50,S51))</f>
        <v/>
      </c>
      <c r="R49" s="481"/>
      <c r="S49" s="481"/>
      <c r="T49" s="94" t="str">
        <f>IF(Q49="","",IF(Q49&gt;U49,"○",IF(Q49&lt;U49,"●","△")))</f>
        <v/>
      </c>
      <c r="U49" s="481" t="str">
        <f>IF(U50="","",SUM(U50,U51))</f>
        <v/>
      </c>
      <c r="V49" s="481"/>
      <c r="W49" s="482"/>
      <c r="X49" s="483" t="str">
        <f>IF(Z50="","",SUM(Z50,Z51))</f>
        <v/>
      </c>
      <c r="Y49" s="481"/>
      <c r="Z49" s="481"/>
      <c r="AA49" s="94" t="str">
        <f>IF(X49="","",IF(X49&gt;AB49,"○",IF(X49&lt;AB49,"●","△")))</f>
        <v/>
      </c>
      <c r="AB49" s="481" t="str">
        <f>IF(AB50="","",SUM(AB50,AB51))</f>
        <v/>
      </c>
      <c r="AC49" s="481"/>
      <c r="AD49" s="482"/>
      <c r="AE49" s="453"/>
      <c r="AF49" s="454"/>
      <c r="AG49" s="454"/>
      <c r="AH49" s="454"/>
      <c r="AI49" s="454"/>
      <c r="AJ49" s="454"/>
      <c r="AK49" s="455"/>
      <c r="AL49" s="451" t="str">
        <f t="shared" ref="AL49" si="37">IF(COUNT(C50:AK50)=0,"",COUNTIF(C49:AK49,"○")*3+COUNTIF(C49:AK49,"△"))</f>
        <v/>
      </c>
      <c r="AM49" s="451" t="str">
        <f>IF(AL49="","",SUM(AI33:AI52)/2-SUM(AG33:AG52))</f>
        <v/>
      </c>
      <c r="AN49" s="451" t="str">
        <f>IF(AL49="","",SUM(AI33:AI52)/2)</f>
        <v/>
      </c>
      <c r="AO49" s="451" t="str">
        <f t="shared" ref="AO49" si="38">IF(OR(AL49="",MOD(COUNT(C49:AK49),2)=1),"",RANK(AQ49,$AQ$33:$AQ$52))</f>
        <v/>
      </c>
      <c r="AQ49" s="58" t="str">
        <f t="shared" ref="AQ49" si="39">IF(OR(AL49="",MOD(COUNT(C49:AK49),2)=1),"",AL49*1000000+SUM(AU49:AY49)*10000+AM49*100+AN49)</f>
        <v/>
      </c>
      <c r="AT49" s="72" t="str">
        <f t="shared" ref="AT49" si="40">B49</f>
        <v>七尾東部</v>
      </c>
      <c r="AU49" s="58">
        <f>IF(AL49=$AL33,IF(F49="○",3,IF(F49="△",1,0)),0)</f>
        <v>0</v>
      </c>
      <c r="AV49" s="58">
        <f>IF(AL49=$AL37,IF(M49="○",3,IF(M49="△",1,0)),0)</f>
        <v>0</v>
      </c>
      <c r="AW49" s="58">
        <f>IF(AL49=$AL41,IF(T49="○",3,IF(T49="△",1,0)),0)</f>
        <v>0</v>
      </c>
      <c r="AX49" s="58">
        <f>IF(AL49=$AL45,IF(AA49="○",3,IF(AA49="△",1,0)),0)</f>
        <v>0</v>
      </c>
    </row>
    <row r="50" spans="1:50" ht="19.5" customHeight="1" x14ac:dyDescent="0.15">
      <c r="B50" s="471"/>
      <c r="C50" s="95"/>
      <c r="E50" s="75" t="str">
        <f>IF(AI34="","",AI34)</f>
        <v/>
      </c>
      <c r="F50" s="76" t="s">
        <v>72</v>
      </c>
      <c r="G50" s="77" t="str">
        <f>IF(AG34="","",AG34)</f>
        <v/>
      </c>
      <c r="I50" s="98"/>
      <c r="J50" s="95"/>
      <c r="L50" s="75" t="str">
        <f>IF(AI38="","",AI38)</f>
        <v/>
      </c>
      <c r="M50" s="76" t="s">
        <v>72</v>
      </c>
      <c r="N50" s="77" t="str">
        <f>IF(AG38="","",AG38)</f>
        <v/>
      </c>
      <c r="P50" s="98"/>
      <c r="Q50" s="95"/>
      <c r="S50" s="75" t="str">
        <f>IF(AI42="","",AI42)</f>
        <v/>
      </c>
      <c r="T50" s="76" t="s">
        <v>72</v>
      </c>
      <c r="U50" s="77" t="str">
        <f>IF(AG42="","",AG42)</f>
        <v/>
      </c>
      <c r="W50" s="98"/>
      <c r="X50" s="95"/>
      <c r="Y50" s="72"/>
      <c r="Z50" s="75" t="str">
        <f>IF(AI46="","",AI46)</f>
        <v/>
      </c>
      <c r="AA50" s="76" t="s">
        <v>72</v>
      </c>
      <c r="AB50" s="77" t="str">
        <f>IF(AG46="","",AG46)</f>
        <v/>
      </c>
      <c r="AC50" s="72"/>
      <c r="AD50" s="98"/>
      <c r="AE50" s="456"/>
      <c r="AF50" s="457"/>
      <c r="AG50" s="457"/>
      <c r="AH50" s="457"/>
      <c r="AI50" s="457"/>
      <c r="AJ50" s="457"/>
      <c r="AK50" s="458"/>
      <c r="AL50" s="451"/>
      <c r="AM50" s="451"/>
      <c r="AN50" s="451"/>
      <c r="AO50" s="451"/>
    </row>
    <row r="51" spans="1:50" ht="19.5" customHeight="1" x14ac:dyDescent="0.15">
      <c r="B51" s="471"/>
      <c r="C51" s="95"/>
      <c r="E51" s="75" t="str">
        <f>IF(AI35="","",AI35)</f>
        <v/>
      </c>
      <c r="F51" s="76" t="s">
        <v>72</v>
      </c>
      <c r="G51" s="77" t="str">
        <f>IF(AG35="","",AG35)</f>
        <v/>
      </c>
      <c r="I51" s="98"/>
      <c r="J51" s="95"/>
      <c r="L51" s="75" t="str">
        <f>IF(AI39="","",AI39)</f>
        <v/>
      </c>
      <c r="M51" s="76" t="s">
        <v>72</v>
      </c>
      <c r="N51" s="77" t="str">
        <f>IF(AG39="","",AG39)</f>
        <v/>
      </c>
      <c r="P51" s="98"/>
      <c r="Q51" s="95"/>
      <c r="S51" s="75" t="str">
        <f>IF(AI43="","",AI43)</f>
        <v/>
      </c>
      <c r="T51" s="76" t="s">
        <v>72</v>
      </c>
      <c r="U51" s="77" t="str">
        <f>IF(AG43="","",AG43)</f>
        <v/>
      </c>
      <c r="W51" s="98"/>
      <c r="X51" s="95"/>
      <c r="Y51" s="72"/>
      <c r="Z51" s="75" t="str">
        <f>IF(AI47="","",AI47)</f>
        <v/>
      </c>
      <c r="AA51" s="76" t="s">
        <v>72</v>
      </c>
      <c r="AB51" s="77" t="str">
        <f>IF(AG47="","",AG47)</f>
        <v/>
      </c>
      <c r="AC51" s="72"/>
      <c r="AD51" s="98"/>
      <c r="AE51" s="456"/>
      <c r="AF51" s="457"/>
      <c r="AG51" s="457"/>
      <c r="AH51" s="457"/>
      <c r="AI51" s="457"/>
      <c r="AJ51" s="457"/>
      <c r="AK51" s="458"/>
      <c r="AL51" s="451"/>
      <c r="AM51" s="451"/>
      <c r="AN51" s="451"/>
      <c r="AO51" s="451"/>
    </row>
    <row r="52" spans="1:50" ht="3.75" customHeight="1" x14ac:dyDescent="0.15">
      <c r="B52" s="471"/>
      <c r="C52" s="99"/>
      <c r="D52" s="100"/>
      <c r="E52" s="101"/>
      <c r="F52" s="102"/>
      <c r="G52" s="103"/>
      <c r="H52" s="100"/>
      <c r="I52" s="104"/>
      <c r="J52" s="99"/>
      <c r="K52" s="100"/>
      <c r="L52" s="101"/>
      <c r="M52" s="102"/>
      <c r="N52" s="103"/>
      <c r="O52" s="100"/>
      <c r="P52" s="104"/>
      <c r="Q52" s="99"/>
      <c r="R52" s="100"/>
      <c r="S52" s="101"/>
      <c r="T52" s="102"/>
      <c r="U52" s="103"/>
      <c r="V52" s="100"/>
      <c r="W52" s="104"/>
      <c r="X52" s="99"/>
      <c r="Y52" s="100"/>
      <c r="Z52" s="101"/>
      <c r="AA52" s="102"/>
      <c r="AB52" s="103"/>
      <c r="AC52" s="100"/>
      <c r="AD52" s="104"/>
      <c r="AE52" s="459"/>
      <c r="AF52" s="460"/>
      <c r="AG52" s="460"/>
      <c r="AH52" s="460"/>
      <c r="AI52" s="460"/>
      <c r="AJ52" s="460"/>
      <c r="AK52" s="461"/>
      <c r="AL52" s="451"/>
      <c r="AM52" s="451"/>
      <c r="AN52" s="451"/>
      <c r="AO52" s="451"/>
      <c r="AQ52" s="58" t="str">
        <f t="shared" ref="AQ52" si="41">IF(OR(AL52="",MOD(COUNT(C52:AK52),2)=1),"",AL52*10000+AM52*100+AN52)</f>
        <v/>
      </c>
    </row>
  </sheetData>
  <mergeCells count="140">
    <mergeCell ref="AN49:AN52"/>
    <mergeCell ref="AO49:AO52"/>
    <mergeCell ref="AL45:AL48"/>
    <mergeCell ref="AM45:AM48"/>
    <mergeCell ref="AN45:AN48"/>
    <mergeCell ref="AO45:AO48"/>
    <mergeCell ref="B49:B52"/>
    <mergeCell ref="C49:E49"/>
    <mergeCell ref="G49:I49"/>
    <mergeCell ref="J49:L49"/>
    <mergeCell ref="N49:P49"/>
    <mergeCell ref="Q49:S49"/>
    <mergeCell ref="U49:W49"/>
    <mergeCell ref="X49:Z49"/>
    <mergeCell ref="AB49:AD49"/>
    <mergeCell ref="AE49:AK52"/>
    <mergeCell ref="AL49:AL52"/>
    <mergeCell ref="AM49:AM52"/>
    <mergeCell ref="Q45:S45"/>
    <mergeCell ref="U45:W45"/>
    <mergeCell ref="X45:AD48"/>
    <mergeCell ref="AE45:AG45"/>
    <mergeCell ref="AI45:AK45"/>
    <mergeCell ref="B45:B48"/>
    <mergeCell ref="C45:E45"/>
    <mergeCell ref="G45:I45"/>
    <mergeCell ref="J45:L45"/>
    <mergeCell ref="N45:P45"/>
    <mergeCell ref="AN37:AN40"/>
    <mergeCell ref="AO37:AO40"/>
    <mergeCell ref="B41:B44"/>
    <mergeCell ref="C41:E41"/>
    <mergeCell ref="G41:I41"/>
    <mergeCell ref="J41:L41"/>
    <mergeCell ref="N41:P41"/>
    <mergeCell ref="Q41:W44"/>
    <mergeCell ref="X41:Z41"/>
    <mergeCell ref="AB41:AD41"/>
    <mergeCell ref="AE41:AG41"/>
    <mergeCell ref="AI41:AK41"/>
    <mergeCell ref="AL41:AL44"/>
    <mergeCell ref="AM41:AM44"/>
    <mergeCell ref="AN41:AN44"/>
    <mergeCell ref="AO41:AO44"/>
    <mergeCell ref="AE10:AK13"/>
    <mergeCell ref="AL33:AL36"/>
    <mergeCell ref="AM33:AM36"/>
    <mergeCell ref="AN33:AN36"/>
    <mergeCell ref="AO33:AO36"/>
    <mergeCell ref="B37:B40"/>
    <mergeCell ref="C37:E37"/>
    <mergeCell ref="G37:I37"/>
    <mergeCell ref="J37:P40"/>
    <mergeCell ref="Q37:S37"/>
    <mergeCell ref="U37:W37"/>
    <mergeCell ref="X37:Z37"/>
    <mergeCell ref="AB37:AD37"/>
    <mergeCell ref="AE37:AG37"/>
    <mergeCell ref="AI37:AK37"/>
    <mergeCell ref="AL37:AL40"/>
    <mergeCell ref="AM37:AM40"/>
    <mergeCell ref="U33:W33"/>
    <mergeCell ref="X33:Z33"/>
    <mergeCell ref="AB33:AD33"/>
    <mergeCell ref="AE33:AG33"/>
    <mergeCell ref="AI33:AK33"/>
    <mergeCell ref="B33:B36"/>
    <mergeCell ref="C33:I36"/>
    <mergeCell ref="AE9:AK9"/>
    <mergeCell ref="E3:G3"/>
    <mergeCell ref="E4:G4"/>
    <mergeCell ref="E5:G5"/>
    <mergeCell ref="H3:AE3"/>
    <mergeCell ref="H4:AE4"/>
    <mergeCell ref="H5:AE5"/>
    <mergeCell ref="AG4:AJ4"/>
    <mergeCell ref="AG5:AJ5"/>
    <mergeCell ref="H6:W6"/>
    <mergeCell ref="C9:I9"/>
    <mergeCell ref="J9:P9"/>
    <mergeCell ref="Q9:W9"/>
    <mergeCell ref="X9:AD9"/>
    <mergeCell ref="AM18:AM21"/>
    <mergeCell ref="B14:B17"/>
    <mergeCell ref="C14:I17"/>
    <mergeCell ref="J14:P17"/>
    <mergeCell ref="Q14:W17"/>
    <mergeCell ref="N33:P33"/>
    <mergeCell ref="Q33:S33"/>
    <mergeCell ref="C32:I32"/>
    <mergeCell ref="J32:P32"/>
    <mergeCell ref="Q32:W32"/>
    <mergeCell ref="X32:AD32"/>
    <mergeCell ref="AE32:AK32"/>
    <mergeCell ref="J33:L33"/>
    <mergeCell ref="B22:B25"/>
    <mergeCell ref="C22:I25"/>
    <mergeCell ref="J22:P25"/>
    <mergeCell ref="Q22:W25"/>
    <mergeCell ref="X22:AD25"/>
    <mergeCell ref="B26:B29"/>
    <mergeCell ref="C26:I29"/>
    <mergeCell ref="J26:P29"/>
    <mergeCell ref="Q26:W29"/>
    <mergeCell ref="X26:AD29"/>
    <mergeCell ref="B10:B13"/>
    <mergeCell ref="C10:I13"/>
    <mergeCell ref="J10:P13"/>
    <mergeCell ref="Q10:W13"/>
    <mergeCell ref="B18:B21"/>
    <mergeCell ref="C18:I21"/>
    <mergeCell ref="J18:P21"/>
    <mergeCell ref="Q18:W21"/>
    <mergeCell ref="X14:AD17"/>
    <mergeCell ref="X18:AD21"/>
    <mergeCell ref="X10:AD13"/>
    <mergeCell ref="AO26:AO29"/>
    <mergeCell ref="AG3:AJ3"/>
    <mergeCell ref="AM22:AM25"/>
    <mergeCell ref="AN22:AN25"/>
    <mergeCell ref="AO22:AO25"/>
    <mergeCell ref="AE26:AK29"/>
    <mergeCell ref="AE22:AK25"/>
    <mergeCell ref="AL22:AL25"/>
    <mergeCell ref="AO18:AO21"/>
    <mergeCell ref="AO14:AO17"/>
    <mergeCell ref="AE14:AK17"/>
    <mergeCell ref="AL14:AL17"/>
    <mergeCell ref="AM14:AM17"/>
    <mergeCell ref="AN18:AN21"/>
    <mergeCell ref="AL26:AL29"/>
    <mergeCell ref="AM26:AM29"/>
    <mergeCell ref="AN26:AN29"/>
    <mergeCell ref="AN14:AN17"/>
    <mergeCell ref="AO10:AO13"/>
    <mergeCell ref="AL10:AL13"/>
    <mergeCell ref="AM10:AM13"/>
    <mergeCell ref="AN10:AN13"/>
    <mergeCell ref="AE18:AK21"/>
    <mergeCell ref="AL18:AL21"/>
  </mergeCells>
  <phoneticPr fontId="2"/>
  <printOptions horizontalCentered="1"/>
  <pageMargins left="0.39370078740157483" right="0.39370078740157483" top="0.39370078740157483" bottom="0.74803149606299213" header="0.31496062992125984" footer="0.31496062992125984"/>
  <pageSetup paperSize="9" scale="88"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E5378-9AB5-454D-AF47-BFDEF716CE80}">
  <sheetPr>
    <tabColor rgb="FFC00000"/>
    <pageSetUpPr fitToPage="1"/>
  </sheetPr>
  <dimension ref="A1:ER81"/>
  <sheetViews>
    <sheetView showGridLines="0" view="pageBreakPreview" topLeftCell="A3" zoomScale="98" zoomScaleNormal="92" zoomScaleSheetLayoutView="98" workbookViewId="0">
      <selection activeCell="L3" sqref="L3:AU3"/>
    </sheetView>
  </sheetViews>
  <sheetFormatPr defaultColWidth="9" defaultRowHeight="14.25" x14ac:dyDescent="0.15"/>
  <cols>
    <col min="1" max="1" width="7.875" style="105" customWidth="1"/>
    <col min="2" max="137" width="1" style="105" customWidth="1"/>
    <col min="138" max="138" width="3.375" style="62" bestFit="1" customWidth="1"/>
    <col min="139" max="142" width="9" style="105"/>
    <col min="143" max="266" width="1" style="105" customWidth="1"/>
    <col min="267" max="16384" width="9" style="105"/>
  </cols>
  <sheetData>
    <row r="1" spans="1:140" ht="24.75" x14ac:dyDescent="0.15">
      <c r="B1" s="106" t="str">
        <f ca="1">"令和"&amp;IF(YEAR(NOW())=2019,"元",YEAR(NOW())-2018)&amp;"年度 第"&amp;YEAR(NOW())-1999&amp;"回 加賀地区中学校サッカー大会 《 北加賀ブロック 》"</f>
        <v>令和7年度 第26回 加賀地区中学校サッカー大会 《 北加賀ブロック 》</v>
      </c>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106"/>
      <c r="AZ1" s="106"/>
      <c r="BA1" s="106"/>
      <c r="BB1" s="106"/>
      <c r="BC1" s="106"/>
      <c r="BD1" s="106"/>
      <c r="BE1" s="106"/>
      <c r="BF1" s="106"/>
      <c r="BG1" s="106"/>
      <c r="BH1" s="106"/>
      <c r="BI1" s="106"/>
      <c r="BJ1" s="106"/>
      <c r="BK1" s="106"/>
      <c r="BL1" s="106"/>
      <c r="BM1" s="106"/>
      <c r="BN1" s="106"/>
      <c r="BO1" s="106"/>
      <c r="BP1" s="106"/>
      <c r="BQ1" s="106"/>
      <c r="BR1" s="106"/>
      <c r="BS1" s="106"/>
      <c r="BT1" s="106"/>
      <c r="BU1" s="106"/>
      <c r="BV1" s="106"/>
      <c r="BW1" s="106"/>
      <c r="BX1" s="106"/>
      <c r="BY1" s="106"/>
      <c r="BZ1" s="106"/>
      <c r="CA1" s="106"/>
      <c r="CB1" s="106"/>
      <c r="CC1" s="106"/>
      <c r="CD1" s="106"/>
      <c r="CE1" s="106"/>
      <c r="CF1" s="106"/>
      <c r="CG1" s="106"/>
      <c r="CH1" s="106"/>
      <c r="CI1" s="106"/>
      <c r="CJ1" s="106"/>
      <c r="CK1" s="106"/>
      <c r="CL1" s="106"/>
      <c r="CM1" s="106"/>
      <c r="CN1" s="106"/>
      <c r="CO1" s="106"/>
      <c r="CP1" s="106"/>
      <c r="CQ1" s="106"/>
      <c r="CR1" s="106"/>
      <c r="CS1" s="106"/>
      <c r="CT1" s="106"/>
      <c r="CU1" s="106"/>
      <c r="CV1" s="106"/>
      <c r="CW1" s="106"/>
      <c r="CX1" s="106"/>
      <c r="CY1" s="106"/>
      <c r="CZ1" s="106"/>
      <c r="DA1" s="106"/>
      <c r="DB1" s="106"/>
      <c r="DC1" s="106"/>
      <c r="DD1" s="106"/>
      <c r="DE1" s="106"/>
      <c r="DF1" s="106"/>
      <c r="DG1" s="106"/>
      <c r="DH1" s="106"/>
      <c r="DI1" s="106"/>
      <c r="DJ1" s="106"/>
      <c r="DK1" s="106"/>
      <c r="DL1" s="106"/>
      <c r="DM1" s="106"/>
      <c r="DN1" s="106"/>
      <c r="DO1" s="106"/>
      <c r="DP1" s="106"/>
      <c r="DQ1" s="106"/>
      <c r="DR1" s="106"/>
      <c r="DS1" s="106"/>
      <c r="DT1" s="106"/>
      <c r="DU1" s="106"/>
      <c r="DV1" s="106"/>
      <c r="DW1" s="106"/>
      <c r="DX1" s="106"/>
      <c r="DY1" s="106"/>
      <c r="DZ1" s="106"/>
      <c r="EA1" s="106"/>
      <c r="EB1" s="106"/>
      <c r="EC1" s="106"/>
      <c r="ED1" s="106"/>
      <c r="EE1" s="106"/>
      <c r="EF1" s="106"/>
      <c r="EG1" s="106"/>
      <c r="EI1" s="440" t="b">
        <v>0</v>
      </c>
    </row>
    <row r="2" spans="1:140" x14ac:dyDescent="0.15">
      <c r="AW2" s="107"/>
      <c r="BD2" s="108"/>
      <c r="BE2" s="108"/>
      <c r="BF2" s="108"/>
      <c r="BY2" s="109"/>
      <c r="CE2" s="109"/>
      <c r="CF2" s="109"/>
      <c r="CG2" s="109"/>
      <c r="CH2" s="109"/>
      <c r="EI2" s="58" t="s">
        <v>666</v>
      </c>
      <c r="EJ2" s="72"/>
    </row>
    <row r="3" spans="1:140" ht="18.75" customHeight="1" x14ac:dyDescent="0.15">
      <c r="A3" s="110" t="str">
        <f>IF(BP14=BV14,"",IF(BP14&gt;BV14,AF16,DC16))</f>
        <v/>
      </c>
      <c r="D3" s="573" t="s">
        <v>74</v>
      </c>
      <c r="E3" s="574"/>
      <c r="F3" s="574"/>
      <c r="G3" s="574"/>
      <c r="H3" s="574"/>
      <c r="I3" s="574"/>
      <c r="J3" s="574"/>
      <c r="K3" s="111"/>
      <c r="L3" s="577" t="str">
        <f>IF(A3="","",IF(VLOOKUP(A3,予選学校名!$C$3:$F$32,3,FALSE)="",VLOOKUP(A3,予選学校名!$C$3:$F$32,4,FALSE),VLOOKUP(A3,予選学校名!$C$3:$F$32,3,FALSE)&amp;"立"&amp;'北(⑦23)'!A3&amp;"中学校"))</f>
        <v/>
      </c>
      <c r="M3" s="577"/>
      <c r="N3" s="577"/>
      <c r="O3" s="577"/>
      <c r="P3" s="577"/>
      <c r="Q3" s="577"/>
      <c r="R3" s="577"/>
      <c r="S3" s="577"/>
      <c r="T3" s="577"/>
      <c r="U3" s="577"/>
      <c r="V3" s="577"/>
      <c r="W3" s="577"/>
      <c r="X3" s="577"/>
      <c r="Y3" s="577"/>
      <c r="Z3" s="577"/>
      <c r="AA3" s="577"/>
      <c r="AB3" s="577"/>
      <c r="AC3" s="577"/>
      <c r="AD3" s="577"/>
      <c r="AE3" s="577"/>
      <c r="AF3" s="577"/>
      <c r="AG3" s="577"/>
      <c r="AH3" s="577"/>
      <c r="AI3" s="577"/>
      <c r="AJ3" s="577"/>
      <c r="AK3" s="577"/>
      <c r="AL3" s="577"/>
      <c r="AM3" s="577"/>
      <c r="AN3" s="577"/>
      <c r="AO3" s="577"/>
      <c r="AP3" s="577"/>
      <c r="AQ3" s="577"/>
      <c r="AR3" s="577"/>
      <c r="AS3" s="577"/>
      <c r="AT3" s="577"/>
      <c r="AU3" s="577"/>
      <c r="AV3" s="580" t="str">
        <f>IF(A3="","","("&amp;VLOOKUP(A3,予選学校名!$C$3:$F$32,2,FALSE)&amp;")")</f>
        <v/>
      </c>
      <c r="AW3" s="580"/>
      <c r="AX3" s="580"/>
      <c r="AY3" s="580"/>
      <c r="AZ3" s="580"/>
      <c r="BA3" s="580"/>
      <c r="BB3" s="580"/>
      <c r="BC3" s="580"/>
      <c r="BD3" s="580"/>
      <c r="BE3" s="580"/>
      <c r="BF3" s="580"/>
      <c r="BG3" s="580"/>
      <c r="BH3" s="580"/>
      <c r="BI3" s="90"/>
      <c r="BJ3" s="90"/>
      <c r="BK3" s="573" t="s">
        <v>75</v>
      </c>
      <c r="BL3" s="573"/>
      <c r="BM3" s="573"/>
      <c r="BN3" s="573"/>
      <c r="BO3" s="573"/>
      <c r="BP3" s="573"/>
      <c r="BQ3" s="573"/>
      <c r="BR3" s="573"/>
      <c r="BS3" s="573"/>
      <c r="BT3" s="111"/>
      <c r="BU3" s="577" t="str">
        <f>IF(A7="","",IF(VLOOKUP(A7,予選学校名!$C$3:$F$32,3,FALSE)="",VLOOKUP(A7,予選学校名!$C$3:$F$32,4,FALSE),VLOOKUP(A7,予選学校名!$C$3:$F$32,3,FALSE)&amp;"立"&amp;'北(⑦23)'!A7&amp;"中学校"))</f>
        <v/>
      </c>
      <c r="BV3" s="577"/>
      <c r="BW3" s="577"/>
      <c r="BX3" s="577"/>
      <c r="BY3" s="577"/>
      <c r="BZ3" s="577"/>
      <c r="CA3" s="577"/>
      <c r="CB3" s="577"/>
      <c r="CC3" s="577"/>
      <c r="CD3" s="577"/>
      <c r="CE3" s="577"/>
      <c r="CF3" s="577"/>
      <c r="CG3" s="577"/>
      <c r="CH3" s="577"/>
      <c r="CI3" s="577"/>
      <c r="CJ3" s="577"/>
      <c r="CK3" s="577"/>
      <c r="CL3" s="577"/>
      <c r="CM3" s="577"/>
      <c r="CN3" s="577"/>
      <c r="CO3" s="577"/>
      <c r="CP3" s="577"/>
      <c r="CQ3" s="577"/>
      <c r="CR3" s="577"/>
      <c r="CS3" s="577"/>
      <c r="CT3" s="577"/>
      <c r="CU3" s="577"/>
      <c r="CV3" s="577"/>
      <c r="CW3" s="577"/>
      <c r="CX3" s="577"/>
      <c r="CY3" s="580" t="str">
        <f>IF(A7="","","("&amp;VLOOKUP(A7,予選学校名!$C$3:$F$32,2,FALSE)&amp;")")</f>
        <v/>
      </c>
      <c r="CZ3" s="580"/>
      <c r="DA3" s="580"/>
      <c r="DB3" s="580"/>
      <c r="DC3" s="580"/>
      <c r="DD3" s="580"/>
      <c r="DE3" s="580"/>
      <c r="DF3" s="580"/>
      <c r="DG3" s="580"/>
      <c r="DH3" s="580"/>
      <c r="DI3" s="580"/>
      <c r="DJ3" s="580"/>
      <c r="DK3" s="580"/>
      <c r="EC3" s="62"/>
      <c r="EH3" s="105"/>
    </row>
    <row r="4" spans="1:140" ht="18.75" customHeight="1" x14ac:dyDescent="0.15">
      <c r="A4" s="110" t="str">
        <f>IF(A3="","",IF(BP14=BV14,"",IF(BP14&lt;BV14,AF16,DC16)))</f>
        <v/>
      </c>
      <c r="D4" s="573" t="s">
        <v>76</v>
      </c>
      <c r="E4" s="574"/>
      <c r="F4" s="574"/>
      <c r="G4" s="574"/>
      <c r="H4" s="574"/>
      <c r="I4" s="574"/>
      <c r="J4" s="574"/>
      <c r="K4" s="111"/>
      <c r="L4" s="575" t="str">
        <f>IF(A4="","",IF(VLOOKUP(A4,予選学校名!$C$3:$F$32,3,FALSE)="",VLOOKUP(A4,予選学校名!$C$3:$F$32,4,FALSE),VLOOKUP(A4,予選学校名!$C$3:$F$32,3,FALSE)&amp;"立"&amp;'北(⑦23)'!A4&amp;"中学校"))</f>
        <v/>
      </c>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5"/>
      <c r="AO4" s="575"/>
      <c r="AP4" s="575"/>
      <c r="AQ4" s="575"/>
      <c r="AR4" s="575"/>
      <c r="AS4" s="575"/>
      <c r="AT4" s="575"/>
      <c r="AU4" s="575"/>
      <c r="AV4" s="576" t="str">
        <f>IF(A4="","","("&amp;VLOOKUP(A4,予選学校名!$C$3:$F$32,2,FALSE)&amp;")")</f>
        <v/>
      </c>
      <c r="AW4" s="576"/>
      <c r="AX4" s="576"/>
      <c r="AY4" s="576"/>
      <c r="AZ4" s="576"/>
      <c r="BA4" s="576"/>
      <c r="BB4" s="576"/>
      <c r="BC4" s="576"/>
      <c r="BD4" s="576"/>
      <c r="BE4" s="576"/>
      <c r="BF4" s="576"/>
      <c r="BG4" s="576"/>
      <c r="BH4" s="576"/>
      <c r="BI4" s="90"/>
      <c r="BJ4" s="90"/>
      <c r="BK4" s="90"/>
      <c r="BL4" s="90"/>
      <c r="BM4" s="90"/>
      <c r="BN4" s="111"/>
      <c r="BO4" s="111"/>
      <c r="BP4" s="111"/>
      <c r="BQ4" s="111"/>
      <c r="BR4" s="111"/>
      <c r="BS4" s="111"/>
      <c r="BT4" s="111"/>
      <c r="BU4" s="577" t="str">
        <f>IF(A8="","",IF(VLOOKUP(A8,予選学校名!$C$3:$F$32,3,FALSE)="",VLOOKUP(A8,予選学校名!$C$3:$F$32,4,FALSE),VLOOKUP(A8,予選学校名!$C$3:$F$32,3,FALSE)&amp;"立"&amp;'北(⑦23)'!A8&amp;"中学校"))</f>
        <v/>
      </c>
      <c r="BV4" s="577"/>
      <c r="BW4" s="577"/>
      <c r="BX4" s="577"/>
      <c r="BY4" s="577"/>
      <c r="BZ4" s="577"/>
      <c r="CA4" s="577"/>
      <c r="CB4" s="577"/>
      <c r="CC4" s="577"/>
      <c r="CD4" s="577"/>
      <c r="CE4" s="577"/>
      <c r="CF4" s="577"/>
      <c r="CG4" s="577"/>
      <c r="CH4" s="577"/>
      <c r="CI4" s="577"/>
      <c r="CJ4" s="577"/>
      <c r="CK4" s="577"/>
      <c r="CL4" s="577"/>
      <c r="CM4" s="577"/>
      <c r="CN4" s="577"/>
      <c r="CO4" s="577"/>
      <c r="CP4" s="577"/>
      <c r="CQ4" s="577"/>
      <c r="CR4" s="577"/>
      <c r="CS4" s="577"/>
      <c r="CT4" s="577"/>
      <c r="CU4" s="577"/>
      <c r="CV4" s="577"/>
      <c r="CW4" s="577"/>
      <c r="CX4" s="577"/>
      <c r="CY4" s="576" t="str">
        <f>IF(A8="","","("&amp;VLOOKUP(A8,予選学校名!$C$3:$F$32,2,FALSE)&amp;")")</f>
        <v/>
      </c>
      <c r="CZ4" s="576"/>
      <c r="DA4" s="576"/>
      <c r="DB4" s="576"/>
      <c r="DC4" s="576"/>
      <c r="DD4" s="576"/>
      <c r="DE4" s="576"/>
      <c r="DF4" s="576"/>
      <c r="DG4" s="576"/>
      <c r="DH4" s="576"/>
      <c r="DI4" s="576"/>
      <c r="DJ4" s="576"/>
      <c r="DK4" s="576"/>
      <c r="EC4" s="62"/>
      <c r="EH4" s="105"/>
    </row>
    <row r="5" spans="1:140" ht="18.75" customHeight="1" x14ac:dyDescent="0.15">
      <c r="A5" s="110" t="str">
        <f>IF(A3="","",IF(DL10&lt;&gt;"",DL10,IF(OR($A$3=N28,$A$3=BD28),$DG$23,$DU$23)))</f>
        <v/>
      </c>
      <c r="D5" s="573" t="s">
        <v>77</v>
      </c>
      <c r="E5" s="574"/>
      <c r="F5" s="574"/>
      <c r="G5" s="574"/>
      <c r="H5" s="574"/>
      <c r="I5" s="574"/>
      <c r="J5" s="574"/>
      <c r="K5" s="111"/>
      <c r="L5" s="578" t="str">
        <f>IF(A5="","",IF(VLOOKUP(A5,予選学校名!$C$3:$F$32,3,FALSE)="",VLOOKUP(A5,予選学校名!$C$3:$F$32,4,FALSE),VLOOKUP(A5,予選学校名!$C$3:$F$32,3,FALSE)&amp;"立"&amp;'北(⑦23)'!A5&amp;"中学校"))</f>
        <v/>
      </c>
      <c r="M5" s="578"/>
      <c r="N5" s="578"/>
      <c r="O5" s="578"/>
      <c r="P5" s="578"/>
      <c r="Q5" s="578"/>
      <c r="R5" s="578"/>
      <c r="S5" s="578"/>
      <c r="T5" s="578"/>
      <c r="U5" s="578"/>
      <c r="V5" s="578"/>
      <c r="W5" s="578"/>
      <c r="X5" s="578"/>
      <c r="Y5" s="578"/>
      <c r="Z5" s="578"/>
      <c r="AA5" s="578"/>
      <c r="AB5" s="578"/>
      <c r="AC5" s="578"/>
      <c r="AD5" s="578"/>
      <c r="AE5" s="578"/>
      <c r="AF5" s="578"/>
      <c r="AG5" s="578"/>
      <c r="AH5" s="578"/>
      <c r="AI5" s="578"/>
      <c r="AJ5" s="578"/>
      <c r="AK5" s="578"/>
      <c r="AL5" s="578"/>
      <c r="AM5" s="578"/>
      <c r="AN5" s="578"/>
      <c r="AO5" s="578"/>
      <c r="AP5" s="578"/>
      <c r="AQ5" s="578"/>
      <c r="AR5" s="578"/>
      <c r="AS5" s="578"/>
      <c r="AT5" s="578"/>
      <c r="AU5" s="578"/>
      <c r="AV5" s="579" t="str">
        <f>IF(A5="","","("&amp;VLOOKUP(A5,予選学校名!$C$3:$F$32,2,FALSE)&amp;")")</f>
        <v/>
      </c>
      <c r="AW5" s="579"/>
      <c r="AX5" s="579"/>
      <c r="AY5" s="579"/>
      <c r="AZ5" s="579"/>
      <c r="BA5" s="579"/>
      <c r="BB5" s="579"/>
      <c r="BC5" s="579"/>
      <c r="BD5" s="579"/>
      <c r="BE5" s="579"/>
      <c r="BF5" s="579"/>
      <c r="BG5" s="579"/>
      <c r="BH5" s="579"/>
      <c r="BI5" s="90"/>
      <c r="BJ5" s="90"/>
      <c r="BK5" s="90"/>
      <c r="BL5" s="90"/>
      <c r="BM5" s="90"/>
      <c r="BN5" s="111"/>
      <c r="BO5" s="111"/>
      <c r="BP5" s="111"/>
      <c r="BQ5" s="111"/>
      <c r="BR5" s="111"/>
      <c r="BS5" s="111"/>
      <c r="BT5" s="111"/>
      <c r="BU5" s="577" t="str">
        <f>IF(A9="","",IF(VLOOKUP(A9,予選学校名!$C$3:$F$32,3,FALSE)="",VLOOKUP(A9,予選学校名!$C$3:$F$32,4,FALSE),VLOOKUP(A9,予選学校名!$C$3:$F$32,3,FALSE)&amp;"立"&amp;'北(⑦23)'!A9&amp;"中学校"))</f>
        <v/>
      </c>
      <c r="BV5" s="577"/>
      <c r="BW5" s="577"/>
      <c r="BX5" s="577"/>
      <c r="BY5" s="577"/>
      <c r="BZ5" s="577"/>
      <c r="CA5" s="577"/>
      <c r="CB5" s="577"/>
      <c r="CC5" s="577"/>
      <c r="CD5" s="577"/>
      <c r="CE5" s="577"/>
      <c r="CF5" s="577"/>
      <c r="CG5" s="577"/>
      <c r="CH5" s="577"/>
      <c r="CI5" s="577"/>
      <c r="CJ5" s="577"/>
      <c r="CK5" s="577"/>
      <c r="CL5" s="577"/>
      <c r="CM5" s="577"/>
      <c r="CN5" s="577"/>
      <c r="CO5" s="577"/>
      <c r="CP5" s="577"/>
      <c r="CQ5" s="577"/>
      <c r="CR5" s="577"/>
      <c r="CS5" s="577"/>
      <c r="CT5" s="577"/>
      <c r="CU5" s="577"/>
      <c r="CV5" s="577"/>
      <c r="CW5" s="577"/>
      <c r="CX5" s="577"/>
      <c r="CY5" s="576" t="str">
        <f>IF(A9="","","("&amp;VLOOKUP(A9,予選学校名!$C$3:$F$32,2,FALSE)&amp;")")</f>
        <v/>
      </c>
      <c r="CZ5" s="576"/>
      <c r="DA5" s="576"/>
      <c r="DB5" s="576"/>
      <c r="DC5" s="576"/>
      <c r="DD5" s="576"/>
      <c r="DE5" s="576"/>
      <c r="DF5" s="576"/>
      <c r="DG5" s="576"/>
      <c r="DH5" s="576"/>
      <c r="DI5" s="576"/>
      <c r="DJ5" s="576"/>
      <c r="DK5" s="576"/>
      <c r="EC5" s="62"/>
      <c r="EH5" s="105"/>
    </row>
    <row r="6" spans="1:140" s="76" customFormat="1" ht="18.75" customHeight="1" x14ac:dyDescent="0.15">
      <c r="A6" s="110" t="str">
        <f>IF(A3="","",IF(DL10&lt;&gt;"",IF(DL10=DG23,DU23,DG23),IF(OR($A$3=N28,$A$3=BD28),$DU$23,$DG$23)))</f>
        <v/>
      </c>
      <c r="D6" s="573"/>
      <c r="E6" s="574"/>
      <c r="F6" s="574"/>
      <c r="G6" s="574"/>
      <c r="H6" s="574"/>
      <c r="I6" s="574"/>
      <c r="J6" s="574"/>
      <c r="K6" s="89"/>
      <c r="L6" s="578" t="str">
        <f>IF(A6="","",IF(VLOOKUP(A6,予選学校名!$C$3:$F$32,3,FALSE)="",VLOOKUP(A6,予選学校名!$C$3:$F$32,4,FALSE),VLOOKUP(A6,予選学校名!$C$3:$F$32,3,FALSE)&amp;"立"&amp;'北(⑦23)'!A6&amp;"中学校"))</f>
        <v/>
      </c>
      <c r="M6" s="578"/>
      <c r="N6" s="578"/>
      <c r="O6" s="578"/>
      <c r="P6" s="578"/>
      <c r="Q6" s="578"/>
      <c r="R6" s="578"/>
      <c r="S6" s="578"/>
      <c r="T6" s="578"/>
      <c r="U6" s="578"/>
      <c r="V6" s="578"/>
      <c r="W6" s="578"/>
      <c r="X6" s="578"/>
      <c r="Y6" s="578"/>
      <c r="Z6" s="578"/>
      <c r="AA6" s="578"/>
      <c r="AB6" s="578"/>
      <c r="AC6" s="578"/>
      <c r="AD6" s="578"/>
      <c r="AE6" s="578"/>
      <c r="AF6" s="578"/>
      <c r="AG6" s="578"/>
      <c r="AH6" s="578"/>
      <c r="AI6" s="578"/>
      <c r="AJ6" s="578"/>
      <c r="AK6" s="578"/>
      <c r="AL6" s="578"/>
      <c r="AM6" s="578"/>
      <c r="AN6" s="578"/>
      <c r="AO6" s="578"/>
      <c r="AP6" s="578"/>
      <c r="AQ6" s="578"/>
      <c r="AR6" s="578"/>
      <c r="AS6" s="578"/>
      <c r="AT6" s="578"/>
      <c r="AU6" s="578"/>
      <c r="AV6" s="579" t="str">
        <f>IF(A6="","","("&amp;VLOOKUP(A6,予選学校名!$C$3:$F$32,2,FALSE)&amp;")")</f>
        <v/>
      </c>
      <c r="AW6" s="579"/>
      <c r="AX6" s="579"/>
      <c r="AY6" s="579"/>
      <c r="AZ6" s="579"/>
      <c r="BA6" s="579"/>
      <c r="BB6" s="579"/>
      <c r="BC6" s="579"/>
      <c r="BD6" s="579"/>
      <c r="BE6" s="579"/>
      <c r="BF6" s="579"/>
      <c r="BG6" s="579"/>
      <c r="BH6" s="579"/>
      <c r="BI6" s="90"/>
      <c r="BJ6" s="90"/>
      <c r="BK6" s="90"/>
      <c r="BL6" s="90"/>
      <c r="BM6" s="90"/>
      <c r="BN6" s="89"/>
      <c r="BO6" s="89"/>
      <c r="BP6" s="89"/>
      <c r="BQ6" s="89"/>
      <c r="BR6" s="89"/>
      <c r="BS6" s="89"/>
      <c r="BT6" s="89"/>
      <c r="BU6" s="581"/>
      <c r="BV6" s="581"/>
      <c r="BW6" s="581"/>
      <c r="BX6" s="581"/>
      <c r="BY6" s="581"/>
      <c r="BZ6" s="581"/>
      <c r="CA6" s="581"/>
      <c r="CB6" s="581"/>
      <c r="CC6" s="581"/>
      <c r="CD6" s="581"/>
      <c r="CE6" s="581"/>
      <c r="CF6" s="581"/>
      <c r="CG6" s="581"/>
      <c r="CH6" s="581"/>
      <c r="CI6" s="581"/>
      <c r="CJ6" s="581"/>
      <c r="CK6" s="581"/>
      <c r="CL6" s="581"/>
      <c r="CM6" s="581"/>
      <c r="CN6" s="581"/>
      <c r="CO6" s="581"/>
      <c r="CP6" s="581"/>
      <c r="CQ6" s="581"/>
      <c r="CR6" s="581"/>
      <c r="CS6" s="581"/>
      <c r="CT6" s="581"/>
      <c r="CU6" s="581"/>
      <c r="CV6" s="581"/>
      <c r="CW6" s="581"/>
      <c r="CX6" s="581"/>
      <c r="CY6" s="582"/>
      <c r="CZ6" s="582"/>
      <c r="DA6" s="582"/>
      <c r="DB6" s="582"/>
      <c r="DC6" s="582"/>
      <c r="DD6" s="582"/>
      <c r="DE6" s="582"/>
      <c r="DF6" s="582"/>
      <c r="DG6" s="582"/>
      <c r="DH6" s="582"/>
      <c r="DI6" s="582"/>
      <c r="DJ6" s="582"/>
      <c r="DK6" s="582"/>
      <c r="DL6" s="126"/>
      <c r="DM6" s="126"/>
      <c r="DN6" s="126"/>
      <c r="DO6" s="126"/>
      <c r="EC6" s="75"/>
    </row>
    <row r="7" spans="1:140" s="76" customFormat="1" ht="18.75" customHeight="1" x14ac:dyDescent="0.15">
      <c r="A7" s="110" t="str">
        <f>IF(A3="","",IF(Z73&gt;Z80,H72,H80))</f>
        <v/>
      </c>
      <c r="D7" s="111"/>
      <c r="E7" s="89"/>
      <c r="F7" s="89"/>
      <c r="G7" s="89"/>
      <c r="H7" s="89"/>
      <c r="I7" s="89"/>
      <c r="J7" s="89"/>
      <c r="K7" s="89"/>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c r="AK7" s="112"/>
      <c r="AL7" s="112"/>
      <c r="AM7" s="112"/>
      <c r="AN7" s="112"/>
      <c r="AO7" s="112"/>
      <c r="AP7" s="112"/>
      <c r="AQ7" s="112"/>
      <c r="AR7" s="112"/>
      <c r="AS7" s="112"/>
      <c r="AT7" s="112"/>
      <c r="AU7" s="112"/>
      <c r="AV7" s="113"/>
      <c r="AW7" s="113"/>
      <c r="AX7" s="113"/>
      <c r="AY7" s="113"/>
      <c r="AZ7" s="113"/>
      <c r="BA7" s="113"/>
      <c r="BB7" s="113"/>
      <c r="BC7" s="113"/>
      <c r="BD7" s="113"/>
      <c r="BE7" s="113"/>
      <c r="BF7" s="113"/>
      <c r="BG7" s="113"/>
      <c r="BH7" s="113"/>
      <c r="BI7" s="90"/>
      <c r="BJ7" s="90"/>
      <c r="BK7" s="90"/>
      <c r="BL7" s="90"/>
      <c r="BM7" s="90"/>
      <c r="BN7" s="89"/>
      <c r="BO7" s="89"/>
      <c r="BP7" s="89"/>
      <c r="BQ7" s="89"/>
      <c r="BR7" s="89"/>
      <c r="BS7" s="89"/>
      <c r="BT7" s="89"/>
      <c r="BU7" s="571"/>
      <c r="BV7" s="571"/>
      <c r="BW7" s="571"/>
      <c r="BX7" s="571"/>
      <c r="BY7" s="571"/>
      <c r="BZ7" s="571"/>
      <c r="CA7" s="571"/>
      <c r="CB7" s="571"/>
      <c r="CC7" s="571"/>
      <c r="CD7" s="571"/>
      <c r="CE7" s="571"/>
      <c r="CF7" s="571"/>
      <c r="CG7" s="571"/>
      <c r="CH7" s="571"/>
      <c r="CI7" s="571"/>
      <c r="CJ7" s="571"/>
      <c r="CK7" s="571"/>
      <c r="CL7" s="571"/>
      <c r="CM7" s="571"/>
      <c r="CN7" s="571"/>
      <c r="CO7" s="571"/>
      <c r="CP7" s="571"/>
      <c r="CQ7" s="571"/>
      <c r="CR7" s="571"/>
      <c r="CS7" s="571"/>
      <c r="CT7" s="571"/>
      <c r="CU7" s="571"/>
      <c r="CV7" s="571"/>
      <c r="CW7" s="571"/>
      <c r="CX7" s="571"/>
      <c r="CY7" s="572"/>
      <c r="CZ7" s="572"/>
      <c r="DA7" s="572"/>
      <c r="DB7" s="572"/>
      <c r="DC7" s="572"/>
      <c r="DD7" s="572"/>
      <c r="DE7" s="572"/>
      <c r="DF7" s="572"/>
      <c r="DG7" s="572"/>
      <c r="DH7" s="572"/>
      <c r="DI7" s="572"/>
      <c r="DJ7" s="572"/>
      <c r="DK7" s="572"/>
      <c r="DL7" s="126"/>
      <c r="DM7" s="126"/>
      <c r="DN7" s="126"/>
      <c r="DO7" s="126"/>
      <c r="EC7" s="75"/>
    </row>
    <row r="8" spans="1:140" s="76" customFormat="1" ht="18.75" customHeight="1" x14ac:dyDescent="0.15">
      <c r="A8" s="110" t="str">
        <f>IF(A3="","",IF(DH73&gt;DH80,DJ72,DJ80))</f>
        <v/>
      </c>
      <c r="D8" s="111"/>
      <c r="E8" s="89"/>
      <c r="F8" s="89"/>
      <c r="G8" s="89"/>
      <c r="H8" s="89"/>
      <c r="I8" s="89"/>
      <c r="J8" s="89"/>
      <c r="K8" s="89"/>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2"/>
      <c r="AN8" s="112"/>
      <c r="AO8" s="112"/>
      <c r="AP8" s="112"/>
      <c r="AQ8" s="112"/>
      <c r="AR8" s="112"/>
      <c r="AS8" s="112"/>
      <c r="AT8" s="112"/>
      <c r="AU8" s="112"/>
      <c r="AV8" s="113"/>
      <c r="AW8" s="113"/>
      <c r="AX8" s="113"/>
      <c r="AY8" s="113"/>
      <c r="AZ8" s="113"/>
      <c r="BA8" s="113"/>
      <c r="BB8" s="113"/>
      <c r="BC8" s="113"/>
      <c r="BD8" s="113"/>
      <c r="BE8" s="113"/>
      <c r="BF8" s="113"/>
      <c r="BG8" s="113"/>
      <c r="BH8" s="113"/>
      <c r="BI8" s="90"/>
      <c r="BJ8" s="90"/>
      <c r="BK8" s="90"/>
      <c r="BL8" s="90"/>
      <c r="BM8" s="90"/>
      <c r="BN8" s="89"/>
      <c r="BO8" s="89"/>
      <c r="BP8" s="89"/>
      <c r="BQ8" s="89"/>
      <c r="BR8" s="89"/>
      <c r="BS8" s="89"/>
      <c r="BT8" s="89"/>
      <c r="BU8" s="112"/>
      <c r="BV8" s="112"/>
      <c r="BW8" s="112"/>
      <c r="BX8" s="112"/>
      <c r="BY8" s="112"/>
      <c r="BZ8" s="112"/>
      <c r="CA8" s="112"/>
      <c r="CB8" s="112"/>
      <c r="CC8" s="112"/>
      <c r="CD8" s="112"/>
      <c r="CE8" s="112"/>
      <c r="CF8" s="112"/>
      <c r="CG8" s="112"/>
      <c r="CH8" s="112"/>
      <c r="CI8" s="112"/>
      <c r="CJ8" s="112"/>
      <c r="CK8" s="112"/>
      <c r="CL8" s="112"/>
      <c r="CM8" s="112"/>
      <c r="CN8" s="112"/>
      <c r="CO8" s="112"/>
      <c r="CP8" s="112"/>
      <c r="CQ8" s="112"/>
      <c r="CR8" s="112"/>
      <c r="CS8" s="112"/>
      <c r="CT8" s="112"/>
      <c r="CU8" s="112"/>
      <c r="CV8" s="112"/>
      <c r="CW8" s="112"/>
      <c r="CX8" s="112"/>
      <c r="CY8" s="113"/>
      <c r="CZ8" s="113"/>
      <c r="DA8" s="113"/>
      <c r="DB8" s="113"/>
      <c r="DC8" s="113"/>
      <c r="DD8" s="113"/>
      <c r="DE8" s="113"/>
      <c r="DF8" s="113"/>
      <c r="DG8" s="113"/>
      <c r="DH8" s="113"/>
      <c r="DI8" s="113"/>
      <c r="DJ8" s="113"/>
      <c r="DK8" s="113"/>
      <c r="EC8" s="75"/>
    </row>
    <row r="9" spans="1:140" s="76" customFormat="1" ht="13.5" customHeight="1" x14ac:dyDescent="0.15">
      <c r="A9" s="110" t="str">
        <f>IF(A3="","",IF(BC76&gt;CE76,BF76,BZ76))</f>
        <v/>
      </c>
      <c r="D9" s="105"/>
      <c r="AR9" s="521" t="s">
        <v>78</v>
      </c>
      <c r="AS9" s="521"/>
      <c r="AT9" s="521"/>
      <c r="AU9" s="521"/>
      <c r="AV9" s="521"/>
      <c r="AW9" s="521"/>
      <c r="AX9" s="521"/>
      <c r="AY9" s="521"/>
      <c r="AZ9" s="568" t="str">
        <f>IF(L3="","",L3)</f>
        <v/>
      </c>
      <c r="BA9" s="568"/>
      <c r="BB9" s="568"/>
      <c r="BC9" s="568"/>
      <c r="BD9" s="568"/>
      <c r="BE9" s="568"/>
      <c r="BF9" s="568"/>
      <c r="BG9" s="568"/>
      <c r="BH9" s="568"/>
      <c r="BI9" s="568"/>
      <c r="BJ9" s="568"/>
      <c r="BK9" s="568"/>
      <c r="BL9" s="568"/>
      <c r="BM9" s="568"/>
      <c r="BN9" s="568"/>
      <c r="BO9" s="568"/>
      <c r="BP9" s="568"/>
      <c r="BQ9" s="568"/>
      <c r="BR9" s="568"/>
      <c r="BS9" s="568"/>
      <c r="BT9" s="568"/>
      <c r="BU9" s="568"/>
      <c r="BV9" s="568"/>
      <c r="BW9" s="568"/>
      <c r="BX9" s="568"/>
      <c r="BY9" s="568"/>
      <c r="BZ9" s="568"/>
      <c r="CA9" s="568"/>
      <c r="CB9" s="568"/>
      <c r="CC9" s="568"/>
      <c r="CD9" s="568"/>
      <c r="CE9" s="568"/>
      <c r="CF9" s="568"/>
      <c r="CG9" s="568"/>
      <c r="CH9" s="568"/>
      <c r="CI9" s="568"/>
      <c r="CJ9" s="568"/>
      <c r="CK9" s="568"/>
      <c r="CL9" s="568"/>
      <c r="CM9" s="568"/>
      <c r="CN9" s="568"/>
      <c r="CO9" s="568"/>
      <c r="DG9" s="485" t="s">
        <v>79</v>
      </c>
      <c r="DH9" s="485"/>
      <c r="DI9" s="485"/>
      <c r="DJ9" s="485"/>
      <c r="DK9" s="485"/>
      <c r="DL9" s="485"/>
      <c r="DM9" s="485"/>
      <c r="DN9" s="485"/>
      <c r="DO9" s="485"/>
      <c r="DP9" s="485"/>
      <c r="DQ9" s="485"/>
      <c r="DR9" s="485"/>
      <c r="DS9" s="485"/>
      <c r="DT9" s="485"/>
      <c r="EH9" s="75"/>
    </row>
    <row r="10" spans="1:140" s="76" customFormat="1" ht="13.5" customHeight="1" x14ac:dyDescent="0.15">
      <c r="A10" s="110"/>
      <c r="D10" s="105"/>
      <c r="AR10" s="521"/>
      <c r="AS10" s="521"/>
      <c r="AT10" s="521"/>
      <c r="AU10" s="521"/>
      <c r="AV10" s="521"/>
      <c r="AW10" s="521"/>
      <c r="AX10" s="521"/>
      <c r="AY10" s="521"/>
      <c r="AZ10" s="568"/>
      <c r="BA10" s="568"/>
      <c r="BB10" s="568"/>
      <c r="BC10" s="568"/>
      <c r="BD10" s="568"/>
      <c r="BE10" s="568"/>
      <c r="BF10" s="568"/>
      <c r="BG10" s="568"/>
      <c r="BH10" s="568"/>
      <c r="BI10" s="568"/>
      <c r="BJ10" s="568"/>
      <c r="BK10" s="568"/>
      <c r="BL10" s="568"/>
      <c r="BM10" s="568"/>
      <c r="BN10" s="568"/>
      <c r="BO10" s="568"/>
      <c r="BP10" s="568"/>
      <c r="BQ10" s="568"/>
      <c r="BR10" s="568"/>
      <c r="BS10" s="568"/>
      <c r="BT10" s="568"/>
      <c r="BU10" s="568"/>
      <c r="BV10" s="568"/>
      <c r="BW10" s="568"/>
      <c r="BX10" s="568"/>
      <c r="BY10" s="568"/>
      <c r="BZ10" s="568"/>
      <c r="CA10" s="568"/>
      <c r="CB10" s="568"/>
      <c r="CC10" s="568"/>
      <c r="CD10" s="568"/>
      <c r="CE10" s="568"/>
      <c r="CF10" s="568"/>
      <c r="CG10" s="568"/>
      <c r="CH10" s="568"/>
      <c r="CI10" s="568"/>
      <c r="CJ10" s="568"/>
      <c r="CK10" s="568"/>
      <c r="CL10" s="568"/>
      <c r="CM10" s="568"/>
      <c r="CN10" s="568"/>
      <c r="CO10" s="568"/>
      <c r="DL10" s="499" t="str">
        <f>IF(DN14=DT14,"",IF(DN14&gt;DT14,DG23,DU23))</f>
        <v/>
      </c>
      <c r="DM10" s="499"/>
      <c r="DN10" s="499"/>
      <c r="DO10" s="499"/>
      <c r="DP10" s="499"/>
      <c r="DQ10" s="499"/>
      <c r="DR10" s="499"/>
      <c r="DS10" s="499"/>
      <c r="DT10" s="499"/>
      <c r="DU10" s="499"/>
      <c r="DV10" s="499"/>
      <c r="DW10" s="499"/>
      <c r="DX10" s="499"/>
      <c r="DY10" s="499"/>
      <c r="EH10" s="75"/>
    </row>
    <row r="11" spans="1:140" s="76" customFormat="1" ht="7.5" customHeight="1" x14ac:dyDescent="0.15">
      <c r="D11" s="105"/>
      <c r="BT11" s="529"/>
      <c r="DL11" s="499"/>
      <c r="DM11" s="499"/>
      <c r="DN11" s="499"/>
      <c r="DO11" s="499"/>
      <c r="DP11" s="499"/>
      <c r="DQ11" s="499"/>
      <c r="DR11" s="499"/>
      <c r="DS11" s="499"/>
      <c r="DT11" s="499"/>
      <c r="DU11" s="499"/>
      <c r="DV11" s="499"/>
      <c r="DW11" s="499"/>
      <c r="DX11" s="499"/>
      <c r="DY11" s="499"/>
      <c r="EH11" s="75"/>
    </row>
    <row r="12" spans="1:140" s="76" customFormat="1" ht="3.75" customHeight="1" x14ac:dyDescent="0.15">
      <c r="D12" s="105"/>
      <c r="BT12" s="529"/>
      <c r="EH12" s="75"/>
    </row>
    <row r="13" spans="1:140" s="76" customFormat="1" ht="13.5" customHeight="1" x14ac:dyDescent="0.15">
      <c r="D13" s="105"/>
      <c r="BP13" s="538" t="str">
        <f>IF(BP16="","",SUM(BP16:BP19))</f>
        <v/>
      </c>
      <c r="BQ13" s="538"/>
      <c r="BR13" s="538"/>
      <c r="BS13" s="538"/>
      <c r="BT13" s="529"/>
      <c r="BV13" s="537" t="str">
        <f>IF(BV16="","",SUM(BV16:BV19))</f>
        <v/>
      </c>
      <c r="BW13" s="537"/>
      <c r="BX13" s="537"/>
      <c r="BY13" s="537"/>
      <c r="DF13" s="114"/>
      <c r="DG13" s="114"/>
      <c r="DH13" s="114"/>
      <c r="DI13" s="114"/>
      <c r="DJ13" s="114"/>
      <c r="DK13" s="114"/>
      <c r="DL13" s="114"/>
      <c r="DM13" s="114"/>
      <c r="DN13" s="538" t="str">
        <f>IF(DN16="","",SUM(DN16:DN19))</f>
        <v/>
      </c>
      <c r="DO13" s="538"/>
      <c r="DP13" s="538"/>
      <c r="DQ13" s="538"/>
      <c r="DR13" s="569"/>
      <c r="DS13" s="114"/>
      <c r="DT13" s="537" t="str">
        <f>IF(DT16="","",SUM(DT16:DT19))</f>
        <v/>
      </c>
      <c r="DU13" s="537"/>
      <c r="DV13" s="537"/>
      <c r="DW13" s="537"/>
      <c r="DX13" s="114"/>
      <c r="DY13" s="114"/>
      <c r="DZ13" s="114"/>
      <c r="EA13" s="114"/>
      <c r="EB13" s="114"/>
      <c r="EC13" s="114"/>
      <c r="ED13" s="114"/>
      <c r="EE13" s="114"/>
      <c r="EH13" s="75"/>
    </row>
    <row r="14" spans="1:140" s="114" customFormat="1" ht="13.5" hidden="1" customHeight="1" x14ac:dyDescent="0.15">
      <c r="D14" s="115"/>
      <c r="BP14" s="539">
        <f>SUM(BP16:BP23)</f>
        <v>0</v>
      </c>
      <c r="BQ14" s="539"/>
      <c r="BR14" s="539"/>
      <c r="BS14" s="539"/>
      <c r="BT14" s="529"/>
      <c r="BV14" s="540">
        <f>SUM(BV16:BV23)</f>
        <v>0</v>
      </c>
      <c r="BW14" s="540"/>
      <c r="BX14" s="540"/>
      <c r="BY14" s="540"/>
      <c r="DF14" s="76"/>
      <c r="DG14" s="76"/>
      <c r="DH14" s="76"/>
      <c r="DI14" s="76"/>
      <c r="DJ14" s="76"/>
      <c r="DK14" s="76"/>
      <c r="DL14" s="76"/>
      <c r="DM14" s="76"/>
      <c r="DN14" s="539">
        <f>SUM(DN16:DN23)</f>
        <v>0</v>
      </c>
      <c r="DO14" s="539"/>
      <c r="DP14" s="539"/>
      <c r="DQ14" s="539"/>
      <c r="DR14" s="569"/>
      <c r="DS14" s="76"/>
      <c r="DT14" s="540">
        <f>SUM(DT16:DT23)</f>
        <v>0</v>
      </c>
      <c r="DU14" s="540"/>
      <c r="DV14" s="540"/>
      <c r="DW14" s="540"/>
      <c r="DX14" s="76"/>
      <c r="DY14" s="76"/>
      <c r="DZ14" s="76"/>
      <c r="EA14" s="76"/>
      <c r="EB14" s="76"/>
      <c r="EC14" s="76"/>
      <c r="ED14" s="76"/>
      <c r="EE14" s="76"/>
      <c r="EH14" s="116"/>
    </row>
    <row r="15" spans="1:140" s="76" customFormat="1" ht="3.75" customHeight="1" thickBot="1" x14ac:dyDescent="0.2">
      <c r="A15" s="110"/>
      <c r="D15" s="105"/>
      <c r="AH15" s="72"/>
      <c r="AI15" s="72"/>
      <c r="AJ15" s="72"/>
      <c r="AK15" s="305"/>
      <c r="AL15" s="305"/>
      <c r="AM15" s="305"/>
      <c r="AN15" s="305"/>
      <c r="AO15" s="305"/>
      <c r="AP15" s="305"/>
      <c r="AQ15" s="305"/>
      <c r="AR15" s="305"/>
      <c r="AS15" s="305"/>
      <c r="AT15" s="305"/>
      <c r="AU15" s="305"/>
      <c r="AV15" s="305"/>
      <c r="AW15" s="305"/>
      <c r="AX15" s="305"/>
      <c r="AY15" s="305"/>
      <c r="AZ15" s="305"/>
      <c r="BA15" s="305"/>
      <c r="BB15" s="305"/>
      <c r="BC15" s="305"/>
      <c r="BD15" s="305"/>
      <c r="BE15" s="305"/>
      <c r="BF15" s="305"/>
      <c r="BG15" s="305"/>
      <c r="BH15" s="305"/>
      <c r="BI15" s="305"/>
      <c r="BJ15" s="305"/>
      <c r="BK15" s="305"/>
      <c r="BL15" s="305"/>
      <c r="BM15" s="117"/>
      <c r="BN15" s="117"/>
      <c r="BO15" s="117"/>
      <c r="BP15" s="117"/>
      <c r="BQ15" s="117"/>
      <c r="BR15" s="117"/>
      <c r="BS15" s="117"/>
      <c r="BT15" s="536"/>
      <c r="BU15" s="118"/>
      <c r="BV15" s="117"/>
      <c r="BW15" s="117"/>
      <c r="BX15" s="117"/>
      <c r="BY15" s="117"/>
      <c r="BZ15" s="117"/>
      <c r="CA15" s="117"/>
      <c r="CB15" s="117"/>
      <c r="CC15" s="117"/>
      <c r="CD15" s="117"/>
      <c r="CE15" s="117"/>
      <c r="CF15" s="117"/>
      <c r="CG15" s="117"/>
      <c r="CH15" s="117"/>
      <c r="CI15" s="117"/>
      <c r="CJ15" s="117"/>
      <c r="CK15" s="117"/>
      <c r="CL15" s="117"/>
      <c r="CM15" s="117"/>
      <c r="CN15" s="117"/>
      <c r="CO15" s="117"/>
      <c r="CP15" s="117"/>
      <c r="CQ15" s="117"/>
      <c r="CR15" s="117"/>
      <c r="CS15" s="117"/>
      <c r="CT15" s="117"/>
      <c r="CU15" s="117"/>
      <c r="CV15" s="117"/>
      <c r="CW15" s="117"/>
      <c r="CX15" s="117"/>
      <c r="CY15" s="117"/>
      <c r="CZ15" s="117"/>
      <c r="DA15" s="117"/>
      <c r="DB15" s="72"/>
      <c r="DC15" s="72"/>
      <c r="DD15" s="72"/>
      <c r="DE15" s="72"/>
      <c r="DL15" s="534"/>
      <c r="DM15" s="534"/>
      <c r="DN15" s="534"/>
      <c r="DO15" s="534"/>
      <c r="DP15" s="534"/>
      <c r="DQ15" s="534"/>
      <c r="DR15" s="570"/>
      <c r="DS15" s="535"/>
      <c r="DT15" s="534"/>
      <c r="DU15" s="534"/>
      <c r="DV15" s="534"/>
      <c r="DW15" s="534"/>
      <c r="DX15" s="534"/>
      <c r="DY15" s="534"/>
      <c r="EH15" s="75"/>
    </row>
    <row r="16" spans="1:140" s="76" customFormat="1" ht="13.5" customHeight="1" thickTop="1" x14ac:dyDescent="0.15">
      <c r="A16" s="110"/>
      <c r="D16" s="105"/>
      <c r="AC16" s="119"/>
      <c r="AD16" s="119"/>
      <c r="AE16" s="119"/>
      <c r="AF16" s="549" t="str">
        <f>IF(AF26=AL26,"",IF(AF26&gt;AL26,N28,BD28))</f>
        <v/>
      </c>
      <c r="AG16" s="549"/>
      <c r="AH16" s="549"/>
      <c r="AI16" s="549"/>
      <c r="AJ16" s="529"/>
      <c r="BP16" s="510"/>
      <c r="BQ16" s="510"/>
      <c r="BR16" s="510"/>
      <c r="BS16" s="510"/>
      <c r="BT16" s="531" t="s">
        <v>72</v>
      </c>
      <c r="BU16" s="531"/>
      <c r="BV16" s="532"/>
      <c r="BW16" s="532"/>
      <c r="BX16" s="532"/>
      <c r="BY16" s="532"/>
      <c r="DB16" s="530"/>
      <c r="DC16" s="548" t="str">
        <f>IF(CW26=DC26,"",IF(CW26&gt;DC26,CH28,DU28))</f>
        <v/>
      </c>
      <c r="DD16" s="548"/>
      <c r="DE16" s="548"/>
      <c r="DF16" s="548"/>
      <c r="DK16" s="545"/>
      <c r="DN16" s="510"/>
      <c r="DO16" s="510"/>
      <c r="DP16" s="510"/>
      <c r="DQ16" s="510"/>
      <c r="DR16" s="567" t="s">
        <v>80</v>
      </c>
      <c r="DS16" s="567"/>
      <c r="DT16" s="532"/>
      <c r="DU16" s="532"/>
      <c r="DV16" s="532"/>
      <c r="DW16" s="532"/>
      <c r="DZ16" s="553"/>
      <c r="EH16" s="75"/>
    </row>
    <row r="17" spans="1:138" s="76" customFormat="1" ht="13.5" customHeight="1" x14ac:dyDescent="0.15">
      <c r="A17" s="110"/>
      <c r="D17" s="105"/>
      <c r="AC17" s="119"/>
      <c r="AD17" s="119"/>
      <c r="AE17" s="119"/>
      <c r="AF17" s="549"/>
      <c r="AG17" s="549"/>
      <c r="AH17" s="549"/>
      <c r="AI17" s="549"/>
      <c r="AJ17" s="529"/>
      <c r="BP17" s="500"/>
      <c r="BQ17" s="500"/>
      <c r="BR17" s="500"/>
      <c r="BS17" s="500"/>
      <c r="BT17" s="485" t="s">
        <v>72</v>
      </c>
      <c r="BU17" s="485"/>
      <c r="BV17" s="498"/>
      <c r="BW17" s="498"/>
      <c r="BX17" s="498"/>
      <c r="BY17" s="498"/>
      <c r="DB17" s="530"/>
      <c r="DC17" s="548"/>
      <c r="DD17" s="548"/>
      <c r="DE17" s="548"/>
      <c r="DF17" s="548"/>
      <c r="DK17" s="545"/>
      <c r="DN17" s="500"/>
      <c r="DO17" s="500"/>
      <c r="DP17" s="500"/>
      <c r="DQ17" s="500"/>
      <c r="DR17" s="501" t="s">
        <v>80</v>
      </c>
      <c r="DS17" s="501"/>
      <c r="DT17" s="498"/>
      <c r="DU17" s="498"/>
      <c r="DV17" s="498"/>
      <c r="DW17" s="498"/>
      <c r="DZ17" s="553"/>
      <c r="EH17" s="75"/>
    </row>
    <row r="18" spans="1:138" s="76" customFormat="1" ht="13.5" customHeight="1" x14ac:dyDescent="0.15">
      <c r="A18" s="110"/>
      <c r="D18" s="105"/>
      <c r="AC18" s="119"/>
      <c r="AD18" s="119"/>
      <c r="AE18" s="119"/>
      <c r="AF18" s="549"/>
      <c r="AG18" s="549"/>
      <c r="AH18" s="549"/>
      <c r="AI18" s="549"/>
      <c r="AJ18" s="529"/>
      <c r="BP18" s="500"/>
      <c r="BQ18" s="500"/>
      <c r="BR18" s="500"/>
      <c r="BS18" s="500"/>
      <c r="BT18" s="501" t="str">
        <f>IF(OR(SUM(BP16:BP17)&lt;&gt;SUM(BV16:BV17),BP17=""),"","－")</f>
        <v/>
      </c>
      <c r="BU18" s="501"/>
      <c r="BV18" s="498"/>
      <c r="BW18" s="498"/>
      <c r="BX18" s="498"/>
      <c r="BY18" s="498"/>
      <c r="DB18" s="530"/>
      <c r="DC18" s="548"/>
      <c r="DD18" s="548"/>
      <c r="DE18" s="548"/>
      <c r="DF18" s="548"/>
      <c r="DK18" s="545"/>
      <c r="DN18" s="500"/>
      <c r="DO18" s="500"/>
      <c r="DP18" s="500"/>
      <c r="DQ18" s="500"/>
      <c r="DR18" s="501" t="str">
        <f>IF(DN18="","","－")</f>
        <v/>
      </c>
      <c r="DS18" s="501"/>
      <c r="DT18" s="498"/>
      <c r="DU18" s="498"/>
      <c r="DV18" s="498"/>
      <c r="DW18" s="498"/>
      <c r="DZ18" s="553"/>
      <c r="EH18" s="75"/>
    </row>
    <row r="19" spans="1:138" s="76" customFormat="1" ht="13.5" customHeight="1" x14ac:dyDescent="0.15">
      <c r="A19" s="110"/>
      <c r="D19" s="105"/>
      <c r="AC19" s="119"/>
      <c r="AD19" s="119"/>
      <c r="AE19" s="119"/>
      <c r="AF19" s="549"/>
      <c r="AG19" s="549"/>
      <c r="AH19" s="549"/>
      <c r="AI19" s="549"/>
      <c r="AJ19" s="529"/>
      <c r="BP19" s="500"/>
      <c r="BQ19" s="500"/>
      <c r="BR19" s="500"/>
      <c r="BS19" s="500"/>
      <c r="BT19" s="501" t="str">
        <f>IF(OR(SUM(BP16:BP17)&lt;&gt;SUM(BV16:BV17),BP17=""),"","－")</f>
        <v/>
      </c>
      <c r="BU19" s="501"/>
      <c r="BV19" s="498"/>
      <c r="BW19" s="498"/>
      <c r="BX19" s="498"/>
      <c r="BY19" s="498"/>
      <c r="DB19" s="530"/>
      <c r="DC19" s="548"/>
      <c r="DD19" s="548"/>
      <c r="DE19" s="548"/>
      <c r="DF19" s="548"/>
      <c r="DK19" s="545"/>
      <c r="DN19" s="500"/>
      <c r="DO19" s="500"/>
      <c r="DP19" s="500"/>
      <c r="DQ19" s="500"/>
      <c r="DR19" s="501" t="str">
        <f>IF(DN19="","","－")</f>
        <v/>
      </c>
      <c r="DS19" s="501"/>
      <c r="DT19" s="498"/>
      <c r="DU19" s="498"/>
      <c r="DV19" s="498"/>
      <c r="DW19" s="498"/>
      <c r="DZ19" s="553"/>
      <c r="EH19" s="75"/>
    </row>
    <row r="20" spans="1:138" s="76" customFormat="1" ht="13.5" customHeight="1" x14ac:dyDescent="0.2">
      <c r="A20" s="110"/>
      <c r="D20" s="105"/>
      <c r="AC20" s="119"/>
      <c r="AD20" s="119"/>
      <c r="AE20" s="119"/>
      <c r="AF20" s="549"/>
      <c r="AG20" s="549"/>
      <c r="AH20" s="549"/>
      <c r="AI20" s="549"/>
      <c r="AJ20" s="529"/>
      <c r="BP20" s="120"/>
      <c r="BQ20" s="120"/>
      <c r="BR20" s="120"/>
      <c r="BS20" s="499" t="str">
        <f>IF(OR(SUM(BP16:BP19)&lt;&gt;SUM(BV16:BV19),BP19=""),"","PK")</f>
        <v/>
      </c>
      <c r="BT20" s="499"/>
      <c r="BU20" s="499"/>
      <c r="BV20" s="499"/>
      <c r="BW20" s="121"/>
      <c r="BX20" s="121"/>
      <c r="BY20" s="121"/>
      <c r="DB20" s="530"/>
      <c r="DC20" s="548"/>
      <c r="DD20" s="548"/>
      <c r="DE20" s="548"/>
      <c r="DF20" s="548"/>
      <c r="DK20" s="545"/>
      <c r="DN20" s="72"/>
      <c r="DO20" s="72"/>
      <c r="DP20" s="72"/>
      <c r="DQ20" s="499" t="str">
        <f>IF(DN21="","","PK")</f>
        <v/>
      </c>
      <c r="DR20" s="499"/>
      <c r="DS20" s="499"/>
      <c r="DT20" s="499"/>
      <c r="DU20" s="72"/>
      <c r="DV20" s="72"/>
      <c r="DW20" s="72"/>
      <c r="DZ20" s="553"/>
      <c r="EH20" s="75"/>
    </row>
    <row r="21" spans="1:138" s="76" customFormat="1" ht="13.5" customHeight="1" x14ac:dyDescent="0.15">
      <c r="A21" s="110"/>
      <c r="D21" s="105"/>
      <c r="AF21" s="549"/>
      <c r="AG21" s="549"/>
      <c r="AH21" s="549"/>
      <c r="AI21" s="549"/>
      <c r="AJ21" s="529"/>
      <c r="AX21" s="566"/>
      <c r="AY21" s="566"/>
      <c r="BP21" s="500"/>
      <c r="BQ21" s="500"/>
      <c r="BR21" s="500"/>
      <c r="BS21" s="500"/>
      <c r="BT21" s="501" t="str">
        <f>IF(OR(SUM(BP16:BP19)&lt;&gt;SUM(BV16:BV19),BP19=""),"","－")</f>
        <v/>
      </c>
      <c r="BU21" s="501"/>
      <c r="BV21" s="498"/>
      <c r="BW21" s="498"/>
      <c r="BX21" s="498"/>
      <c r="BY21" s="498"/>
      <c r="DB21" s="530"/>
      <c r="DC21" s="548"/>
      <c r="DD21" s="548"/>
      <c r="DE21" s="548"/>
      <c r="DF21" s="548"/>
      <c r="DK21" s="545"/>
      <c r="DN21" s="500"/>
      <c r="DO21" s="500"/>
      <c r="DP21" s="500"/>
      <c r="DQ21" s="500"/>
      <c r="DR21" s="501" t="str">
        <f>IF(DN21="","","－")</f>
        <v/>
      </c>
      <c r="DS21" s="501"/>
      <c r="DT21" s="498"/>
      <c r="DU21" s="498"/>
      <c r="DV21" s="498"/>
      <c r="DW21" s="498"/>
      <c r="DZ21" s="553"/>
      <c r="EH21" s="75"/>
    </row>
    <row r="22" spans="1:138" s="123" customFormat="1" ht="13.5" customHeight="1" x14ac:dyDescent="0.2">
      <c r="A22" s="122"/>
      <c r="D22" s="124"/>
      <c r="AJ22" s="529"/>
      <c r="AX22" s="566"/>
      <c r="AY22" s="566"/>
      <c r="DB22" s="530"/>
      <c r="DE22" s="76"/>
      <c r="DK22" s="545"/>
      <c r="DZ22" s="553"/>
      <c r="EH22" s="120"/>
    </row>
    <row r="23" spans="1:138" s="76" customFormat="1" ht="13.5" customHeight="1" x14ac:dyDescent="0.15">
      <c r="A23" s="110"/>
      <c r="D23" s="105"/>
      <c r="AJ23" s="529"/>
      <c r="BP23" s="58"/>
      <c r="BQ23" s="303"/>
      <c r="BR23" s="303"/>
      <c r="BS23" s="303"/>
      <c r="BT23" s="303"/>
      <c r="BU23" s="303"/>
      <c r="BV23" s="303"/>
      <c r="BW23" s="303"/>
      <c r="BX23" s="303"/>
      <c r="BY23" s="303"/>
      <c r="DB23" s="530"/>
      <c r="DG23" s="485" t="str">
        <f>IF(AL26=AF26,"",IF(AL26&lt;AF26,BD28,N28))</f>
        <v/>
      </c>
      <c r="DH23" s="485"/>
      <c r="DI23" s="485"/>
      <c r="DJ23" s="485"/>
      <c r="DK23" s="485"/>
      <c r="DL23" s="485"/>
      <c r="DM23" s="485"/>
      <c r="DN23" s="485"/>
      <c r="DO23" s="485"/>
      <c r="DP23" s="485"/>
      <c r="DU23" s="485" t="str">
        <f>IF(CW26=DC26,"",IF(CW26&gt;DC26,DU28,CH28))</f>
        <v/>
      </c>
      <c r="DV23" s="485"/>
      <c r="DW23" s="485"/>
      <c r="DX23" s="485"/>
      <c r="DY23" s="485"/>
      <c r="DZ23" s="485"/>
      <c r="EA23" s="485"/>
      <c r="EB23" s="485"/>
      <c r="EC23" s="485"/>
      <c r="ED23" s="485"/>
      <c r="EH23" s="75"/>
    </row>
    <row r="24" spans="1:138" s="126" customFormat="1" ht="13.5" customHeight="1" x14ac:dyDescent="0.15">
      <c r="A24" s="125"/>
      <c r="D24" s="127"/>
      <c r="AJ24" s="529"/>
      <c r="BP24" s="127"/>
      <c r="BQ24" s="303"/>
      <c r="BR24" s="303"/>
      <c r="BS24" s="303"/>
      <c r="BT24" s="303"/>
      <c r="BU24" s="303"/>
      <c r="BV24" s="303"/>
      <c r="BW24" s="303"/>
      <c r="BX24" s="303"/>
      <c r="BY24" s="303"/>
      <c r="DB24" s="530"/>
      <c r="DE24" s="76"/>
      <c r="EH24" s="128"/>
    </row>
    <row r="25" spans="1:138" s="76" customFormat="1" ht="13.5" customHeight="1" x14ac:dyDescent="0.15">
      <c r="A25" s="110"/>
      <c r="D25" s="105"/>
      <c r="AC25" s="75" t="str">
        <f>IF(AC28="","",SUM(AC28:AE31))</f>
        <v/>
      </c>
      <c r="AD25" s="75"/>
      <c r="AE25" s="75"/>
      <c r="AF25" s="538" t="str">
        <f>IF(AF28="","",SUM(AF28:AF31))</f>
        <v/>
      </c>
      <c r="AG25" s="538"/>
      <c r="AH25" s="538"/>
      <c r="AI25" s="538"/>
      <c r="AJ25" s="529"/>
      <c r="AL25" s="537" t="str">
        <f>IF(AL28="","",SUM(AL28:AL31))</f>
        <v/>
      </c>
      <c r="AM25" s="537"/>
      <c r="AN25" s="537"/>
      <c r="AO25" s="537"/>
      <c r="BP25" s="105"/>
      <c r="BQ25" s="303"/>
      <c r="BR25" s="303"/>
      <c r="BS25" s="303"/>
      <c r="BT25" s="303"/>
      <c r="BU25" s="303"/>
      <c r="BV25" s="303"/>
      <c r="BW25" s="303"/>
      <c r="BX25" s="303"/>
      <c r="BY25" s="303"/>
      <c r="CW25" s="565" t="str">
        <f>IF(CW28="","",SUM(CW28:CW31))</f>
        <v/>
      </c>
      <c r="CX25" s="565"/>
      <c r="CY25" s="565"/>
      <c r="CZ25" s="565"/>
      <c r="DA25" s="72"/>
      <c r="DB25" s="530"/>
      <c r="DC25" s="537" t="str">
        <f>IF(DC28="","",SUM(DC28:DC31))</f>
        <v/>
      </c>
      <c r="DD25" s="537"/>
      <c r="DE25" s="537"/>
      <c r="DF25" s="537"/>
      <c r="EH25" s="75"/>
    </row>
    <row r="26" spans="1:138" s="114" customFormat="1" ht="13.5" hidden="1" customHeight="1" x14ac:dyDescent="0.15">
      <c r="A26" s="129"/>
      <c r="D26" s="115"/>
      <c r="AC26" s="116"/>
      <c r="AD26" s="116"/>
      <c r="AE26" s="116"/>
      <c r="AF26" s="539">
        <f>SUM(AF28:AF33)</f>
        <v>0</v>
      </c>
      <c r="AG26" s="539"/>
      <c r="AH26" s="539"/>
      <c r="AI26" s="539"/>
      <c r="AJ26" s="529"/>
      <c r="AL26" s="540">
        <f>SUM(AL28:AL33)</f>
        <v>0</v>
      </c>
      <c r="AM26" s="540"/>
      <c r="AN26" s="540"/>
      <c r="AO26" s="540"/>
      <c r="CW26" s="539">
        <f>SUM(CW28:CW33)</f>
        <v>0</v>
      </c>
      <c r="CX26" s="539"/>
      <c r="CY26" s="539"/>
      <c r="CZ26" s="539"/>
      <c r="DA26" s="130"/>
      <c r="DB26" s="530"/>
      <c r="DC26" s="540">
        <f>SUM(DC28:DC33)</f>
        <v>0</v>
      </c>
      <c r="DD26" s="540"/>
      <c r="DE26" s="540"/>
      <c r="DF26" s="540"/>
      <c r="EH26" s="116"/>
    </row>
    <row r="27" spans="1:138" s="76" customFormat="1" ht="3.75" customHeight="1" thickBot="1" x14ac:dyDescent="0.2">
      <c r="A27" s="110"/>
      <c r="D27" s="105"/>
      <c r="S27" s="302"/>
      <c r="T27" s="302"/>
      <c r="U27" s="302"/>
      <c r="V27" s="302"/>
      <c r="W27" s="302"/>
      <c r="X27" s="302"/>
      <c r="Y27" s="302"/>
      <c r="Z27" s="302"/>
      <c r="AA27" s="302"/>
      <c r="AB27" s="302"/>
      <c r="AC27" s="302"/>
      <c r="AD27" s="302"/>
      <c r="AE27" s="302"/>
      <c r="AF27" s="302"/>
      <c r="AG27" s="302"/>
      <c r="AH27" s="302"/>
      <c r="AI27" s="302"/>
      <c r="AJ27" s="536"/>
      <c r="AK27" s="118"/>
      <c r="AL27" s="117"/>
      <c r="AM27" s="117"/>
      <c r="AN27" s="117"/>
      <c r="AO27" s="305"/>
      <c r="AP27" s="302"/>
      <c r="AQ27" s="302"/>
      <c r="AR27" s="302"/>
      <c r="AS27" s="305"/>
      <c r="AT27" s="117"/>
      <c r="AU27" s="117"/>
      <c r="AV27" s="117"/>
      <c r="AW27" s="117"/>
      <c r="AX27" s="117"/>
      <c r="AY27" s="117"/>
      <c r="AZ27" s="117"/>
      <c r="BA27" s="117"/>
      <c r="BB27" s="117"/>
      <c r="CM27" s="534"/>
      <c r="CN27" s="534"/>
      <c r="CO27" s="534"/>
      <c r="CP27" s="534"/>
      <c r="CQ27" s="534"/>
      <c r="CR27" s="534"/>
      <c r="CS27" s="534"/>
      <c r="CT27" s="534"/>
      <c r="CU27" s="534"/>
      <c r="CV27" s="534"/>
      <c r="CW27" s="534"/>
      <c r="CX27" s="534"/>
      <c r="CY27" s="534"/>
      <c r="CZ27" s="534"/>
      <c r="DA27" s="536"/>
      <c r="DB27" s="535"/>
      <c r="DC27" s="556"/>
      <c r="DD27" s="556"/>
      <c r="DE27" s="556"/>
      <c r="DF27" s="556"/>
      <c r="DG27" s="556"/>
      <c r="DH27" s="556"/>
      <c r="DI27" s="556"/>
      <c r="DJ27" s="556"/>
      <c r="DK27" s="556"/>
      <c r="DL27" s="556"/>
      <c r="DM27" s="556"/>
      <c r="DN27" s="556"/>
      <c r="DO27" s="556"/>
      <c r="DP27" s="556"/>
      <c r="DQ27" s="556"/>
      <c r="DR27" s="556"/>
      <c r="DS27" s="556"/>
      <c r="EH27" s="75"/>
    </row>
    <row r="28" spans="1:138" s="76" customFormat="1" ht="13.5" customHeight="1" thickTop="1" x14ac:dyDescent="0.15">
      <c r="A28" s="110"/>
      <c r="D28" s="105"/>
      <c r="N28" s="549" t="str">
        <f>IF(N36=T36,"",IF(N36&gt;T36,C38,AE38))</f>
        <v/>
      </c>
      <c r="O28" s="549"/>
      <c r="P28" s="549"/>
      <c r="Q28" s="549"/>
      <c r="R28" s="561"/>
      <c r="S28" s="119"/>
      <c r="T28" s="119"/>
      <c r="U28" s="119"/>
      <c r="V28" s="119"/>
      <c r="W28" s="119"/>
      <c r="X28" s="72"/>
      <c r="AC28" s="131"/>
      <c r="AD28" s="131"/>
      <c r="AE28" s="131"/>
      <c r="AF28" s="547"/>
      <c r="AG28" s="547"/>
      <c r="AH28" s="547"/>
      <c r="AI28" s="547"/>
      <c r="AJ28" s="531" t="s">
        <v>72</v>
      </c>
      <c r="AK28" s="531"/>
      <c r="AL28" s="498"/>
      <c r="AM28" s="498"/>
      <c r="AN28" s="498"/>
      <c r="AO28" s="498"/>
      <c r="BC28" s="530"/>
      <c r="BD28" s="548" t="str">
        <f>IF(AX36=BD36,"",IF(AX36&gt;BD36,AM38,BO38))</f>
        <v/>
      </c>
      <c r="BE28" s="548"/>
      <c r="BF28" s="548"/>
      <c r="BG28" s="548"/>
      <c r="CH28" s="549" t="str">
        <f>IF(CH36=CN36,"",IF(CH36&gt;CN36,BW38,CY38))</f>
        <v/>
      </c>
      <c r="CI28" s="549"/>
      <c r="CJ28" s="549"/>
      <c r="CK28" s="549"/>
      <c r="CL28" s="529"/>
      <c r="CW28" s="510"/>
      <c r="CX28" s="510"/>
      <c r="CY28" s="510"/>
      <c r="CZ28" s="510"/>
      <c r="DA28" s="531" t="s">
        <v>72</v>
      </c>
      <c r="DB28" s="531"/>
      <c r="DC28" s="551"/>
      <c r="DD28" s="551"/>
      <c r="DE28" s="551"/>
      <c r="DF28" s="551"/>
      <c r="DG28" s="72"/>
      <c r="DH28" s="72"/>
      <c r="DI28" s="72"/>
      <c r="DQ28" s="72"/>
      <c r="DR28" s="119"/>
      <c r="DS28" s="119"/>
      <c r="DT28" s="563"/>
      <c r="DU28" s="548" t="str">
        <f>IF(DO36=DU36,"",IF(DO36&gt;DU36,DF38,EC38))</f>
        <v/>
      </c>
      <c r="DV28" s="548"/>
      <c r="DW28" s="548"/>
      <c r="DX28" s="548"/>
      <c r="EH28" s="75"/>
    </row>
    <row r="29" spans="1:138" s="76" customFormat="1" ht="13.5" customHeight="1" x14ac:dyDescent="0.15">
      <c r="A29" s="110"/>
      <c r="D29" s="105"/>
      <c r="N29" s="549"/>
      <c r="O29" s="549"/>
      <c r="P29" s="549"/>
      <c r="Q29" s="549"/>
      <c r="R29" s="561"/>
      <c r="S29" s="119"/>
      <c r="T29" s="119"/>
      <c r="U29" s="119"/>
      <c r="V29" s="119"/>
      <c r="W29" s="119"/>
      <c r="X29" s="72"/>
      <c r="AC29" s="131"/>
      <c r="AD29" s="131"/>
      <c r="AE29" s="131"/>
      <c r="AF29" s="500"/>
      <c r="AG29" s="500"/>
      <c r="AH29" s="500"/>
      <c r="AI29" s="500"/>
      <c r="AJ29" s="485" t="s">
        <v>72</v>
      </c>
      <c r="AK29" s="485"/>
      <c r="AL29" s="498"/>
      <c r="AM29" s="498"/>
      <c r="AN29" s="498"/>
      <c r="AO29" s="498"/>
      <c r="BC29" s="530"/>
      <c r="BD29" s="548"/>
      <c r="BE29" s="548"/>
      <c r="BF29" s="548"/>
      <c r="BG29" s="548"/>
      <c r="CH29" s="549"/>
      <c r="CI29" s="549"/>
      <c r="CJ29" s="549"/>
      <c r="CK29" s="549"/>
      <c r="CL29" s="529"/>
      <c r="CW29" s="500"/>
      <c r="CX29" s="500"/>
      <c r="CY29" s="500"/>
      <c r="CZ29" s="500"/>
      <c r="DA29" s="485" t="s">
        <v>72</v>
      </c>
      <c r="DB29" s="485"/>
      <c r="DC29" s="498"/>
      <c r="DD29" s="498"/>
      <c r="DE29" s="498"/>
      <c r="DF29" s="498"/>
      <c r="DG29" s="72"/>
      <c r="DH29" s="72"/>
      <c r="DI29" s="72"/>
      <c r="DQ29" s="72"/>
      <c r="DR29" s="119"/>
      <c r="DS29" s="119"/>
      <c r="DT29" s="563"/>
      <c r="DU29" s="548"/>
      <c r="DV29" s="548"/>
      <c r="DW29" s="548"/>
      <c r="DX29" s="548"/>
      <c r="EH29" s="75"/>
    </row>
    <row r="30" spans="1:138" s="76" customFormat="1" ht="13.5" customHeight="1" x14ac:dyDescent="0.15">
      <c r="A30" s="110"/>
      <c r="D30" s="105"/>
      <c r="N30" s="549"/>
      <c r="O30" s="549"/>
      <c r="P30" s="549"/>
      <c r="Q30" s="549"/>
      <c r="R30" s="561"/>
      <c r="S30" s="119"/>
      <c r="T30" s="119"/>
      <c r="U30" s="119"/>
      <c r="V30" s="119"/>
      <c r="W30" s="119"/>
      <c r="X30" s="72"/>
      <c r="AC30" s="131"/>
      <c r="AD30" s="131"/>
      <c r="AE30" s="131"/>
      <c r="AF30" s="500"/>
      <c r="AG30" s="500"/>
      <c r="AH30" s="500"/>
      <c r="AI30" s="500"/>
      <c r="AJ30" s="501" t="str">
        <f>IF(OR(SUM(AF28:AF29)&lt;&gt;SUM(AL28:AL29),AF29=""),"","－")</f>
        <v/>
      </c>
      <c r="AK30" s="501"/>
      <c r="AL30" s="498"/>
      <c r="AM30" s="498"/>
      <c r="AN30" s="498"/>
      <c r="AO30" s="498"/>
      <c r="BC30" s="530"/>
      <c r="BD30" s="548"/>
      <c r="BE30" s="548"/>
      <c r="BF30" s="548"/>
      <c r="BG30" s="548"/>
      <c r="CH30" s="549"/>
      <c r="CI30" s="549"/>
      <c r="CJ30" s="549"/>
      <c r="CK30" s="549"/>
      <c r="CL30" s="529"/>
      <c r="CW30" s="500"/>
      <c r="CX30" s="500"/>
      <c r="CY30" s="500"/>
      <c r="CZ30" s="500"/>
      <c r="DA30" s="501" t="str">
        <f>IF(OR(SUM(CW28:CW29)&lt;&gt;SUM(DC28:DC29),CW29=""),"","－")</f>
        <v/>
      </c>
      <c r="DB30" s="501"/>
      <c r="DC30" s="498"/>
      <c r="DD30" s="498"/>
      <c r="DE30" s="498"/>
      <c r="DF30" s="498"/>
      <c r="DG30" s="72"/>
      <c r="DH30" s="72"/>
      <c r="DI30" s="72"/>
      <c r="DQ30" s="72"/>
      <c r="DR30" s="119"/>
      <c r="DS30" s="119"/>
      <c r="DT30" s="563"/>
      <c r="DU30" s="548"/>
      <c r="DV30" s="548"/>
      <c r="DW30" s="548"/>
      <c r="DX30" s="548"/>
      <c r="EH30" s="75"/>
    </row>
    <row r="31" spans="1:138" s="76" customFormat="1" ht="13.5" customHeight="1" x14ac:dyDescent="0.15">
      <c r="A31" s="110"/>
      <c r="D31" s="105"/>
      <c r="N31" s="549"/>
      <c r="O31" s="549"/>
      <c r="P31" s="549"/>
      <c r="Q31" s="549"/>
      <c r="R31" s="561"/>
      <c r="S31" s="119"/>
      <c r="T31" s="119"/>
      <c r="U31" s="119"/>
      <c r="V31" s="119"/>
      <c r="W31" s="119"/>
      <c r="X31" s="72"/>
      <c r="AC31" s="131"/>
      <c r="AD31" s="131"/>
      <c r="AE31" s="131"/>
      <c r="AF31" s="500"/>
      <c r="AG31" s="500"/>
      <c r="AH31" s="500"/>
      <c r="AI31" s="500"/>
      <c r="AJ31" s="501" t="str">
        <f>IF(OR(SUM(AF28:AF29)&lt;&gt;SUM(AL28:AL29),AF29=""),"","－")</f>
        <v/>
      </c>
      <c r="AK31" s="501"/>
      <c r="AL31" s="498"/>
      <c r="AM31" s="498"/>
      <c r="AN31" s="498"/>
      <c r="AO31" s="498"/>
      <c r="BC31" s="530"/>
      <c r="BD31" s="548"/>
      <c r="BE31" s="548"/>
      <c r="BF31" s="548"/>
      <c r="BG31" s="548"/>
      <c r="CH31" s="549"/>
      <c r="CI31" s="549"/>
      <c r="CJ31" s="549"/>
      <c r="CK31" s="549"/>
      <c r="CL31" s="529"/>
      <c r="CW31" s="500"/>
      <c r="CX31" s="500"/>
      <c r="CY31" s="500"/>
      <c r="CZ31" s="500"/>
      <c r="DA31" s="501" t="str">
        <f>IF(OR(SUM(CW28:CW29)&lt;&gt;SUM(DC28:DC29),CW29=""),"","－")</f>
        <v/>
      </c>
      <c r="DB31" s="501"/>
      <c r="DC31" s="498"/>
      <c r="DD31" s="498"/>
      <c r="DE31" s="498"/>
      <c r="DF31" s="498"/>
      <c r="DG31" s="72"/>
      <c r="DH31" s="72"/>
      <c r="DI31" s="72"/>
      <c r="DQ31" s="72"/>
      <c r="DR31" s="119"/>
      <c r="DS31" s="119"/>
      <c r="DT31" s="563"/>
      <c r="DU31" s="548"/>
      <c r="DV31" s="548"/>
      <c r="DW31" s="548"/>
      <c r="DX31" s="548"/>
      <c r="EH31" s="75"/>
    </row>
    <row r="32" spans="1:138" s="123" customFormat="1" ht="13.5" customHeight="1" x14ac:dyDescent="0.2">
      <c r="A32" s="122"/>
      <c r="D32" s="124"/>
      <c r="N32" s="549"/>
      <c r="O32" s="549"/>
      <c r="P32" s="549"/>
      <c r="Q32" s="549"/>
      <c r="R32" s="561"/>
      <c r="S32" s="119"/>
      <c r="T32" s="119"/>
      <c r="U32" s="119"/>
      <c r="V32" s="119"/>
      <c r="W32" s="119"/>
      <c r="X32" s="72"/>
      <c r="AC32" s="120"/>
      <c r="AD32" s="120"/>
      <c r="AE32" s="120"/>
      <c r="AF32" s="120"/>
      <c r="AG32" s="120"/>
      <c r="AH32" s="120"/>
      <c r="AI32" s="499" t="str">
        <f>IF(OR(SUM(AF28:AF31)&lt;&gt;SUM(AL28:AL31),AF31=""),"","PK")</f>
        <v/>
      </c>
      <c r="AJ32" s="499"/>
      <c r="AK32" s="499"/>
      <c r="AL32" s="499"/>
      <c r="AM32" s="121"/>
      <c r="AN32" s="121"/>
      <c r="AO32" s="121"/>
      <c r="BC32" s="530"/>
      <c r="BD32" s="548"/>
      <c r="BE32" s="548"/>
      <c r="BF32" s="548"/>
      <c r="BG32" s="548"/>
      <c r="CH32" s="549"/>
      <c r="CI32" s="549"/>
      <c r="CJ32" s="549"/>
      <c r="CK32" s="549"/>
      <c r="CL32" s="529"/>
      <c r="CW32" s="120"/>
      <c r="CX32" s="120"/>
      <c r="CY32" s="120"/>
      <c r="CZ32" s="499" t="str">
        <f>IF(OR(SUM(CW28:CW31)&lt;&gt;SUM(DC28:DC31),CW31=""),"","PK")</f>
        <v/>
      </c>
      <c r="DA32" s="499"/>
      <c r="DB32" s="499"/>
      <c r="DC32" s="499"/>
      <c r="DD32" s="121"/>
      <c r="DE32" s="121"/>
      <c r="DF32" s="121"/>
      <c r="DQ32" s="72"/>
      <c r="DR32" s="119"/>
      <c r="DS32" s="119"/>
      <c r="DT32" s="563"/>
      <c r="DU32" s="548"/>
      <c r="DV32" s="548"/>
      <c r="DW32" s="548"/>
      <c r="DX32" s="548"/>
      <c r="EH32" s="120"/>
    </row>
    <row r="33" spans="1:138" s="76" customFormat="1" ht="13.5" customHeight="1" x14ac:dyDescent="0.15">
      <c r="A33" s="110"/>
      <c r="D33" s="105"/>
      <c r="N33" s="549"/>
      <c r="O33" s="549"/>
      <c r="P33" s="549"/>
      <c r="Q33" s="549"/>
      <c r="R33" s="561"/>
      <c r="S33" s="119"/>
      <c r="T33" s="119"/>
      <c r="U33" s="119"/>
      <c r="V33" s="119"/>
      <c r="W33" s="119"/>
      <c r="X33" s="72"/>
      <c r="AC33" s="131"/>
      <c r="AD33" s="131"/>
      <c r="AE33" s="131"/>
      <c r="AF33" s="500"/>
      <c r="AG33" s="500"/>
      <c r="AH33" s="500"/>
      <c r="AI33" s="500"/>
      <c r="AJ33" s="501" t="str">
        <f>IF(OR(SUM(AF28:AF31)&lt;&gt;SUM(AL28:AL31),AF31=""),"","－")</f>
        <v/>
      </c>
      <c r="AK33" s="501"/>
      <c r="AL33" s="498"/>
      <c r="AM33" s="498"/>
      <c r="AN33" s="498"/>
      <c r="AO33" s="498"/>
      <c r="BC33" s="530"/>
      <c r="BD33" s="548"/>
      <c r="BE33" s="548"/>
      <c r="BF33" s="548"/>
      <c r="BG33" s="548"/>
      <c r="CH33" s="549"/>
      <c r="CI33" s="549"/>
      <c r="CJ33" s="549"/>
      <c r="CK33" s="549"/>
      <c r="CL33" s="529"/>
      <c r="CW33" s="500"/>
      <c r="CX33" s="500"/>
      <c r="CY33" s="500"/>
      <c r="CZ33" s="500"/>
      <c r="DA33" s="501" t="str">
        <f>IF(OR(SUM(CW28:CW31)&lt;&gt;SUM(DC28:DC31),CW31=""),"","－")</f>
        <v/>
      </c>
      <c r="DB33" s="501"/>
      <c r="DC33" s="498"/>
      <c r="DD33" s="498"/>
      <c r="DE33" s="498"/>
      <c r="DF33" s="498"/>
      <c r="DG33" s="72"/>
      <c r="DH33" s="72"/>
      <c r="DI33" s="72"/>
      <c r="DQ33" s="72"/>
      <c r="DR33" s="119"/>
      <c r="DS33" s="119"/>
      <c r="DT33" s="563"/>
      <c r="DU33" s="548"/>
      <c r="DV33" s="548"/>
      <c r="DW33" s="548"/>
      <c r="DX33" s="548"/>
      <c r="EH33" s="75"/>
    </row>
    <row r="34" spans="1:138" s="126" customFormat="1" ht="13.5" customHeight="1" x14ac:dyDescent="0.15">
      <c r="A34" s="125"/>
      <c r="D34" s="127"/>
      <c r="R34" s="561"/>
      <c r="X34" s="72"/>
      <c r="AC34" s="131"/>
      <c r="AD34" s="131"/>
      <c r="AE34" s="131"/>
      <c r="AI34" s="126" t="str">
        <f>IF(AF33="","","PK")</f>
        <v/>
      </c>
      <c r="BC34" s="530"/>
      <c r="CL34" s="529"/>
      <c r="CZ34" s="526" t="str">
        <f>IF(CW33="","","PK")</f>
        <v/>
      </c>
      <c r="DA34" s="526"/>
      <c r="DB34" s="526"/>
      <c r="DC34" s="526"/>
      <c r="DG34" s="134"/>
      <c r="DH34" s="134"/>
      <c r="DI34" s="134"/>
      <c r="DQ34" s="72"/>
      <c r="DT34" s="563"/>
      <c r="EH34" s="128"/>
    </row>
    <row r="35" spans="1:138" s="76" customFormat="1" ht="13.5" customHeight="1" x14ac:dyDescent="0.15">
      <c r="A35" s="110"/>
      <c r="D35" s="105"/>
      <c r="N35" s="538" t="str">
        <f>IF(N38="","",SUM(N38:N41))</f>
        <v/>
      </c>
      <c r="O35" s="538"/>
      <c r="P35" s="538"/>
      <c r="Q35" s="538"/>
      <c r="R35" s="561"/>
      <c r="S35" s="72"/>
      <c r="T35" s="537" t="str">
        <f>IF(T38="","",SUM(T38:T41))</f>
        <v/>
      </c>
      <c r="U35" s="537"/>
      <c r="V35" s="537"/>
      <c r="W35" s="537"/>
      <c r="X35" s="72"/>
      <c r="Y35" s="72"/>
      <c r="Z35" s="72"/>
      <c r="AA35" s="72"/>
      <c r="AB35" s="72"/>
      <c r="AC35" s="72"/>
      <c r="AX35" s="538" t="str">
        <f>IF(AX38="","",SUM(AX38:AX41))</f>
        <v/>
      </c>
      <c r="AY35" s="538"/>
      <c r="AZ35" s="538"/>
      <c r="BA35" s="538"/>
      <c r="BC35" s="530"/>
      <c r="BD35" s="537" t="str">
        <f>IF(BD38="","",SUM(BD38:BD41))</f>
        <v/>
      </c>
      <c r="BE35" s="537"/>
      <c r="BF35" s="537"/>
      <c r="BG35" s="537"/>
      <c r="CH35" s="538" t="str">
        <f>IF(CH38="","",SUM(CH38:CH41))</f>
        <v/>
      </c>
      <c r="CI35" s="538"/>
      <c r="CJ35" s="538"/>
      <c r="CK35" s="538"/>
      <c r="CL35" s="529"/>
      <c r="CN35" s="537" t="str">
        <f>IF(CN38="","",SUM(CN38:CN41))</f>
        <v/>
      </c>
      <c r="CO35" s="537"/>
      <c r="CP35" s="537"/>
      <c r="CQ35" s="537"/>
      <c r="DL35" s="72" t="str">
        <f>IF(DL38="","",SUM(DL38:DO41))</f>
        <v/>
      </c>
      <c r="DM35" s="72"/>
      <c r="DN35" s="72"/>
      <c r="DO35" s="538" t="str">
        <f>IF(DO38="","",SUM(DO38:DO41))</f>
        <v/>
      </c>
      <c r="DP35" s="538"/>
      <c r="DQ35" s="538"/>
      <c r="DR35" s="538"/>
      <c r="DS35" s="72"/>
      <c r="DT35" s="563"/>
      <c r="DU35" s="537" t="str">
        <f>IF(DU38="","",SUM(DU38:DU41))</f>
        <v/>
      </c>
      <c r="DV35" s="537"/>
      <c r="DW35" s="537"/>
      <c r="DX35" s="537"/>
      <c r="EH35" s="75"/>
    </row>
    <row r="36" spans="1:138" s="114" customFormat="1" ht="13.5" hidden="1" customHeight="1" x14ac:dyDescent="0.15">
      <c r="A36" s="129"/>
      <c r="D36" s="115"/>
      <c r="N36" s="539">
        <f>SUM(N38:N43)</f>
        <v>0</v>
      </c>
      <c r="O36" s="539"/>
      <c r="P36" s="539"/>
      <c r="Q36" s="539"/>
      <c r="R36" s="561"/>
      <c r="S36" s="130"/>
      <c r="T36" s="540">
        <f>SUM(T38:T43)</f>
        <v>0</v>
      </c>
      <c r="U36" s="540"/>
      <c r="V36" s="540"/>
      <c r="W36" s="540"/>
      <c r="X36" s="142"/>
      <c r="Y36" s="142"/>
      <c r="Z36" s="142"/>
      <c r="AA36" s="130"/>
      <c r="AB36" s="130"/>
      <c r="AC36" s="130"/>
      <c r="AX36" s="539">
        <f>SUM(AX38:AX43)</f>
        <v>0</v>
      </c>
      <c r="AY36" s="539"/>
      <c r="AZ36" s="539"/>
      <c r="BA36" s="539"/>
      <c r="BC36" s="530"/>
      <c r="BD36" s="540">
        <f>SUM(BD38:BE43)</f>
        <v>0</v>
      </c>
      <c r="BE36" s="540"/>
      <c r="BF36" s="540"/>
      <c r="BG36" s="540"/>
      <c r="CH36" s="539">
        <f>SUM(CH38:CH43)</f>
        <v>0</v>
      </c>
      <c r="CI36" s="539"/>
      <c r="CJ36" s="539"/>
      <c r="CK36" s="539"/>
      <c r="CL36" s="529"/>
      <c r="CN36" s="540">
        <f>SUM(CN38:CO43)</f>
        <v>0</v>
      </c>
      <c r="CO36" s="540"/>
      <c r="CP36" s="540"/>
      <c r="CQ36" s="540"/>
      <c r="DL36" s="130"/>
      <c r="DM36" s="130"/>
      <c r="DN36" s="130"/>
      <c r="DO36" s="539">
        <f>SUM(DO38:DO43)</f>
        <v>0</v>
      </c>
      <c r="DP36" s="539"/>
      <c r="DQ36" s="539"/>
      <c r="DR36" s="539"/>
      <c r="DS36" s="130"/>
      <c r="DT36" s="563"/>
      <c r="DU36" s="540">
        <f>SUM(DU38:DU43)</f>
        <v>0</v>
      </c>
      <c r="DV36" s="540"/>
      <c r="DW36" s="540"/>
      <c r="DX36" s="540"/>
      <c r="EH36" s="116"/>
    </row>
    <row r="37" spans="1:138" s="76" customFormat="1" ht="3.75" customHeight="1" thickBot="1" x14ac:dyDescent="0.2">
      <c r="A37" s="110"/>
      <c r="D37" s="105"/>
      <c r="H37" s="534"/>
      <c r="I37" s="534"/>
      <c r="J37" s="534"/>
      <c r="K37" s="534"/>
      <c r="L37" s="534"/>
      <c r="M37" s="534"/>
      <c r="N37" s="534"/>
      <c r="O37" s="534"/>
      <c r="P37" s="534"/>
      <c r="Q37" s="534"/>
      <c r="R37" s="562"/>
      <c r="S37" s="535"/>
      <c r="T37" s="534"/>
      <c r="U37" s="534"/>
      <c r="V37" s="534"/>
      <c r="W37" s="534"/>
      <c r="X37" s="534"/>
      <c r="Y37" s="534"/>
      <c r="Z37" s="534"/>
      <c r="AA37" s="534"/>
      <c r="AB37" s="534"/>
      <c r="AC37" s="534"/>
      <c r="AD37" s="72"/>
      <c r="AR37" s="534"/>
      <c r="AS37" s="534"/>
      <c r="AT37" s="534"/>
      <c r="AU37" s="534"/>
      <c r="AV37" s="534"/>
      <c r="AW37" s="534"/>
      <c r="AX37" s="534"/>
      <c r="AY37" s="534"/>
      <c r="AZ37" s="534"/>
      <c r="BA37" s="534"/>
      <c r="BB37" s="536"/>
      <c r="BC37" s="535"/>
      <c r="BD37" s="534"/>
      <c r="BE37" s="534"/>
      <c r="BF37" s="534"/>
      <c r="BG37" s="534"/>
      <c r="BH37" s="534"/>
      <c r="BI37" s="534"/>
      <c r="BJ37" s="534"/>
      <c r="BK37" s="534"/>
      <c r="BL37" s="534"/>
      <c r="BM37" s="534"/>
      <c r="CB37" s="534"/>
      <c r="CC37" s="534"/>
      <c r="CD37" s="534"/>
      <c r="CE37" s="534"/>
      <c r="CF37" s="534"/>
      <c r="CG37" s="534"/>
      <c r="CH37" s="534"/>
      <c r="CI37" s="534"/>
      <c r="CJ37" s="534"/>
      <c r="CK37" s="534"/>
      <c r="CL37" s="536"/>
      <c r="CM37" s="535"/>
      <c r="CN37" s="534"/>
      <c r="CO37" s="534"/>
      <c r="CP37" s="534"/>
      <c r="CQ37" s="534"/>
      <c r="CR37" s="534"/>
      <c r="CS37" s="534"/>
      <c r="CT37" s="534"/>
      <c r="CU37" s="534"/>
      <c r="CV37" s="534"/>
      <c r="CW37" s="534"/>
      <c r="DF37" s="72"/>
      <c r="DG37" s="72"/>
      <c r="DH37" s="72"/>
      <c r="DI37" s="72"/>
      <c r="DJ37" s="72"/>
      <c r="DK37" s="534"/>
      <c r="DL37" s="534"/>
      <c r="DM37" s="534"/>
      <c r="DN37" s="534"/>
      <c r="DO37" s="534"/>
      <c r="DP37" s="534"/>
      <c r="DQ37" s="534"/>
      <c r="DR37" s="534"/>
      <c r="DS37" s="536"/>
      <c r="DT37" s="564"/>
      <c r="DU37" s="534"/>
      <c r="DV37" s="534"/>
      <c r="DW37" s="534"/>
      <c r="DX37" s="534"/>
      <c r="DY37" s="534"/>
      <c r="DZ37" s="534"/>
      <c r="EA37" s="534"/>
      <c r="EH37" s="75"/>
    </row>
    <row r="38" spans="1:138" s="76" customFormat="1" ht="13.5" customHeight="1" thickTop="1" x14ac:dyDescent="0.15">
      <c r="A38" s="110"/>
      <c r="C38" s="549" t="str">
        <f>IF(C46=I46,"",IF(C46&gt;I46,B66,N48))</f>
        <v/>
      </c>
      <c r="D38" s="549"/>
      <c r="E38" s="549"/>
      <c r="F38" s="549"/>
      <c r="G38" s="529"/>
      <c r="N38" s="510"/>
      <c r="O38" s="510"/>
      <c r="P38" s="510"/>
      <c r="Q38" s="510"/>
      <c r="R38" s="531" t="s">
        <v>72</v>
      </c>
      <c r="S38" s="531"/>
      <c r="T38" s="532"/>
      <c r="U38" s="532"/>
      <c r="V38" s="532"/>
      <c r="W38" s="532"/>
      <c r="X38" s="97"/>
      <c r="Y38" s="97"/>
      <c r="Z38" s="97"/>
      <c r="AA38" s="119"/>
      <c r="AB38" s="119"/>
      <c r="AD38" s="553"/>
      <c r="AE38" s="548" t="str">
        <f>IF(Y46=AE46,"",IF(Y46&gt;AE46,Z66,AF66))</f>
        <v/>
      </c>
      <c r="AF38" s="548"/>
      <c r="AG38" s="548"/>
      <c r="AH38" s="548"/>
      <c r="AM38" s="549" t="str">
        <f>IF(AM46=AS46,"",IF(AM46&gt;AS46,AL66,AX48))</f>
        <v/>
      </c>
      <c r="AN38" s="549"/>
      <c r="AO38" s="549"/>
      <c r="AP38" s="549"/>
      <c r="AQ38" s="529"/>
      <c r="AX38" s="510"/>
      <c r="AY38" s="510"/>
      <c r="AZ38" s="510"/>
      <c r="BA38" s="510"/>
      <c r="BB38" s="531" t="s">
        <v>72</v>
      </c>
      <c r="BC38" s="531"/>
      <c r="BD38" s="532"/>
      <c r="BE38" s="532"/>
      <c r="BF38" s="532"/>
      <c r="BG38" s="532"/>
      <c r="BN38" s="530"/>
      <c r="BO38" s="548" t="str">
        <f>IF(BI46=BO46,"",IF(BI46&gt;BO46,BD48,BP66))</f>
        <v/>
      </c>
      <c r="BP38" s="548"/>
      <c r="BQ38" s="548"/>
      <c r="BR38" s="548"/>
      <c r="BW38" s="549" t="str">
        <f>IF(BW46=CC46,"",IF(BW46&gt;CC46,BV66,CH48))</f>
        <v/>
      </c>
      <c r="BX38" s="549"/>
      <c r="BY38" s="549"/>
      <c r="BZ38" s="549"/>
      <c r="CA38" s="529"/>
      <c r="CH38" s="510"/>
      <c r="CI38" s="510"/>
      <c r="CJ38" s="510"/>
      <c r="CK38" s="510"/>
      <c r="CL38" s="531" t="s">
        <v>72</v>
      </c>
      <c r="CM38" s="531"/>
      <c r="CN38" s="532"/>
      <c r="CO38" s="532"/>
      <c r="CP38" s="532"/>
      <c r="CQ38" s="532"/>
      <c r="CX38" s="530"/>
      <c r="CY38" s="548" t="str">
        <f>IF(CS46=CY46,"",IF(CS46&gt;CY46,CN48,CZ66))</f>
        <v/>
      </c>
      <c r="CZ38" s="548"/>
      <c r="DA38" s="548"/>
      <c r="DB38" s="548"/>
      <c r="DF38" s="549" t="str">
        <f>IF(DF46=DL46,"",IF(DF46&gt;DL46,DF66,DL66))</f>
        <v/>
      </c>
      <c r="DG38" s="549"/>
      <c r="DH38" s="549"/>
      <c r="DI38" s="549"/>
      <c r="DJ38" s="529"/>
      <c r="DK38" s="135"/>
      <c r="DL38" s="136"/>
      <c r="DM38" s="136"/>
      <c r="DN38" s="136"/>
      <c r="DO38" s="510"/>
      <c r="DP38" s="510"/>
      <c r="DQ38" s="510"/>
      <c r="DR38" s="510"/>
      <c r="DS38" s="531" t="s">
        <v>72</v>
      </c>
      <c r="DT38" s="531"/>
      <c r="DU38" s="532"/>
      <c r="DV38" s="532"/>
      <c r="DW38" s="532"/>
      <c r="DX38" s="532"/>
      <c r="DY38" s="135"/>
      <c r="DZ38" s="135"/>
      <c r="EA38" s="137"/>
      <c r="EB38" s="530"/>
      <c r="EC38" s="548" t="str">
        <f>IF(DW46=EC46,"",IF(DW46&gt;EC46,DR48,ED66))</f>
        <v/>
      </c>
      <c r="ED38" s="548"/>
      <c r="EE38" s="548"/>
      <c r="EF38" s="548"/>
      <c r="EH38" s="75"/>
    </row>
    <row r="39" spans="1:138" s="76" customFormat="1" ht="13.5" customHeight="1" x14ac:dyDescent="0.15">
      <c r="A39" s="110"/>
      <c r="C39" s="549"/>
      <c r="D39" s="549"/>
      <c r="E39" s="549"/>
      <c r="F39" s="549"/>
      <c r="G39" s="529"/>
      <c r="N39" s="500"/>
      <c r="O39" s="500"/>
      <c r="P39" s="500"/>
      <c r="Q39" s="500"/>
      <c r="R39" s="485" t="s">
        <v>72</v>
      </c>
      <c r="S39" s="485"/>
      <c r="T39" s="498"/>
      <c r="U39" s="498"/>
      <c r="V39" s="498"/>
      <c r="W39" s="498"/>
      <c r="X39" s="97"/>
      <c r="Y39" s="97"/>
      <c r="Z39" s="97"/>
      <c r="AA39" s="119"/>
      <c r="AB39" s="119"/>
      <c r="AD39" s="553"/>
      <c r="AE39" s="548"/>
      <c r="AF39" s="548"/>
      <c r="AG39" s="548"/>
      <c r="AH39" s="548"/>
      <c r="AM39" s="549"/>
      <c r="AN39" s="549"/>
      <c r="AO39" s="549"/>
      <c r="AP39" s="549"/>
      <c r="AQ39" s="529"/>
      <c r="AX39" s="500"/>
      <c r="AY39" s="500"/>
      <c r="AZ39" s="500"/>
      <c r="BA39" s="500"/>
      <c r="BB39" s="485" t="s">
        <v>72</v>
      </c>
      <c r="BC39" s="485"/>
      <c r="BD39" s="498"/>
      <c r="BE39" s="498"/>
      <c r="BF39" s="498"/>
      <c r="BG39" s="498"/>
      <c r="BN39" s="530"/>
      <c r="BO39" s="548"/>
      <c r="BP39" s="548"/>
      <c r="BQ39" s="548"/>
      <c r="BR39" s="548"/>
      <c r="BW39" s="549"/>
      <c r="BX39" s="549"/>
      <c r="BY39" s="549"/>
      <c r="BZ39" s="549"/>
      <c r="CA39" s="529"/>
      <c r="CH39" s="500"/>
      <c r="CI39" s="500"/>
      <c r="CJ39" s="500"/>
      <c r="CK39" s="500"/>
      <c r="CL39" s="485" t="s">
        <v>72</v>
      </c>
      <c r="CM39" s="485"/>
      <c r="CN39" s="498"/>
      <c r="CO39" s="498"/>
      <c r="CP39" s="498"/>
      <c r="CQ39" s="498"/>
      <c r="CX39" s="530"/>
      <c r="CY39" s="548"/>
      <c r="CZ39" s="548"/>
      <c r="DA39" s="548"/>
      <c r="DB39" s="548"/>
      <c r="DF39" s="549"/>
      <c r="DG39" s="549"/>
      <c r="DH39" s="549"/>
      <c r="DI39" s="549"/>
      <c r="DJ39" s="529"/>
      <c r="DL39" s="131"/>
      <c r="DM39" s="131"/>
      <c r="DN39" s="131"/>
      <c r="DO39" s="500"/>
      <c r="DP39" s="500"/>
      <c r="DQ39" s="500"/>
      <c r="DR39" s="500"/>
      <c r="DS39" s="485" t="s">
        <v>72</v>
      </c>
      <c r="DT39" s="485"/>
      <c r="DU39" s="498"/>
      <c r="DV39" s="498"/>
      <c r="DW39" s="498"/>
      <c r="DX39" s="498"/>
      <c r="EA39" s="138"/>
      <c r="EB39" s="530"/>
      <c r="EC39" s="548"/>
      <c r="ED39" s="548"/>
      <c r="EE39" s="548"/>
      <c r="EF39" s="548"/>
      <c r="EH39" s="75"/>
    </row>
    <row r="40" spans="1:138" s="76" customFormat="1" ht="13.5" customHeight="1" x14ac:dyDescent="0.15">
      <c r="A40" s="110"/>
      <c r="C40" s="549"/>
      <c r="D40" s="549"/>
      <c r="E40" s="549"/>
      <c r="F40" s="549"/>
      <c r="G40" s="529"/>
      <c r="N40" s="500"/>
      <c r="O40" s="500"/>
      <c r="P40" s="500"/>
      <c r="Q40" s="500"/>
      <c r="R40" s="501" t="str">
        <f>IF(OR(SUM(N38:N39)&lt;&gt;SUM(T38:T39),N39=""),"","－")</f>
        <v/>
      </c>
      <c r="S40" s="501"/>
      <c r="T40" s="498"/>
      <c r="U40" s="498"/>
      <c r="V40" s="498"/>
      <c r="W40" s="498"/>
      <c r="X40" s="97"/>
      <c r="Y40" s="97"/>
      <c r="Z40" s="97"/>
      <c r="AA40" s="119"/>
      <c r="AB40" s="119"/>
      <c r="AD40" s="553"/>
      <c r="AE40" s="548"/>
      <c r="AF40" s="548"/>
      <c r="AG40" s="548"/>
      <c r="AH40" s="548"/>
      <c r="AM40" s="549"/>
      <c r="AN40" s="549"/>
      <c r="AO40" s="549"/>
      <c r="AP40" s="549"/>
      <c r="AQ40" s="529"/>
      <c r="AX40" s="500"/>
      <c r="AY40" s="500"/>
      <c r="AZ40" s="500"/>
      <c r="BA40" s="500"/>
      <c r="BB40" s="501" t="str">
        <f>IF(OR(SUM(AX38:AX39)&lt;&gt;SUM(BD38:BD39),AX39=""),"","－")</f>
        <v/>
      </c>
      <c r="BC40" s="501"/>
      <c r="BD40" s="498"/>
      <c r="BE40" s="498"/>
      <c r="BF40" s="498"/>
      <c r="BG40" s="498"/>
      <c r="BN40" s="530"/>
      <c r="BO40" s="548"/>
      <c r="BP40" s="548"/>
      <c r="BQ40" s="548"/>
      <c r="BR40" s="548"/>
      <c r="BW40" s="549"/>
      <c r="BX40" s="549"/>
      <c r="BY40" s="549"/>
      <c r="BZ40" s="549"/>
      <c r="CA40" s="529"/>
      <c r="CH40" s="500"/>
      <c r="CI40" s="500"/>
      <c r="CJ40" s="500"/>
      <c r="CK40" s="500"/>
      <c r="CL40" s="501" t="str">
        <f>IF(OR(SUM(CH38:CH39)&lt;&gt;SUM(CN38:CN39),CH39=""),"","－")</f>
        <v/>
      </c>
      <c r="CM40" s="501"/>
      <c r="CN40" s="498"/>
      <c r="CO40" s="498"/>
      <c r="CP40" s="498"/>
      <c r="CQ40" s="498"/>
      <c r="CX40" s="530"/>
      <c r="CY40" s="548"/>
      <c r="CZ40" s="548"/>
      <c r="DA40" s="548"/>
      <c r="DB40" s="548"/>
      <c r="DF40" s="549"/>
      <c r="DG40" s="549"/>
      <c r="DH40" s="549"/>
      <c r="DI40" s="549"/>
      <c r="DJ40" s="529"/>
      <c r="DL40" s="131"/>
      <c r="DM40" s="131"/>
      <c r="DN40" s="131"/>
      <c r="DO40" s="500"/>
      <c r="DP40" s="500"/>
      <c r="DQ40" s="500"/>
      <c r="DR40" s="500"/>
      <c r="DS40" s="501" t="str">
        <f>IF(OR(SUM(DO38:DO39)&lt;&gt;SUM(DU38:DU39),DO39=""),"","－")</f>
        <v/>
      </c>
      <c r="DT40" s="501"/>
      <c r="DU40" s="498"/>
      <c r="DV40" s="498"/>
      <c r="DW40" s="498"/>
      <c r="DX40" s="498"/>
      <c r="EB40" s="530"/>
      <c r="EC40" s="548"/>
      <c r="ED40" s="548"/>
      <c r="EE40" s="548"/>
      <c r="EF40" s="548"/>
      <c r="EH40" s="75"/>
    </row>
    <row r="41" spans="1:138" s="76" customFormat="1" ht="13.5" customHeight="1" x14ac:dyDescent="0.15">
      <c r="A41" s="110"/>
      <c r="C41" s="549"/>
      <c r="D41" s="549"/>
      <c r="E41" s="549"/>
      <c r="F41" s="549"/>
      <c r="G41" s="529"/>
      <c r="N41" s="500"/>
      <c r="O41" s="500"/>
      <c r="P41" s="500"/>
      <c r="Q41" s="500"/>
      <c r="R41" s="501" t="str">
        <f>IF(OR(SUM(N38:N39)&lt;&gt;SUM(T38:T39),N39=""),"","－")</f>
        <v/>
      </c>
      <c r="S41" s="501"/>
      <c r="T41" s="498"/>
      <c r="U41" s="498"/>
      <c r="V41" s="498"/>
      <c r="W41" s="498"/>
      <c r="X41" s="97"/>
      <c r="Y41" s="97"/>
      <c r="Z41" s="97"/>
      <c r="AA41" s="119"/>
      <c r="AB41" s="119"/>
      <c r="AD41" s="553"/>
      <c r="AE41" s="548"/>
      <c r="AF41" s="548"/>
      <c r="AG41" s="548"/>
      <c r="AH41" s="548"/>
      <c r="AM41" s="549"/>
      <c r="AN41" s="549"/>
      <c r="AO41" s="549"/>
      <c r="AP41" s="549"/>
      <c r="AQ41" s="529"/>
      <c r="AX41" s="500"/>
      <c r="AY41" s="500"/>
      <c r="AZ41" s="500"/>
      <c r="BA41" s="500"/>
      <c r="BB41" s="501" t="str">
        <f>IF(OR(SUM(AX38:AX39)&lt;&gt;SUM(BD38:BD39),AX39=""),"","－")</f>
        <v/>
      </c>
      <c r="BC41" s="501"/>
      <c r="BD41" s="498"/>
      <c r="BE41" s="498"/>
      <c r="BF41" s="498"/>
      <c r="BG41" s="498"/>
      <c r="BN41" s="530"/>
      <c r="BO41" s="548"/>
      <c r="BP41" s="548"/>
      <c r="BQ41" s="548"/>
      <c r="BR41" s="548"/>
      <c r="BW41" s="549"/>
      <c r="BX41" s="549"/>
      <c r="BY41" s="549"/>
      <c r="BZ41" s="549"/>
      <c r="CA41" s="529"/>
      <c r="CH41" s="500"/>
      <c r="CI41" s="500"/>
      <c r="CJ41" s="500"/>
      <c r="CK41" s="500"/>
      <c r="CL41" s="501" t="str">
        <f>IF(OR(SUM(CH38:CH39)&lt;&gt;SUM(CN38:CN39),CH39=""),"","－")</f>
        <v/>
      </c>
      <c r="CM41" s="501"/>
      <c r="CN41" s="498"/>
      <c r="CO41" s="498"/>
      <c r="CP41" s="498"/>
      <c r="CQ41" s="498"/>
      <c r="CX41" s="530"/>
      <c r="CY41" s="548"/>
      <c r="CZ41" s="548"/>
      <c r="DA41" s="548"/>
      <c r="DB41" s="548"/>
      <c r="DF41" s="549"/>
      <c r="DG41" s="549"/>
      <c r="DH41" s="549"/>
      <c r="DI41" s="549"/>
      <c r="DJ41" s="529"/>
      <c r="DL41" s="131"/>
      <c r="DM41" s="131"/>
      <c r="DN41" s="131"/>
      <c r="DO41" s="500"/>
      <c r="DP41" s="500"/>
      <c r="DQ41" s="500"/>
      <c r="DR41" s="500"/>
      <c r="DS41" s="501" t="str">
        <f>IF(OR(SUM(DO38:DO39)&lt;&gt;SUM(DU38:DU39),DO39=""),"","－")</f>
        <v/>
      </c>
      <c r="DT41" s="501"/>
      <c r="DU41" s="498"/>
      <c r="DV41" s="498"/>
      <c r="DW41" s="498"/>
      <c r="DX41" s="498"/>
      <c r="EB41" s="530"/>
      <c r="EC41" s="548"/>
      <c r="ED41" s="548"/>
      <c r="EE41" s="548"/>
      <c r="EF41" s="548"/>
      <c r="EH41" s="75"/>
    </row>
    <row r="42" spans="1:138" s="123" customFormat="1" ht="13.5" customHeight="1" x14ac:dyDescent="0.2">
      <c r="A42" s="122"/>
      <c r="C42" s="549"/>
      <c r="D42" s="549"/>
      <c r="E42" s="549"/>
      <c r="F42" s="549"/>
      <c r="G42" s="529"/>
      <c r="N42" s="120"/>
      <c r="O42" s="120"/>
      <c r="P42" s="120"/>
      <c r="Q42" s="499" t="str">
        <f>IF(OR(SUM(N38:N41)&lt;&gt;SUM(T38:T41),N41=""),"","PK")</f>
        <v/>
      </c>
      <c r="R42" s="499"/>
      <c r="S42" s="499"/>
      <c r="T42" s="499"/>
      <c r="X42" s="121"/>
      <c r="Y42" s="121"/>
      <c r="Z42" s="121"/>
      <c r="AA42" s="119"/>
      <c r="AB42" s="119"/>
      <c r="AD42" s="553"/>
      <c r="AE42" s="548"/>
      <c r="AF42" s="548"/>
      <c r="AG42" s="548"/>
      <c r="AH42" s="548"/>
      <c r="AM42" s="549"/>
      <c r="AN42" s="549"/>
      <c r="AO42" s="549"/>
      <c r="AP42" s="549"/>
      <c r="AQ42" s="529"/>
      <c r="AX42" s="120"/>
      <c r="AY42" s="120"/>
      <c r="AZ42" s="120"/>
      <c r="BA42" s="499" t="str">
        <f>IF(OR(SUM(AX38:AX41)&lt;&gt;SUM(BD38:BD41),AX41=""),"","PK")</f>
        <v/>
      </c>
      <c r="BB42" s="499"/>
      <c r="BC42" s="499"/>
      <c r="BD42" s="499"/>
      <c r="BN42" s="530"/>
      <c r="BO42" s="548"/>
      <c r="BP42" s="548"/>
      <c r="BQ42" s="548"/>
      <c r="BR42" s="548"/>
      <c r="BW42" s="549"/>
      <c r="BX42" s="549"/>
      <c r="BY42" s="549"/>
      <c r="BZ42" s="549"/>
      <c r="CA42" s="529"/>
      <c r="CH42" s="120"/>
      <c r="CI42" s="120"/>
      <c r="CJ42" s="120"/>
      <c r="CK42" s="499" t="str">
        <f>IF(OR(SUM(CH38:CH41)&lt;&gt;SUM(CN38:CN41),CH41=""),"","PK")</f>
        <v/>
      </c>
      <c r="CL42" s="499"/>
      <c r="CM42" s="499"/>
      <c r="CN42" s="499"/>
      <c r="CX42" s="530"/>
      <c r="CY42" s="548"/>
      <c r="CZ42" s="548"/>
      <c r="DA42" s="548"/>
      <c r="DB42" s="548"/>
      <c r="DF42" s="549"/>
      <c r="DG42" s="549"/>
      <c r="DH42" s="549"/>
      <c r="DI42" s="549"/>
      <c r="DJ42" s="529"/>
      <c r="DL42" s="120"/>
      <c r="DM42" s="120"/>
      <c r="DN42" s="120"/>
      <c r="DO42" s="120"/>
      <c r="DP42" s="120"/>
      <c r="DQ42" s="120"/>
      <c r="DR42" s="499" t="str">
        <f>IF(OR(SUM(DO38:DO41)&lt;&gt;SUM(DU38:DU41),DO41=""),"","PK")</f>
        <v/>
      </c>
      <c r="DS42" s="499"/>
      <c r="DT42" s="499"/>
      <c r="DU42" s="499"/>
      <c r="EB42" s="530"/>
      <c r="EC42" s="548"/>
      <c r="ED42" s="548"/>
      <c r="EE42" s="548"/>
      <c r="EF42" s="548"/>
      <c r="EH42" s="120"/>
    </row>
    <row r="43" spans="1:138" s="76" customFormat="1" ht="13.5" customHeight="1" x14ac:dyDescent="0.15">
      <c r="A43" s="110"/>
      <c r="C43" s="549"/>
      <c r="D43" s="549"/>
      <c r="E43" s="549"/>
      <c r="F43" s="549"/>
      <c r="G43" s="529"/>
      <c r="N43" s="500"/>
      <c r="O43" s="500"/>
      <c r="P43" s="500"/>
      <c r="Q43" s="500"/>
      <c r="R43" s="501" t="str">
        <f>IF(OR(SUM(N38:N41)&lt;&gt;SUM(T38:T41),N41=""),"","－")</f>
        <v/>
      </c>
      <c r="S43" s="501"/>
      <c r="T43" s="498"/>
      <c r="U43" s="498"/>
      <c r="V43" s="498"/>
      <c r="W43" s="498"/>
      <c r="X43" s="131"/>
      <c r="Y43" s="131"/>
      <c r="Z43" s="131"/>
      <c r="AA43" s="119"/>
      <c r="AB43" s="119"/>
      <c r="AD43" s="553"/>
      <c r="AE43" s="548"/>
      <c r="AF43" s="548"/>
      <c r="AG43" s="548"/>
      <c r="AH43" s="548"/>
      <c r="AM43" s="549"/>
      <c r="AN43" s="549"/>
      <c r="AO43" s="549"/>
      <c r="AP43" s="549"/>
      <c r="AQ43" s="529"/>
      <c r="AX43" s="500"/>
      <c r="AY43" s="500"/>
      <c r="AZ43" s="500"/>
      <c r="BA43" s="500"/>
      <c r="BB43" s="501" t="str">
        <f>IF(OR(SUM(AX38:AX41)&lt;&gt;SUM(BD38:BD41),AX41=""),"","－")</f>
        <v/>
      </c>
      <c r="BC43" s="501"/>
      <c r="BD43" s="498"/>
      <c r="BE43" s="498"/>
      <c r="BF43" s="498"/>
      <c r="BG43" s="498"/>
      <c r="BN43" s="530"/>
      <c r="BO43" s="548"/>
      <c r="BP43" s="548"/>
      <c r="BQ43" s="548"/>
      <c r="BR43" s="548"/>
      <c r="BW43" s="549"/>
      <c r="BX43" s="549"/>
      <c r="BY43" s="549"/>
      <c r="BZ43" s="549"/>
      <c r="CA43" s="529"/>
      <c r="CH43" s="500"/>
      <c r="CI43" s="500"/>
      <c r="CJ43" s="500"/>
      <c r="CK43" s="500"/>
      <c r="CL43" s="501" t="str">
        <f>IF(OR(SUM(CH38:CH41)&lt;&gt;SUM(CN38:CN41),CH41=""),"","－")</f>
        <v/>
      </c>
      <c r="CM43" s="501"/>
      <c r="CN43" s="498"/>
      <c r="CO43" s="498"/>
      <c r="CP43" s="498"/>
      <c r="CQ43" s="498"/>
      <c r="CX43" s="530"/>
      <c r="CY43" s="548"/>
      <c r="CZ43" s="548"/>
      <c r="DA43" s="548"/>
      <c r="DB43" s="548"/>
      <c r="DF43" s="549"/>
      <c r="DG43" s="549"/>
      <c r="DH43" s="549"/>
      <c r="DI43" s="549"/>
      <c r="DJ43" s="529"/>
      <c r="DL43" s="131"/>
      <c r="DM43" s="131"/>
      <c r="DN43" s="131"/>
      <c r="DO43" s="500"/>
      <c r="DP43" s="500"/>
      <c r="DQ43" s="500"/>
      <c r="DR43" s="500"/>
      <c r="DS43" s="501" t="str">
        <f>IF(OR(SUM(DO38:DO41)&lt;&gt;SUM(DU38:DU41),DO41=""),"","－")</f>
        <v/>
      </c>
      <c r="DT43" s="501"/>
      <c r="DU43" s="498"/>
      <c r="DV43" s="498"/>
      <c r="DW43" s="498"/>
      <c r="DX43" s="498"/>
      <c r="EB43" s="530"/>
      <c r="EC43" s="548"/>
      <c r="ED43" s="548"/>
      <c r="EE43" s="548"/>
      <c r="EF43" s="548"/>
      <c r="EH43" s="75"/>
    </row>
    <row r="44" spans="1:138" s="126" customFormat="1" ht="13.5" customHeight="1" x14ac:dyDescent="0.15">
      <c r="A44" s="125"/>
      <c r="D44" s="127"/>
      <c r="G44" s="529"/>
      <c r="Q44" s="126" t="str">
        <f>IF(N43="","","PK")</f>
        <v/>
      </c>
      <c r="AD44" s="553"/>
      <c r="AQ44" s="529"/>
      <c r="BA44" s="526" t="str">
        <f>IF(AX43="","","PK")</f>
        <v/>
      </c>
      <c r="BB44" s="526"/>
      <c r="BC44" s="526"/>
      <c r="BD44" s="526"/>
      <c r="BN44" s="530"/>
      <c r="CA44" s="529"/>
      <c r="CK44" s="526" t="str">
        <f>IF(CH43="","","PK")</f>
        <v/>
      </c>
      <c r="CL44" s="526"/>
      <c r="CM44" s="526"/>
      <c r="CN44" s="526"/>
      <c r="CX44" s="530"/>
      <c r="DJ44" s="529"/>
      <c r="DR44" s="526" t="str">
        <f>IF(DO43="","","PK")</f>
        <v/>
      </c>
      <c r="DS44" s="526"/>
      <c r="DT44" s="526"/>
      <c r="DU44" s="526"/>
      <c r="EB44" s="530"/>
      <c r="EH44" s="128"/>
    </row>
    <row r="45" spans="1:138" s="76" customFormat="1" ht="13.5" customHeight="1" x14ac:dyDescent="0.15">
      <c r="A45" s="110"/>
      <c r="C45" s="538" t="str">
        <f>IF(D48="","",SUM(D48:D51))</f>
        <v/>
      </c>
      <c r="D45" s="538"/>
      <c r="E45" s="538"/>
      <c r="F45" s="538"/>
      <c r="G45" s="529"/>
      <c r="I45" s="537" t="str">
        <f>IF(I48="","",SUM(I48:I51))</f>
        <v/>
      </c>
      <c r="J45" s="537"/>
      <c r="K45" s="537"/>
      <c r="L45" s="537"/>
      <c r="Y45" s="538" t="str">
        <f>IF(Y48="","",SUM(Y48:Y51))</f>
        <v/>
      </c>
      <c r="Z45" s="538"/>
      <c r="AA45" s="538"/>
      <c r="AB45" s="538"/>
      <c r="AD45" s="553"/>
      <c r="AE45" s="537" t="str">
        <f>IF(AE48="","",SUM(AE48:AE51))</f>
        <v/>
      </c>
      <c r="AF45" s="537"/>
      <c r="AG45" s="537"/>
      <c r="AH45" s="537"/>
      <c r="AI45" s="72"/>
      <c r="AM45" s="538" t="str">
        <f>IF(AN48="","",SUM(AN48:AN51))</f>
        <v/>
      </c>
      <c r="AN45" s="538"/>
      <c r="AO45" s="538"/>
      <c r="AP45" s="538"/>
      <c r="AQ45" s="529"/>
      <c r="AS45" s="537" t="str">
        <f>IF(AS48="","",SUM(AS48:AS51))</f>
        <v/>
      </c>
      <c r="AT45" s="537"/>
      <c r="AU45" s="537"/>
      <c r="AV45" s="537"/>
      <c r="BI45" s="538" t="str">
        <f>IF(BI48="","",SUM(BI48:BI51))</f>
        <v/>
      </c>
      <c r="BJ45" s="538"/>
      <c r="BK45" s="538"/>
      <c r="BL45" s="538"/>
      <c r="BN45" s="530"/>
      <c r="BO45" s="537" t="str">
        <f>IF(BO48="","",SUM(BO48:BO51))</f>
        <v/>
      </c>
      <c r="BP45" s="537"/>
      <c r="BQ45" s="537"/>
      <c r="BR45" s="537"/>
      <c r="BW45" s="538" t="str">
        <f>IF(BX48="","",SUM(BX48:BX51))</f>
        <v/>
      </c>
      <c r="BX45" s="538"/>
      <c r="BY45" s="538"/>
      <c r="BZ45" s="538"/>
      <c r="CA45" s="529"/>
      <c r="CC45" s="537" t="str">
        <f>IF(CC48="","",SUM(CC48:CC51))</f>
        <v/>
      </c>
      <c r="CD45" s="537"/>
      <c r="CE45" s="537"/>
      <c r="CF45" s="537"/>
      <c r="CS45" s="538" t="str">
        <f>IF(CS48="","",SUM(CS48:CS51))</f>
        <v/>
      </c>
      <c r="CT45" s="538"/>
      <c r="CU45" s="538"/>
      <c r="CV45" s="538"/>
      <c r="CX45" s="530"/>
      <c r="CY45" s="537" t="str">
        <f>IF(CY48="","",SUM(CY48:CY51))</f>
        <v/>
      </c>
      <c r="CZ45" s="537"/>
      <c r="DA45" s="537"/>
      <c r="DB45" s="537"/>
      <c r="DF45" s="538" t="str">
        <f>IF(DH48="","",SUM(DH48:DH51))</f>
        <v/>
      </c>
      <c r="DG45" s="538"/>
      <c r="DH45" s="538"/>
      <c r="DI45" s="538"/>
      <c r="DJ45" s="529"/>
      <c r="DL45" s="537" t="str">
        <f>IF(DL48="","",SUM(DL48:DL51))</f>
        <v/>
      </c>
      <c r="DM45" s="537"/>
      <c r="DN45" s="537"/>
      <c r="DO45" s="537"/>
      <c r="DW45" s="538" t="str">
        <f>IF(DW48="","",SUM(DW48:DW51))</f>
        <v/>
      </c>
      <c r="DX45" s="538"/>
      <c r="DY45" s="538"/>
      <c r="DZ45" s="538"/>
      <c r="EB45" s="530"/>
      <c r="EC45" s="537" t="str">
        <f>IF(EC48="","",SUM(EC48:EC51))</f>
        <v/>
      </c>
      <c r="ED45" s="537"/>
      <c r="EE45" s="537"/>
      <c r="EF45" s="537"/>
      <c r="EH45" s="75"/>
    </row>
    <row r="46" spans="1:138" s="114" customFormat="1" ht="13.5" hidden="1" customHeight="1" x14ac:dyDescent="0.15">
      <c r="A46" s="129"/>
      <c r="C46" s="539">
        <f>SUM(D48:D53)</f>
        <v>0</v>
      </c>
      <c r="D46" s="539"/>
      <c r="E46" s="539"/>
      <c r="F46" s="539"/>
      <c r="G46" s="529"/>
      <c r="I46" s="540">
        <f>SUM(I48:I53)</f>
        <v>0</v>
      </c>
      <c r="J46" s="540"/>
      <c r="K46" s="540"/>
      <c r="L46" s="540"/>
      <c r="Y46" s="539">
        <f>SUM(Y48:Y53)</f>
        <v>0</v>
      </c>
      <c r="Z46" s="539"/>
      <c r="AA46" s="539"/>
      <c r="AB46" s="539"/>
      <c r="AD46" s="553"/>
      <c r="AE46" s="540">
        <f>SUM(AE48:AE53)</f>
        <v>0</v>
      </c>
      <c r="AF46" s="540"/>
      <c r="AG46" s="540"/>
      <c r="AH46" s="540"/>
      <c r="AI46" s="130"/>
      <c r="AM46" s="539">
        <f>SUM(AN48:AN53)</f>
        <v>0</v>
      </c>
      <c r="AN46" s="539"/>
      <c r="AO46" s="539"/>
      <c r="AP46" s="539"/>
      <c r="AQ46" s="529"/>
      <c r="AS46" s="540">
        <f>SUM(AS48:AS53)</f>
        <v>0</v>
      </c>
      <c r="AT46" s="540"/>
      <c r="AU46" s="540"/>
      <c r="AV46" s="540"/>
      <c r="BI46" s="539">
        <f>SUM(BI48:BI53)</f>
        <v>0</v>
      </c>
      <c r="BJ46" s="539"/>
      <c r="BK46" s="539"/>
      <c r="BL46" s="539"/>
      <c r="BN46" s="530"/>
      <c r="BO46" s="540">
        <f>SUM(BO48:BO53)</f>
        <v>0</v>
      </c>
      <c r="BP46" s="540"/>
      <c r="BQ46" s="540"/>
      <c r="BR46" s="540"/>
      <c r="BW46" s="539">
        <f>SUM(BX48:BX53)</f>
        <v>0</v>
      </c>
      <c r="BX46" s="539"/>
      <c r="BY46" s="539"/>
      <c r="BZ46" s="539"/>
      <c r="CA46" s="529"/>
      <c r="CC46" s="540">
        <f>SUM(CC48:CC53)</f>
        <v>0</v>
      </c>
      <c r="CD46" s="540"/>
      <c r="CE46" s="540"/>
      <c r="CF46" s="540"/>
      <c r="CS46" s="539">
        <f>SUM(CS48:CS53)</f>
        <v>0</v>
      </c>
      <c r="CT46" s="539"/>
      <c r="CU46" s="539"/>
      <c r="CV46" s="539"/>
      <c r="CX46" s="530"/>
      <c r="CY46" s="540">
        <f>SUM(CY48:CY53)</f>
        <v>0</v>
      </c>
      <c r="CZ46" s="540"/>
      <c r="DA46" s="540"/>
      <c r="DB46" s="540"/>
      <c r="DF46" s="539">
        <f>SUM(DH48:DH53)</f>
        <v>0</v>
      </c>
      <c r="DG46" s="539"/>
      <c r="DH46" s="539"/>
      <c r="DI46" s="539"/>
      <c r="DJ46" s="529"/>
      <c r="DL46" s="540">
        <f>SUM(DL48:DL53)</f>
        <v>0</v>
      </c>
      <c r="DM46" s="540"/>
      <c r="DN46" s="540"/>
      <c r="DO46" s="540"/>
      <c r="DW46" s="539">
        <f>SUM(DW48:DW53)</f>
        <v>0</v>
      </c>
      <c r="DX46" s="539"/>
      <c r="DY46" s="539"/>
      <c r="DZ46" s="539"/>
      <c r="EB46" s="530"/>
      <c r="EC46" s="540">
        <f>SUM(EC48:EC53)</f>
        <v>0</v>
      </c>
      <c r="ED46" s="540"/>
      <c r="EE46" s="540"/>
      <c r="EF46" s="540"/>
      <c r="EH46" s="116"/>
    </row>
    <row r="47" spans="1:138" s="76" customFormat="1" ht="3.75" customHeight="1" thickBot="1" x14ac:dyDescent="0.2">
      <c r="A47" s="110"/>
      <c r="D47" s="534"/>
      <c r="E47" s="534"/>
      <c r="F47" s="534"/>
      <c r="G47" s="536"/>
      <c r="H47" s="535"/>
      <c r="I47" s="534"/>
      <c r="J47" s="534"/>
      <c r="K47" s="534"/>
      <c r="L47" s="534"/>
      <c r="Y47" s="556"/>
      <c r="Z47" s="556"/>
      <c r="AA47" s="556"/>
      <c r="AB47" s="556"/>
      <c r="AC47" s="557"/>
      <c r="AD47" s="560"/>
      <c r="AE47" s="556"/>
      <c r="AF47" s="556"/>
      <c r="AG47" s="556"/>
      <c r="AN47" s="534"/>
      <c r="AO47" s="534"/>
      <c r="AP47" s="534"/>
      <c r="AQ47" s="536"/>
      <c r="AR47" s="535"/>
      <c r="AS47" s="534"/>
      <c r="AT47" s="534"/>
      <c r="AU47" s="534"/>
      <c r="AV47" s="534"/>
      <c r="BI47" s="534"/>
      <c r="BJ47" s="534"/>
      <c r="BK47" s="534"/>
      <c r="BL47" s="534"/>
      <c r="BM47" s="536"/>
      <c r="BN47" s="535"/>
      <c r="BO47" s="534"/>
      <c r="BP47" s="534"/>
      <c r="BQ47" s="534"/>
      <c r="BX47" s="534"/>
      <c r="BY47" s="534"/>
      <c r="BZ47" s="534"/>
      <c r="CA47" s="536"/>
      <c r="CB47" s="535"/>
      <c r="CC47" s="534"/>
      <c r="CD47" s="534"/>
      <c r="CE47" s="534"/>
      <c r="CF47" s="534"/>
      <c r="CS47" s="534"/>
      <c r="CT47" s="534"/>
      <c r="CU47" s="534"/>
      <c r="CV47" s="534"/>
      <c r="CW47" s="536"/>
      <c r="CX47" s="535"/>
      <c r="CY47" s="534"/>
      <c r="CZ47" s="534"/>
      <c r="DA47" s="534"/>
      <c r="DF47" s="72"/>
      <c r="DG47" s="72"/>
      <c r="DH47" s="556"/>
      <c r="DI47" s="556"/>
      <c r="DJ47" s="559"/>
      <c r="DK47" s="558"/>
      <c r="DL47" s="556"/>
      <c r="DM47" s="556"/>
      <c r="DW47" s="534"/>
      <c r="DX47" s="534"/>
      <c r="DY47" s="534"/>
      <c r="DZ47" s="534"/>
      <c r="EA47" s="536"/>
      <c r="EB47" s="535"/>
      <c r="EC47" s="534"/>
      <c r="ED47" s="534"/>
      <c r="EE47" s="534"/>
      <c r="EH47" s="75"/>
    </row>
    <row r="48" spans="1:138" s="76" customFormat="1" ht="13.5" customHeight="1" thickTop="1" x14ac:dyDescent="0.15">
      <c r="A48" s="110"/>
      <c r="C48" s="529"/>
      <c r="D48" s="543"/>
      <c r="E48" s="544"/>
      <c r="F48" s="544"/>
      <c r="G48" s="531" t="s">
        <v>72</v>
      </c>
      <c r="H48" s="531"/>
      <c r="I48" s="532"/>
      <c r="J48" s="532"/>
      <c r="K48" s="532"/>
      <c r="L48" s="533"/>
      <c r="M48" s="530"/>
      <c r="N48" s="548" t="str">
        <f>IF(H56=N56,"",IF(H56&gt;N56,H66,N66))</f>
        <v/>
      </c>
      <c r="O48" s="548"/>
      <c r="P48" s="548"/>
      <c r="Q48" s="548"/>
      <c r="R48" s="139"/>
      <c r="S48" s="139"/>
      <c r="T48" s="549" t="str">
        <f>IF(T56=Z56,"",IF(T56&gt;Z56,T66,Z66))</f>
        <v/>
      </c>
      <c r="U48" s="549"/>
      <c r="V48" s="549"/>
      <c r="W48" s="549"/>
      <c r="X48" s="529"/>
      <c r="Y48" s="554"/>
      <c r="Z48" s="547"/>
      <c r="AA48" s="547"/>
      <c r="AB48" s="547"/>
      <c r="AC48" s="550" t="s">
        <v>72</v>
      </c>
      <c r="AD48" s="550"/>
      <c r="AE48" s="551"/>
      <c r="AF48" s="551"/>
      <c r="AG48" s="555"/>
      <c r="AH48" s="530"/>
      <c r="AM48" s="529"/>
      <c r="AN48" s="543"/>
      <c r="AO48" s="544"/>
      <c r="AP48" s="544"/>
      <c r="AQ48" s="531" t="s">
        <v>72</v>
      </c>
      <c r="AR48" s="531"/>
      <c r="AS48" s="532"/>
      <c r="AT48" s="532"/>
      <c r="AU48" s="532"/>
      <c r="AV48" s="533"/>
      <c r="AW48" s="530"/>
      <c r="AX48" s="548" t="str">
        <f>IF(AR56=AX56,"",IF(AR56&gt;AX56,AR66,AX66))</f>
        <v/>
      </c>
      <c r="AY48" s="548"/>
      <c r="AZ48" s="548"/>
      <c r="BA48" s="548"/>
      <c r="BD48" s="549" t="str">
        <f>IF(BD56=BJ56,"",IF(BD56&gt;BJ56,BD66,BJ66))</f>
        <v/>
      </c>
      <c r="BE48" s="549"/>
      <c r="BF48" s="549"/>
      <c r="BG48" s="549"/>
      <c r="BH48" s="529"/>
      <c r="BI48" s="509"/>
      <c r="BJ48" s="510"/>
      <c r="BK48" s="510"/>
      <c r="BL48" s="510"/>
      <c r="BM48" s="531" t="s">
        <v>72</v>
      </c>
      <c r="BN48" s="531"/>
      <c r="BO48" s="532"/>
      <c r="BP48" s="532"/>
      <c r="BQ48" s="533"/>
      <c r="BR48" s="530"/>
      <c r="BW48" s="529"/>
      <c r="BX48" s="543"/>
      <c r="BY48" s="544"/>
      <c r="BZ48" s="544"/>
      <c r="CA48" s="531" t="s">
        <v>72</v>
      </c>
      <c r="CB48" s="531"/>
      <c r="CC48" s="532"/>
      <c r="CD48" s="532"/>
      <c r="CE48" s="532"/>
      <c r="CF48" s="533"/>
      <c r="CG48" s="530"/>
      <c r="CH48" s="548" t="str">
        <f>IF(CB56=CH56,"",IF(CB56&gt;CH56,CB66,CH66))</f>
        <v/>
      </c>
      <c r="CI48" s="548"/>
      <c r="CJ48" s="548"/>
      <c r="CK48" s="548"/>
      <c r="CN48" s="549" t="str">
        <f>IF(CN56=CT56,"",IF(CN56&gt;CT56,CN66,CT66))</f>
        <v/>
      </c>
      <c r="CO48" s="549"/>
      <c r="CP48" s="549"/>
      <c r="CQ48" s="549"/>
      <c r="CR48" s="529"/>
      <c r="CS48" s="509"/>
      <c r="CT48" s="510"/>
      <c r="CU48" s="510"/>
      <c r="CV48" s="510"/>
      <c r="CW48" s="531" t="s">
        <v>72</v>
      </c>
      <c r="CX48" s="531"/>
      <c r="CY48" s="532"/>
      <c r="CZ48" s="532"/>
      <c r="DA48" s="533"/>
      <c r="DB48" s="530"/>
      <c r="DG48" s="545"/>
      <c r="DH48" s="546"/>
      <c r="DI48" s="547"/>
      <c r="DJ48" s="550" t="s">
        <v>72</v>
      </c>
      <c r="DK48" s="550"/>
      <c r="DL48" s="551"/>
      <c r="DM48" s="552"/>
      <c r="DN48" s="553"/>
      <c r="DO48" s="139"/>
      <c r="DR48" s="549" t="str">
        <f>IF(DR56=DX56,"",IF(DR56&gt;DX56,DR66,DX66))</f>
        <v/>
      </c>
      <c r="DS48" s="549"/>
      <c r="DT48" s="549"/>
      <c r="DU48" s="549"/>
      <c r="DV48" s="529"/>
      <c r="DW48" s="509"/>
      <c r="DX48" s="510"/>
      <c r="DY48" s="510"/>
      <c r="DZ48" s="510"/>
      <c r="EA48" s="531" t="s">
        <v>72</v>
      </c>
      <c r="EB48" s="531"/>
      <c r="EC48" s="532"/>
      <c r="ED48" s="532"/>
      <c r="EE48" s="533"/>
      <c r="EF48" s="530"/>
      <c r="EH48" s="75"/>
    </row>
    <row r="49" spans="1:138" s="76" customFormat="1" ht="13.5" customHeight="1" x14ac:dyDescent="0.15">
      <c r="A49" s="110"/>
      <c r="C49" s="529"/>
      <c r="D49" s="541"/>
      <c r="E49" s="542"/>
      <c r="F49" s="542"/>
      <c r="G49" s="485" t="s">
        <v>72</v>
      </c>
      <c r="H49" s="485"/>
      <c r="I49" s="498"/>
      <c r="J49" s="498"/>
      <c r="K49" s="498"/>
      <c r="L49" s="525"/>
      <c r="M49" s="530"/>
      <c r="N49" s="548"/>
      <c r="O49" s="548"/>
      <c r="P49" s="548"/>
      <c r="Q49" s="548"/>
      <c r="R49" s="139"/>
      <c r="S49" s="139"/>
      <c r="T49" s="549"/>
      <c r="U49" s="549"/>
      <c r="V49" s="549"/>
      <c r="W49" s="549"/>
      <c r="X49" s="529"/>
      <c r="Y49" s="524"/>
      <c r="Z49" s="500"/>
      <c r="AA49" s="500"/>
      <c r="AB49" s="500"/>
      <c r="AC49" s="485" t="s">
        <v>72</v>
      </c>
      <c r="AD49" s="485"/>
      <c r="AE49" s="498"/>
      <c r="AF49" s="498"/>
      <c r="AG49" s="525"/>
      <c r="AH49" s="530"/>
      <c r="AM49" s="529"/>
      <c r="AN49" s="541"/>
      <c r="AO49" s="542"/>
      <c r="AP49" s="542"/>
      <c r="AQ49" s="485" t="s">
        <v>72</v>
      </c>
      <c r="AR49" s="485"/>
      <c r="AS49" s="498"/>
      <c r="AT49" s="498"/>
      <c r="AU49" s="498"/>
      <c r="AV49" s="525"/>
      <c r="AW49" s="530"/>
      <c r="AX49" s="548"/>
      <c r="AY49" s="548"/>
      <c r="AZ49" s="548"/>
      <c r="BA49" s="548"/>
      <c r="BD49" s="549"/>
      <c r="BE49" s="549"/>
      <c r="BF49" s="549"/>
      <c r="BG49" s="549"/>
      <c r="BH49" s="529"/>
      <c r="BI49" s="524"/>
      <c r="BJ49" s="500"/>
      <c r="BK49" s="500"/>
      <c r="BL49" s="500"/>
      <c r="BM49" s="485" t="s">
        <v>72</v>
      </c>
      <c r="BN49" s="485"/>
      <c r="BO49" s="498"/>
      <c r="BP49" s="498"/>
      <c r="BQ49" s="525"/>
      <c r="BR49" s="530"/>
      <c r="BW49" s="529"/>
      <c r="BX49" s="541"/>
      <c r="BY49" s="542"/>
      <c r="BZ49" s="542"/>
      <c r="CA49" s="485" t="s">
        <v>72</v>
      </c>
      <c r="CB49" s="485"/>
      <c r="CC49" s="498"/>
      <c r="CD49" s="498"/>
      <c r="CE49" s="498"/>
      <c r="CF49" s="525"/>
      <c r="CG49" s="530"/>
      <c r="CH49" s="548"/>
      <c r="CI49" s="548"/>
      <c r="CJ49" s="548"/>
      <c r="CK49" s="548"/>
      <c r="CN49" s="549"/>
      <c r="CO49" s="549"/>
      <c r="CP49" s="549"/>
      <c r="CQ49" s="549"/>
      <c r="CR49" s="529"/>
      <c r="CS49" s="524"/>
      <c r="CT49" s="500"/>
      <c r="CU49" s="500"/>
      <c r="CV49" s="500"/>
      <c r="CW49" s="485" t="s">
        <v>72</v>
      </c>
      <c r="CX49" s="485"/>
      <c r="CY49" s="498"/>
      <c r="CZ49" s="498"/>
      <c r="DA49" s="525"/>
      <c r="DB49" s="530"/>
      <c r="DG49" s="545"/>
      <c r="DH49" s="527"/>
      <c r="DI49" s="500"/>
      <c r="DJ49" s="485" t="s">
        <v>72</v>
      </c>
      <c r="DK49" s="485"/>
      <c r="DL49" s="498"/>
      <c r="DM49" s="528"/>
      <c r="DN49" s="553"/>
      <c r="DO49" s="139"/>
      <c r="DR49" s="549"/>
      <c r="DS49" s="549"/>
      <c r="DT49" s="549"/>
      <c r="DU49" s="549"/>
      <c r="DV49" s="529"/>
      <c r="DW49" s="524"/>
      <c r="DX49" s="500"/>
      <c r="DY49" s="500"/>
      <c r="DZ49" s="500"/>
      <c r="EA49" s="485" t="s">
        <v>72</v>
      </c>
      <c r="EB49" s="485"/>
      <c r="EC49" s="498"/>
      <c r="ED49" s="498"/>
      <c r="EE49" s="525"/>
      <c r="EF49" s="530"/>
      <c r="EH49" s="75"/>
    </row>
    <row r="50" spans="1:138" s="76" customFormat="1" ht="13.5" customHeight="1" x14ac:dyDescent="0.15">
      <c r="A50" s="110"/>
      <c r="C50" s="529"/>
      <c r="D50" s="541"/>
      <c r="E50" s="542"/>
      <c r="F50" s="542"/>
      <c r="G50" s="501" t="str">
        <f>IF(OR(SUM(D48:D49)&lt;&gt;SUM(I48:I49),D49=""),"","－")</f>
        <v/>
      </c>
      <c r="H50" s="501"/>
      <c r="I50" s="498"/>
      <c r="J50" s="498"/>
      <c r="K50" s="498"/>
      <c r="L50" s="525"/>
      <c r="M50" s="530"/>
      <c r="N50" s="548"/>
      <c r="O50" s="548"/>
      <c r="P50" s="548"/>
      <c r="Q50" s="548"/>
      <c r="R50" s="139"/>
      <c r="S50" s="139"/>
      <c r="T50" s="549"/>
      <c r="U50" s="549"/>
      <c r="V50" s="549"/>
      <c r="W50" s="549"/>
      <c r="X50" s="529"/>
      <c r="Y50" s="524"/>
      <c r="Z50" s="500"/>
      <c r="AA50" s="500"/>
      <c r="AB50" s="500"/>
      <c r="AC50" s="501" t="str">
        <f>IF(OR(SUM(Y48:Y49)&lt;&gt;SUM(AE48:AE49),Y49=""),"","－")</f>
        <v/>
      </c>
      <c r="AD50" s="501"/>
      <c r="AE50" s="498"/>
      <c r="AF50" s="498"/>
      <c r="AG50" s="525"/>
      <c r="AH50" s="530"/>
      <c r="AM50" s="529"/>
      <c r="AN50" s="541"/>
      <c r="AO50" s="542"/>
      <c r="AP50" s="542"/>
      <c r="AQ50" s="501" t="str">
        <f>IF(OR(SUM(AN48:AN49)&lt;&gt;SUM(AS48:AS49),AN49=""),"","－")</f>
        <v/>
      </c>
      <c r="AR50" s="501"/>
      <c r="AS50" s="498"/>
      <c r="AT50" s="498"/>
      <c r="AU50" s="498"/>
      <c r="AV50" s="525"/>
      <c r="AW50" s="530"/>
      <c r="AX50" s="548"/>
      <c r="AY50" s="548"/>
      <c r="AZ50" s="548"/>
      <c r="BA50" s="548"/>
      <c r="BD50" s="549"/>
      <c r="BE50" s="549"/>
      <c r="BF50" s="549"/>
      <c r="BG50" s="549"/>
      <c r="BH50" s="529"/>
      <c r="BI50" s="524"/>
      <c r="BJ50" s="500"/>
      <c r="BK50" s="500"/>
      <c r="BL50" s="500"/>
      <c r="BM50" s="501" t="str">
        <f>IF(OR(SUM(BI48:BI49)&lt;&gt;SUM(BO48:BO49),BI49=""),"","－")</f>
        <v/>
      </c>
      <c r="BN50" s="501"/>
      <c r="BO50" s="498"/>
      <c r="BP50" s="498"/>
      <c r="BQ50" s="525"/>
      <c r="BR50" s="530"/>
      <c r="BW50" s="529"/>
      <c r="BX50" s="541"/>
      <c r="BY50" s="542"/>
      <c r="BZ50" s="542"/>
      <c r="CA50" s="501" t="str">
        <f>IF(OR(SUM(BX48:BX49)&lt;&gt;SUM(CC48:CC49),BX49=""),"","－")</f>
        <v/>
      </c>
      <c r="CB50" s="501"/>
      <c r="CC50" s="498"/>
      <c r="CD50" s="498"/>
      <c r="CE50" s="498"/>
      <c r="CF50" s="525"/>
      <c r="CG50" s="530"/>
      <c r="CH50" s="548"/>
      <c r="CI50" s="548"/>
      <c r="CJ50" s="548"/>
      <c r="CK50" s="548"/>
      <c r="CN50" s="549"/>
      <c r="CO50" s="549"/>
      <c r="CP50" s="549"/>
      <c r="CQ50" s="549"/>
      <c r="CR50" s="529"/>
      <c r="CS50" s="524"/>
      <c r="CT50" s="500"/>
      <c r="CU50" s="500"/>
      <c r="CV50" s="500"/>
      <c r="CW50" s="501" t="str">
        <f>IF(OR(SUM(CS48:CS49)&lt;&gt;SUM(CY48:CY49),CS49=""),"","－")</f>
        <v/>
      </c>
      <c r="CX50" s="501"/>
      <c r="CY50" s="498"/>
      <c r="CZ50" s="498"/>
      <c r="DA50" s="525"/>
      <c r="DB50" s="530"/>
      <c r="DF50" s="140"/>
      <c r="DG50" s="545"/>
      <c r="DH50" s="527"/>
      <c r="DI50" s="500"/>
      <c r="DJ50" s="501" t="str">
        <f>IF(OR(SUM(DH48:DH49)&lt;&gt;SUM(DL48:DL49),DH49=""),"","－")</f>
        <v/>
      </c>
      <c r="DK50" s="501"/>
      <c r="DL50" s="498"/>
      <c r="DM50" s="528"/>
      <c r="DN50" s="553"/>
      <c r="DO50" s="139"/>
      <c r="DR50" s="549"/>
      <c r="DS50" s="549"/>
      <c r="DT50" s="549"/>
      <c r="DU50" s="549"/>
      <c r="DV50" s="529"/>
      <c r="DW50" s="524"/>
      <c r="DX50" s="500"/>
      <c r="DY50" s="500"/>
      <c r="DZ50" s="500"/>
      <c r="EA50" s="501" t="str">
        <f>IF(OR(SUM(DW48:DW49)&lt;&gt;SUM(EC48:EC49),DW49=""),"","－")</f>
        <v/>
      </c>
      <c r="EB50" s="501"/>
      <c r="EC50" s="498"/>
      <c r="ED50" s="498"/>
      <c r="EE50" s="525"/>
      <c r="EF50" s="530"/>
      <c r="EH50" s="75"/>
    </row>
    <row r="51" spans="1:138" s="76" customFormat="1" ht="13.5" customHeight="1" x14ac:dyDescent="0.15">
      <c r="A51" s="110"/>
      <c r="C51" s="529"/>
      <c r="D51" s="541"/>
      <c r="E51" s="542"/>
      <c r="F51" s="542"/>
      <c r="G51" s="501" t="str">
        <f>IF(OR(SUM(D48:D49)&lt;&gt;SUM(I48:I49),D49=""),"","－")</f>
        <v/>
      </c>
      <c r="H51" s="501"/>
      <c r="I51" s="498"/>
      <c r="J51" s="498"/>
      <c r="K51" s="498"/>
      <c r="L51" s="525"/>
      <c r="M51" s="530"/>
      <c r="N51" s="548"/>
      <c r="O51" s="548"/>
      <c r="P51" s="548"/>
      <c r="Q51" s="548"/>
      <c r="R51" s="139"/>
      <c r="S51" s="139"/>
      <c r="T51" s="549"/>
      <c r="U51" s="549"/>
      <c r="V51" s="549"/>
      <c r="W51" s="549"/>
      <c r="X51" s="529"/>
      <c r="Y51" s="524"/>
      <c r="Z51" s="500"/>
      <c r="AA51" s="500"/>
      <c r="AB51" s="500"/>
      <c r="AC51" s="501" t="str">
        <f>IF(OR(SUM(Y48:Y49)&lt;&gt;SUM(AE48:AE49),Y49=""),"","－")</f>
        <v/>
      </c>
      <c r="AD51" s="501"/>
      <c r="AE51" s="498"/>
      <c r="AF51" s="498"/>
      <c r="AG51" s="525"/>
      <c r="AH51" s="530"/>
      <c r="AM51" s="529"/>
      <c r="AN51" s="541"/>
      <c r="AO51" s="542"/>
      <c r="AP51" s="542"/>
      <c r="AQ51" s="501" t="str">
        <f>IF(OR(SUM(AN48:AN49)&lt;&gt;SUM(AS48:AS49),AN49=""),"","－")</f>
        <v/>
      </c>
      <c r="AR51" s="501"/>
      <c r="AS51" s="498"/>
      <c r="AT51" s="498"/>
      <c r="AU51" s="498"/>
      <c r="AV51" s="525"/>
      <c r="AW51" s="530"/>
      <c r="AX51" s="548"/>
      <c r="AY51" s="548"/>
      <c r="AZ51" s="548"/>
      <c r="BA51" s="548"/>
      <c r="BD51" s="549"/>
      <c r="BE51" s="549"/>
      <c r="BF51" s="549"/>
      <c r="BG51" s="549"/>
      <c r="BH51" s="529"/>
      <c r="BI51" s="524"/>
      <c r="BJ51" s="500"/>
      <c r="BK51" s="500"/>
      <c r="BL51" s="500"/>
      <c r="BM51" s="501" t="str">
        <f>IF(OR(SUM(BI48:BI49)&lt;&gt;SUM(BO48:BO49),BI49=""),"","－")</f>
        <v/>
      </c>
      <c r="BN51" s="501"/>
      <c r="BO51" s="498"/>
      <c r="BP51" s="498"/>
      <c r="BQ51" s="525"/>
      <c r="BR51" s="530"/>
      <c r="BW51" s="529"/>
      <c r="BX51" s="541"/>
      <c r="BY51" s="542"/>
      <c r="BZ51" s="542"/>
      <c r="CA51" s="501" t="str">
        <f>IF(OR(SUM(BX48:BX49)&lt;&gt;SUM(CC48:CC49),BX49=""),"","－")</f>
        <v/>
      </c>
      <c r="CB51" s="501"/>
      <c r="CC51" s="498"/>
      <c r="CD51" s="498"/>
      <c r="CE51" s="498"/>
      <c r="CF51" s="525"/>
      <c r="CG51" s="530"/>
      <c r="CH51" s="548"/>
      <c r="CI51" s="548"/>
      <c r="CJ51" s="548"/>
      <c r="CK51" s="548"/>
      <c r="CN51" s="549"/>
      <c r="CO51" s="549"/>
      <c r="CP51" s="549"/>
      <c r="CQ51" s="549"/>
      <c r="CR51" s="529"/>
      <c r="CS51" s="524"/>
      <c r="CT51" s="500"/>
      <c r="CU51" s="500"/>
      <c r="CV51" s="500"/>
      <c r="CW51" s="501" t="str">
        <f>IF(OR(SUM(CS48:CS49)&lt;&gt;SUM(CY48:CY49),CS49=""),"","－")</f>
        <v/>
      </c>
      <c r="CX51" s="501"/>
      <c r="CY51" s="498"/>
      <c r="CZ51" s="498"/>
      <c r="DA51" s="525"/>
      <c r="DB51" s="530"/>
      <c r="DF51" s="140"/>
      <c r="DG51" s="545"/>
      <c r="DH51" s="527"/>
      <c r="DI51" s="500"/>
      <c r="DJ51" s="501" t="str">
        <f>IF(OR(SUM(DH48:DH49)&lt;&gt;SUM(DL48:DL49),DH49=""),"","－")</f>
        <v/>
      </c>
      <c r="DK51" s="501"/>
      <c r="DL51" s="498"/>
      <c r="DM51" s="528"/>
      <c r="DN51" s="553"/>
      <c r="DO51" s="139"/>
      <c r="DR51" s="549"/>
      <c r="DS51" s="549"/>
      <c r="DT51" s="549"/>
      <c r="DU51" s="549"/>
      <c r="DV51" s="529"/>
      <c r="DW51" s="524"/>
      <c r="DX51" s="500"/>
      <c r="DY51" s="500"/>
      <c r="DZ51" s="500"/>
      <c r="EA51" s="501" t="str">
        <f>IF(OR(SUM(DW48:DW49)&lt;&gt;SUM(EC48:EC49),DW49=""),"","－")</f>
        <v/>
      </c>
      <c r="EB51" s="501"/>
      <c r="EC51" s="498"/>
      <c r="ED51" s="498"/>
      <c r="EE51" s="525"/>
      <c r="EF51" s="530"/>
      <c r="EH51" s="75"/>
    </row>
    <row r="52" spans="1:138" s="123" customFormat="1" ht="13.5" customHeight="1" x14ac:dyDescent="0.2">
      <c r="A52" s="122"/>
      <c r="C52" s="529"/>
      <c r="D52" s="141"/>
      <c r="E52" s="141"/>
      <c r="F52" s="499" t="str">
        <f>IF(OR(SUM(D48:D51)&lt;&gt;SUM(I48:I51),D51=""),"","PK")</f>
        <v/>
      </c>
      <c r="G52" s="499"/>
      <c r="H52" s="499"/>
      <c r="I52" s="499"/>
      <c r="J52" s="121"/>
      <c r="K52" s="121"/>
      <c r="L52" s="121"/>
      <c r="M52" s="530"/>
      <c r="N52" s="548"/>
      <c r="O52" s="548"/>
      <c r="P52" s="548"/>
      <c r="Q52" s="548"/>
      <c r="R52" s="139"/>
      <c r="S52" s="139"/>
      <c r="T52" s="549"/>
      <c r="U52" s="549"/>
      <c r="V52" s="549"/>
      <c r="W52" s="549"/>
      <c r="X52" s="529"/>
      <c r="Y52" s="120"/>
      <c r="Z52" s="120"/>
      <c r="AA52" s="120"/>
      <c r="AB52" s="499" t="str">
        <f>IF(OR(SUM(Y48:Y51)&lt;&gt;SUM(AE48:AE51),Y51=""),"","PK")</f>
        <v/>
      </c>
      <c r="AC52" s="499"/>
      <c r="AD52" s="499"/>
      <c r="AE52" s="499"/>
      <c r="AF52" s="121"/>
      <c r="AG52" s="121"/>
      <c r="AH52" s="530"/>
      <c r="AM52" s="529"/>
      <c r="AN52" s="141"/>
      <c r="AO52" s="141"/>
      <c r="AP52" s="499" t="str">
        <f>IF(OR(SUM(AN48:AN51)&lt;&gt;SUM(AS48:AS51),AN51=""),"","PK")</f>
        <v/>
      </c>
      <c r="AQ52" s="499"/>
      <c r="AR52" s="499"/>
      <c r="AS52" s="499"/>
      <c r="AT52" s="121"/>
      <c r="AU52" s="121"/>
      <c r="AV52" s="121"/>
      <c r="AW52" s="530"/>
      <c r="AX52" s="548"/>
      <c r="AY52" s="548"/>
      <c r="AZ52" s="548"/>
      <c r="BA52" s="548"/>
      <c r="BD52" s="549"/>
      <c r="BE52" s="549"/>
      <c r="BF52" s="549"/>
      <c r="BG52" s="549"/>
      <c r="BH52" s="529"/>
      <c r="BI52" s="120"/>
      <c r="BJ52" s="120"/>
      <c r="BK52" s="120"/>
      <c r="BL52" s="499" t="str">
        <f>IF(OR(SUM(BI48:BI51)&lt;&gt;SUM(BO48:BO51),BI51=""),"","PK")</f>
        <v/>
      </c>
      <c r="BM52" s="499"/>
      <c r="BN52" s="499"/>
      <c r="BO52" s="499"/>
      <c r="BP52" s="121"/>
      <c r="BQ52" s="121"/>
      <c r="BR52" s="530"/>
      <c r="BW52" s="529"/>
      <c r="BX52" s="141"/>
      <c r="BY52" s="141"/>
      <c r="BZ52" s="499" t="str">
        <f>IF(OR(SUM(BX48:BX51)&lt;&gt;SUM(CC48:CC51),BX51=""),"","PK")</f>
        <v/>
      </c>
      <c r="CA52" s="499"/>
      <c r="CB52" s="499"/>
      <c r="CC52" s="499"/>
      <c r="CD52" s="121"/>
      <c r="CE52" s="121"/>
      <c r="CF52" s="121"/>
      <c r="CG52" s="530"/>
      <c r="CH52" s="548"/>
      <c r="CI52" s="548"/>
      <c r="CJ52" s="548"/>
      <c r="CK52" s="548"/>
      <c r="CN52" s="549"/>
      <c r="CO52" s="549"/>
      <c r="CP52" s="549"/>
      <c r="CQ52" s="549"/>
      <c r="CR52" s="529"/>
      <c r="CS52" s="120"/>
      <c r="CT52" s="120"/>
      <c r="CU52" s="120"/>
      <c r="CV52" s="499" t="str">
        <f>IF(OR(SUM(CS48:CS51)&lt;&gt;SUM(CY48:CY51),CS51=""),"","PK")</f>
        <v/>
      </c>
      <c r="CW52" s="499"/>
      <c r="CX52" s="499"/>
      <c r="CY52" s="499"/>
      <c r="CZ52" s="121"/>
      <c r="DA52" s="121"/>
      <c r="DB52" s="530"/>
      <c r="DG52" s="545"/>
      <c r="DH52" s="120"/>
      <c r="DI52" s="499" t="str">
        <f>IF(OR(SUM(DH48:DH51)&lt;&gt;SUM(DL48:DL51),DH51=""),"","PK")</f>
        <v/>
      </c>
      <c r="DJ52" s="499"/>
      <c r="DK52" s="499"/>
      <c r="DL52" s="499"/>
      <c r="DM52" s="121"/>
      <c r="DN52" s="553"/>
      <c r="DO52" s="139"/>
      <c r="DR52" s="549"/>
      <c r="DS52" s="549"/>
      <c r="DT52" s="549"/>
      <c r="DU52" s="549"/>
      <c r="DV52" s="529"/>
      <c r="DW52" s="120"/>
      <c r="DX52" s="120"/>
      <c r="DY52" s="120"/>
      <c r="DZ52" s="499" t="str">
        <f>IF(OR(SUM(DW48:DW51)&lt;&gt;SUM(EC48:EC51),DW51=""),"","PK")</f>
        <v/>
      </c>
      <c r="EA52" s="499"/>
      <c r="EB52" s="499"/>
      <c r="EC52" s="499"/>
      <c r="ED52" s="121"/>
      <c r="EE52" s="121"/>
      <c r="EF52" s="530"/>
      <c r="EH52" s="120"/>
    </row>
    <row r="53" spans="1:138" s="76" customFormat="1" ht="13.5" customHeight="1" x14ac:dyDescent="0.15">
      <c r="A53" s="110"/>
      <c r="C53" s="529"/>
      <c r="D53" s="541"/>
      <c r="E53" s="542"/>
      <c r="F53" s="542"/>
      <c r="G53" s="501" t="str">
        <f>IF(OR(SUM(D48:D51)&lt;&gt;SUM(I48:I51),D51=""),"","－")</f>
        <v/>
      </c>
      <c r="H53" s="501"/>
      <c r="I53" s="498"/>
      <c r="J53" s="498"/>
      <c r="K53" s="498"/>
      <c r="L53" s="525"/>
      <c r="M53" s="530"/>
      <c r="N53" s="548"/>
      <c r="O53" s="548"/>
      <c r="P53" s="548"/>
      <c r="Q53" s="548"/>
      <c r="R53" s="139"/>
      <c r="S53" s="139"/>
      <c r="T53" s="549"/>
      <c r="U53" s="549"/>
      <c r="V53" s="549"/>
      <c r="W53" s="549"/>
      <c r="X53" s="529"/>
      <c r="Y53" s="524"/>
      <c r="Z53" s="500"/>
      <c r="AA53" s="500"/>
      <c r="AB53" s="500"/>
      <c r="AC53" s="501" t="str">
        <f>IF(OR(SUM(Y48:Y51)&lt;&gt;SUM(AE48:AE51),Y51=""),"","－")</f>
        <v/>
      </c>
      <c r="AD53" s="501"/>
      <c r="AE53" s="498"/>
      <c r="AF53" s="498"/>
      <c r="AG53" s="525"/>
      <c r="AH53" s="530"/>
      <c r="AM53" s="529"/>
      <c r="AN53" s="541"/>
      <c r="AO53" s="542"/>
      <c r="AP53" s="542"/>
      <c r="AQ53" s="501" t="str">
        <f>IF(OR(SUM(AN48:AN51)&lt;&gt;SUM(AS48:AS51),AN51=""),"","－")</f>
        <v/>
      </c>
      <c r="AR53" s="501"/>
      <c r="AS53" s="498"/>
      <c r="AT53" s="498"/>
      <c r="AU53" s="498"/>
      <c r="AV53" s="525"/>
      <c r="AW53" s="530"/>
      <c r="AX53" s="548"/>
      <c r="AY53" s="548"/>
      <c r="AZ53" s="548"/>
      <c r="BA53" s="548"/>
      <c r="BD53" s="549"/>
      <c r="BE53" s="549"/>
      <c r="BF53" s="549"/>
      <c r="BG53" s="549"/>
      <c r="BH53" s="529"/>
      <c r="BI53" s="524"/>
      <c r="BJ53" s="500"/>
      <c r="BK53" s="500"/>
      <c r="BL53" s="500"/>
      <c r="BM53" s="501" t="str">
        <f>IF(OR(SUM(BI48:BI51)&lt;&gt;SUM(BO48:BO51),BI51=""),"","－")</f>
        <v/>
      </c>
      <c r="BN53" s="501"/>
      <c r="BO53" s="498"/>
      <c r="BP53" s="498"/>
      <c r="BQ53" s="525"/>
      <c r="BR53" s="530"/>
      <c r="BW53" s="529"/>
      <c r="BX53" s="541"/>
      <c r="BY53" s="542"/>
      <c r="BZ53" s="542"/>
      <c r="CA53" s="501" t="str">
        <f>IF(OR(SUM(BX48:BX51)&lt;&gt;SUM(CC48:CC51),BX51=""),"","－")</f>
        <v/>
      </c>
      <c r="CB53" s="501"/>
      <c r="CC53" s="498"/>
      <c r="CD53" s="498"/>
      <c r="CE53" s="498"/>
      <c r="CF53" s="525"/>
      <c r="CG53" s="530"/>
      <c r="CH53" s="548"/>
      <c r="CI53" s="548"/>
      <c r="CJ53" s="548"/>
      <c r="CK53" s="548"/>
      <c r="CN53" s="549"/>
      <c r="CO53" s="549"/>
      <c r="CP53" s="549"/>
      <c r="CQ53" s="549"/>
      <c r="CR53" s="529"/>
      <c r="CS53" s="524"/>
      <c r="CT53" s="500"/>
      <c r="CU53" s="500"/>
      <c r="CV53" s="500"/>
      <c r="CW53" s="501" t="str">
        <f>IF(OR(SUM(CS48:CS51)&lt;&gt;SUM(CY48:CY51),CS51=""),"","－")</f>
        <v/>
      </c>
      <c r="CX53" s="501"/>
      <c r="CY53" s="498"/>
      <c r="CZ53" s="498"/>
      <c r="DA53" s="525"/>
      <c r="DB53" s="530"/>
      <c r="DF53" s="140"/>
      <c r="DG53" s="545"/>
      <c r="DH53" s="527"/>
      <c r="DI53" s="500"/>
      <c r="DJ53" s="501" t="str">
        <f>IF(OR(SUM(DH48:DH51)&lt;&gt;SUM(DL48:DL51),DH51=""),"","－")</f>
        <v/>
      </c>
      <c r="DK53" s="501"/>
      <c r="DL53" s="498"/>
      <c r="DM53" s="528"/>
      <c r="DN53" s="553"/>
      <c r="DO53" s="139"/>
      <c r="DR53" s="549"/>
      <c r="DS53" s="549"/>
      <c r="DT53" s="549"/>
      <c r="DU53" s="549"/>
      <c r="DV53" s="529"/>
      <c r="DW53" s="524"/>
      <c r="DX53" s="500"/>
      <c r="DY53" s="500"/>
      <c r="DZ53" s="500"/>
      <c r="EA53" s="501" t="str">
        <f>IF(OR(SUM(DW48:DW51)&lt;&gt;SUM(EC48:EC51),DW51=""),"","－")</f>
        <v/>
      </c>
      <c r="EB53" s="501"/>
      <c r="EC53" s="498"/>
      <c r="ED53" s="498"/>
      <c r="EE53" s="525"/>
      <c r="EF53" s="530"/>
      <c r="EH53" s="75"/>
    </row>
    <row r="54" spans="1:138" s="126" customFormat="1" ht="13.5" customHeight="1" x14ac:dyDescent="0.15">
      <c r="A54" s="125"/>
      <c r="C54" s="529"/>
      <c r="D54" s="127"/>
      <c r="F54" s="526" t="str">
        <f>IF(D53="","","PK")</f>
        <v/>
      </c>
      <c r="G54" s="526"/>
      <c r="H54" s="526"/>
      <c r="I54" s="526"/>
      <c r="M54" s="530"/>
      <c r="X54" s="529"/>
      <c r="AB54" s="526" t="str">
        <f>IF(Y53="","","PK")</f>
        <v/>
      </c>
      <c r="AC54" s="526"/>
      <c r="AD54" s="526"/>
      <c r="AE54" s="526"/>
      <c r="AH54" s="530"/>
      <c r="AM54" s="529"/>
      <c r="AN54" s="127"/>
      <c r="AP54" s="526" t="str">
        <f>IF(AN53="","","PK")</f>
        <v/>
      </c>
      <c r="AQ54" s="526"/>
      <c r="AR54" s="526"/>
      <c r="AS54" s="526"/>
      <c r="AW54" s="530"/>
      <c r="BH54" s="529"/>
      <c r="BL54" s="526" t="str">
        <f>IF(BI53="","","PK")</f>
        <v/>
      </c>
      <c r="BM54" s="526"/>
      <c r="BN54" s="526"/>
      <c r="BO54" s="526"/>
      <c r="BR54" s="530"/>
      <c r="BW54" s="529"/>
      <c r="BX54" s="127"/>
      <c r="BZ54" s="526" t="str">
        <f>IF(BX53="","","PK")</f>
        <v/>
      </c>
      <c r="CA54" s="526"/>
      <c r="CB54" s="526"/>
      <c r="CC54" s="526"/>
      <c r="CG54" s="530"/>
      <c r="CR54" s="529"/>
      <c r="CV54" s="526" t="str">
        <f>IF(CS53="","","PK")</f>
        <v/>
      </c>
      <c r="CW54" s="526"/>
      <c r="CX54" s="526"/>
      <c r="CY54" s="526"/>
      <c r="DB54" s="530"/>
      <c r="DG54" s="545"/>
      <c r="DI54" s="526" t="str">
        <f>IF(DH53="","","PK")</f>
        <v/>
      </c>
      <c r="DJ54" s="526"/>
      <c r="DK54" s="526"/>
      <c r="DL54" s="526"/>
      <c r="DN54" s="553"/>
      <c r="DV54" s="529"/>
      <c r="DZ54" s="526" t="str">
        <f>IF(DW53="","","PK")</f>
        <v/>
      </c>
      <c r="EA54" s="526"/>
      <c r="EB54" s="526"/>
      <c r="EC54" s="526"/>
      <c r="EF54" s="530"/>
      <c r="EH54" s="128"/>
    </row>
    <row r="55" spans="1:138" s="76" customFormat="1" ht="13.5" customHeight="1" x14ac:dyDescent="0.15">
      <c r="A55" s="110"/>
      <c r="C55" s="529"/>
      <c r="D55" s="105"/>
      <c r="H55" s="538" t="str">
        <f>IF(J58="","",SUM(J58:J61))</f>
        <v/>
      </c>
      <c r="I55" s="538"/>
      <c r="J55" s="538"/>
      <c r="K55" s="538"/>
      <c r="M55" s="530"/>
      <c r="N55" s="537" t="str">
        <f>IF(N58="","",SUM(N58:N61))</f>
        <v/>
      </c>
      <c r="O55" s="537"/>
      <c r="P55" s="537"/>
      <c r="Q55" s="537"/>
      <c r="R55" s="77"/>
      <c r="S55" s="77"/>
      <c r="T55" s="538" t="str">
        <f>IF(V58="","",SUM(V58:V61))</f>
        <v/>
      </c>
      <c r="U55" s="538"/>
      <c r="V55" s="538"/>
      <c r="W55" s="538"/>
      <c r="X55" s="529"/>
      <c r="Z55" s="537" t="str">
        <f>IF(Z58="","",SUM(Z58:Z61))</f>
        <v/>
      </c>
      <c r="AA55" s="537"/>
      <c r="AB55" s="537"/>
      <c r="AC55" s="537"/>
      <c r="AH55" s="530"/>
      <c r="AM55" s="529"/>
      <c r="AN55" s="105"/>
      <c r="AR55" s="538" t="str">
        <f>IF(AT58="","",SUM(AT58:AT61))</f>
        <v/>
      </c>
      <c r="AS55" s="538"/>
      <c r="AT55" s="538"/>
      <c r="AU55" s="538"/>
      <c r="AW55" s="530"/>
      <c r="AX55" s="537" t="str">
        <f>IF(AX58="","",SUM(AX58:AX61))</f>
        <v/>
      </c>
      <c r="AY55" s="537"/>
      <c r="AZ55" s="537"/>
      <c r="BA55" s="537"/>
      <c r="BD55" s="538" t="str">
        <f>IF(BF58="","",SUM(BF58:BF61))</f>
        <v/>
      </c>
      <c r="BE55" s="538"/>
      <c r="BF55" s="538"/>
      <c r="BG55" s="538"/>
      <c r="BH55" s="529"/>
      <c r="BJ55" s="537" t="str">
        <f>IF(BJ58="","",SUM(BJ58:BJ61))</f>
        <v/>
      </c>
      <c r="BK55" s="537"/>
      <c r="BL55" s="537"/>
      <c r="BM55" s="537"/>
      <c r="BR55" s="530"/>
      <c r="BW55" s="529"/>
      <c r="BX55" s="105"/>
      <c r="CB55" s="538" t="str">
        <f>IF(CD58="","",SUM(CD58:CD61))</f>
        <v/>
      </c>
      <c r="CC55" s="538"/>
      <c r="CD55" s="538"/>
      <c r="CE55" s="538"/>
      <c r="CG55" s="530"/>
      <c r="CH55" s="537" t="str">
        <f>IF(CH58="","",SUM(CH58:CH61))</f>
        <v/>
      </c>
      <c r="CI55" s="537"/>
      <c r="CJ55" s="537"/>
      <c r="CK55" s="537"/>
      <c r="CN55" s="538" t="str">
        <f>IF(CP58="","",SUM(CP58:CP61))</f>
        <v/>
      </c>
      <c r="CO55" s="538"/>
      <c r="CP55" s="538"/>
      <c r="CQ55" s="538"/>
      <c r="CR55" s="529"/>
      <c r="CT55" s="537" t="str">
        <f>IF(CT58="","",SUM(CT58:CT61))</f>
        <v/>
      </c>
      <c r="CU55" s="537"/>
      <c r="CV55" s="537"/>
      <c r="CW55" s="537"/>
      <c r="DB55" s="530"/>
      <c r="DF55" s="75" t="str">
        <f>IF(DH58="","",SUM(DH58:DI61))</f>
        <v/>
      </c>
      <c r="DG55" s="545"/>
      <c r="DH55" s="75"/>
      <c r="DI55" s="75"/>
      <c r="DL55" s="77"/>
      <c r="DM55" s="77"/>
      <c r="DN55" s="553"/>
      <c r="DO55" s="77"/>
      <c r="DR55" s="538" t="str">
        <f>IF(DT58="","",SUM(DT58:DT61))</f>
        <v/>
      </c>
      <c r="DS55" s="538"/>
      <c r="DT55" s="538"/>
      <c r="DU55" s="538"/>
      <c r="DV55" s="529"/>
      <c r="DX55" s="537" t="str">
        <f>IF(DX58="","",SUM(DX58:DX61))</f>
        <v/>
      </c>
      <c r="DY55" s="537"/>
      <c r="DZ55" s="537"/>
      <c r="EA55" s="537"/>
      <c r="EF55" s="530"/>
      <c r="EH55" s="75"/>
    </row>
    <row r="56" spans="1:138" s="114" customFormat="1" ht="13.5" hidden="1" customHeight="1" x14ac:dyDescent="0.15">
      <c r="A56" s="129"/>
      <c r="C56" s="529"/>
      <c r="D56" s="115"/>
      <c r="H56" s="539">
        <f>SUM(J58:J63)</f>
        <v>0</v>
      </c>
      <c r="I56" s="539"/>
      <c r="J56" s="539"/>
      <c r="K56" s="539"/>
      <c r="M56" s="530"/>
      <c r="N56" s="540">
        <f>SUM(N58:N63)</f>
        <v>0</v>
      </c>
      <c r="O56" s="540"/>
      <c r="P56" s="540"/>
      <c r="Q56" s="540"/>
      <c r="R56" s="142"/>
      <c r="S56" s="142"/>
      <c r="T56" s="539">
        <f>SUM(V58:V63)</f>
        <v>0</v>
      </c>
      <c r="U56" s="539"/>
      <c r="V56" s="539"/>
      <c r="W56" s="539"/>
      <c r="X56" s="529"/>
      <c r="Z56" s="540">
        <f>SUM(Z58:Z63)</f>
        <v>0</v>
      </c>
      <c r="AA56" s="540"/>
      <c r="AB56" s="540"/>
      <c r="AC56" s="540"/>
      <c r="AH56" s="530"/>
      <c r="AM56" s="529"/>
      <c r="AN56" s="115"/>
      <c r="AR56" s="539">
        <f>SUM(AT58:AT63)</f>
        <v>0</v>
      </c>
      <c r="AS56" s="539"/>
      <c r="AT56" s="539"/>
      <c r="AU56" s="539"/>
      <c r="AW56" s="530"/>
      <c r="AX56" s="540">
        <f>SUM(AX58:AX63)</f>
        <v>0</v>
      </c>
      <c r="AY56" s="540"/>
      <c r="AZ56" s="540"/>
      <c r="BA56" s="540"/>
      <c r="BD56" s="539">
        <f>SUM(BF58:BF63)</f>
        <v>0</v>
      </c>
      <c r="BE56" s="539"/>
      <c r="BF56" s="539"/>
      <c r="BG56" s="539"/>
      <c r="BH56" s="529"/>
      <c r="BJ56" s="540">
        <f>SUM(BJ58:BJ63)</f>
        <v>0</v>
      </c>
      <c r="BK56" s="540"/>
      <c r="BL56" s="540"/>
      <c r="BM56" s="540"/>
      <c r="BR56" s="530"/>
      <c r="BW56" s="529"/>
      <c r="BX56" s="115"/>
      <c r="CB56" s="539">
        <f>SUM(CD58:CD63)</f>
        <v>0</v>
      </c>
      <c r="CC56" s="539"/>
      <c r="CD56" s="539"/>
      <c r="CE56" s="539"/>
      <c r="CG56" s="530"/>
      <c r="CH56" s="540">
        <f>SUM(CH58:CH63)</f>
        <v>0</v>
      </c>
      <c r="CI56" s="540"/>
      <c r="CJ56" s="540"/>
      <c r="CK56" s="540"/>
      <c r="CN56" s="539">
        <f>SUM(CP58:CP63)</f>
        <v>0</v>
      </c>
      <c r="CO56" s="539"/>
      <c r="CP56" s="539"/>
      <c r="CQ56" s="539"/>
      <c r="CR56" s="529"/>
      <c r="CT56" s="540">
        <f>SUM(CT58:CT63)</f>
        <v>0</v>
      </c>
      <c r="CU56" s="540"/>
      <c r="CV56" s="540"/>
      <c r="CW56" s="540"/>
      <c r="DB56" s="530"/>
      <c r="DF56" s="116">
        <f>SUM(DH58:DI63)</f>
        <v>0</v>
      </c>
      <c r="DG56" s="545"/>
      <c r="DH56" s="116"/>
      <c r="DI56" s="116"/>
      <c r="DK56" s="76"/>
      <c r="DL56" s="142"/>
      <c r="DM56" s="142"/>
      <c r="DN56" s="553"/>
      <c r="DO56" s="142"/>
      <c r="DR56" s="539">
        <f>SUM(DT58:DT63)</f>
        <v>0</v>
      </c>
      <c r="DS56" s="539"/>
      <c r="DT56" s="539"/>
      <c r="DU56" s="539"/>
      <c r="DV56" s="529"/>
      <c r="DX56" s="540">
        <f>SUM(DX58:DX63)</f>
        <v>0</v>
      </c>
      <c r="DY56" s="540"/>
      <c r="DZ56" s="540"/>
      <c r="EA56" s="540"/>
      <c r="EF56" s="530"/>
      <c r="EH56" s="116"/>
    </row>
    <row r="57" spans="1:138" s="76" customFormat="1" ht="3.75" customHeight="1" thickBot="1" x14ac:dyDescent="0.2">
      <c r="A57" s="110"/>
      <c r="C57" s="529"/>
      <c r="D57" s="105"/>
      <c r="J57" s="534"/>
      <c r="K57" s="534"/>
      <c r="L57" s="536"/>
      <c r="M57" s="535"/>
      <c r="N57" s="534"/>
      <c r="O57" s="534"/>
      <c r="V57" s="534"/>
      <c r="W57" s="534"/>
      <c r="X57" s="536"/>
      <c r="Y57" s="535"/>
      <c r="Z57" s="534"/>
      <c r="AA57" s="534"/>
      <c r="AH57" s="530"/>
      <c r="AM57" s="529"/>
      <c r="AN57" s="105"/>
      <c r="AT57" s="534"/>
      <c r="AU57" s="534"/>
      <c r="AV57" s="536"/>
      <c r="AW57" s="535"/>
      <c r="AX57" s="534"/>
      <c r="AY57" s="534"/>
      <c r="BF57" s="534"/>
      <c r="BG57" s="534"/>
      <c r="BH57" s="536"/>
      <c r="BI57" s="535"/>
      <c r="BJ57" s="534"/>
      <c r="BK57" s="534"/>
      <c r="BR57" s="530"/>
      <c r="BW57" s="529"/>
      <c r="BX57" s="105"/>
      <c r="CD57" s="534"/>
      <c r="CE57" s="534"/>
      <c r="CF57" s="536"/>
      <c r="CG57" s="535"/>
      <c r="CH57" s="534"/>
      <c r="CI57" s="534"/>
      <c r="CP57" s="534"/>
      <c r="CQ57" s="534"/>
      <c r="CR57" s="536"/>
      <c r="CS57" s="535"/>
      <c r="CT57" s="534"/>
      <c r="CU57" s="534"/>
      <c r="DB57" s="530"/>
      <c r="DG57" s="545"/>
      <c r="DN57" s="553"/>
      <c r="DT57" s="534"/>
      <c r="DU57" s="534"/>
      <c r="DV57" s="536"/>
      <c r="DW57" s="535"/>
      <c r="DX57" s="534"/>
      <c r="DY57" s="534"/>
      <c r="EF57" s="530"/>
      <c r="EH57" s="75"/>
    </row>
    <row r="58" spans="1:138" s="76" customFormat="1" ht="13.5" customHeight="1" thickTop="1" x14ac:dyDescent="0.15">
      <c r="A58" s="110"/>
      <c r="C58" s="529"/>
      <c r="D58" s="105"/>
      <c r="I58" s="529"/>
      <c r="J58" s="509"/>
      <c r="K58" s="510"/>
      <c r="L58" s="531" t="s">
        <v>72</v>
      </c>
      <c r="M58" s="531"/>
      <c r="N58" s="532"/>
      <c r="O58" s="533"/>
      <c r="P58" s="530"/>
      <c r="U58" s="529"/>
      <c r="V58" s="509"/>
      <c r="W58" s="510"/>
      <c r="X58" s="531" t="s">
        <v>72</v>
      </c>
      <c r="Y58" s="531"/>
      <c r="Z58" s="532"/>
      <c r="AA58" s="533"/>
      <c r="AB58" s="530"/>
      <c r="AH58" s="530"/>
      <c r="AM58" s="529"/>
      <c r="AS58" s="529"/>
      <c r="AT58" s="509"/>
      <c r="AU58" s="510"/>
      <c r="AV58" s="531" t="s">
        <v>72</v>
      </c>
      <c r="AW58" s="531"/>
      <c r="AX58" s="532"/>
      <c r="AY58" s="533"/>
      <c r="AZ58" s="530"/>
      <c r="BE58" s="529"/>
      <c r="BF58" s="509"/>
      <c r="BG58" s="510"/>
      <c r="BH58" s="531" t="s">
        <v>72</v>
      </c>
      <c r="BI58" s="531"/>
      <c r="BJ58" s="532"/>
      <c r="BK58" s="533"/>
      <c r="BL58" s="530"/>
      <c r="BR58" s="530"/>
      <c r="BW58" s="529"/>
      <c r="CC58" s="529"/>
      <c r="CD58" s="509"/>
      <c r="CE58" s="510"/>
      <c r="CF58" s="531" t="s">
        <v>72</v>
      </c>
      <c r="CG58" s="531"/>
      <c r="CH58" s="532"/>
      <c r="CI58" s="533"/>
      <c r="CJ58" s="530"/>
      <c r="CO58" s="529"/>
      <c r="CP58" s="509"/>
      <c r="CQ58" s="510"/>
      <c r="CR58" s="531" t="s">
        <v>72</v>
      </c>
      <c r="CS58" s="531"/>
      <c r="CT58" s="532"/>
      <c r="CU58" s="533"/>
      <c r="CV58" s="530"/>
      <c r="DB58" s="530"/>
      <c r="DG58" s="545"/>
      <c r="DH58" s="527"/>
      <c r="DI58" s="500"/>
      <c r="DJ58" s="485"/>
      <c r="DK58" s="485"/>
      <c r="DL58" s="498"/>
      <c r="DM58" s="528"/>
      <c r="DN58" s="553"/>
      <c r="DS58" s="529"/>
      <c r="DT58" s="509"/>
      <c r="DU58" s="510"/>
      <c r="DV58" s="531" t="s">
        <v>72</v>
      </c>
      <c r="DW58" s="531"/>
      <c r="DX58" s="532"/>
      <c r="DY58" s="533"/>
      <c r="DZ58" s="530"/>
      <c r="EF58" s="530"/>
      <c r="EH58" s="75"/>
    </row>
    <row r="59" spans="1:138" s="76" customFormat="1" ht="13.5" customHeight="1" x14ac:dyDescent="0.15">
      <c r="A59" s="110"/>
      <c r="C59" s="529"/>
      <c r="D59" s="105"/>
      <c r="I59" s="529"/>
      <c r="J59" s="524"/>
      <c r="K59" s="500"/>
      <c r="L59" s="485" t="s">
        <v>72</v>
      </c>
      <c r="M59" s="485"/>
      <c r="N59" s="498"/>
      <c r="O59" s="525"/>
      <c r="P59" s="530"/>
      <c r="U59" s="529"/>
      <c r="V59" s="524"/>
      <c r="W59" s="500"/>
      <c r="X59" s="485" t="s">
        <v>72</v>
      </c>
      <c r="Y59" s="485"/>
      <c r="Z59" s="498"/>
      <c r="AA59" s="525"/>
      <c r="AB59" s="530"/>
      <c r="AH59" s="530"/>
      <c r="AM59" s="529"/>
      <c r="AS59" s="529"/>
      <c r="AT59" s="524"/>
      <c r="AU59" s="500"/>
      <c r="AV59" s="485" t="s">
        <v>72</v>
      </c>
      <c r="AW59" s="485"/>
      <c r="AX59" s="498"/>
      <c r="AY59" s="525"/>
      <c r="AZ59" s="530"/>
      <c r="BE59" s="529"/>
      <c r="BF59" s="524"/>
      <c r="BG59" s="500"/>
      <c r="BH59" s="485" t="s">
        <v>72</v>
      </c>
      <c r="BI59" s="485"/>
      <c r="BJ59" s="498"/>
      <c r="BK59" s="525"/>
      <c r="BL59" s="530"/>
      <c r="BR59" s="530"/>
      <c r="BW59" s="529"/>
      <c r="CC59" s="529"/>
      <c r="CD59" s="524"/>
      <c r="CE59" s="500"/>
      <c r="CF59" s="485" t="s">
        <v>72</v>
      </c>
      <c r="CG59" s="485"/>
      <c r="CH59" s="498"/>
      <c r="CI59" s="525"/>
      <c r="CJ59" s="530"/>
      <c r="CO59" s="529"/>
      <c r="CP59" s="524"/>
      <c r="CQ59" s="500"/>
      <c r="CR59" s="485" t="s">
        <v>72</v>
      </c>
      <c r="CS59" s="485"/>
      <c r="CT59" s="498"/>
      <c r="CU59" s="525"/>
      <c r="CV59" s="530"/>
      <c r="DB59" s="530"/>
      <c r="DG59" s="545"/>
      <c r="DH59" s="527"/>
      <c r="DI59" s="500"/>
      <c r="DJ59" s="485"/>
      <c r="DK59" s="485"/>
      <c r="DL59" s="498"/>
      <c r="DM59" s="528"/>
      <c r="DN59" s="553"/>
      <c r="DS59" s="529"/>
      <c r="DT59" s="524"/>
      <c r="DU59" s="500"/>
      <c r="DV59" s="485" t="s">
        <v>72</v>
      </c>
      <c r="DW59" s="485"/>
      <c r="DX59" s="498"/>
      <c r="DY59" s="525"/>
      <c r="DZ59" s="530"/>
      <c r="EF59" s="530"/>
      <c r="EH59" s="75"/>
    </row>
    <row r="60" spans="1:138" s="76" customFormat="1" ht="13.5" customHeight="1" x14ac:dyDescent="0.15">
      <c r="A60" s="110"/>
      <c r="C60" s="529"/>
      <c r="D60" s="105"/>
      <c r="I60" s="529"/>
      <c r="J60" s="524"/>
      <c r="K60" s="500"/>
      <c r="L60" s="501" t="str">
        <f>IF(OR(SUM(J58:J59)&lt;&gt;SUM(N58:N59),J59=""),"","－")</f>
        <v/>
      </c>
      <c r="M60" s="501"/>
      <c r="N60" s="498"/>
      <c r="O60" s="525"/>
      <c r="P60" s="530"/>
      <c r="U60" s="529"/>
      <c r="V60" s="524"/>
      <c r="W60" s="500"/>
      <c r="X60" s="501" t="str">
        <f>IF(OR(SUM(V58:V59)&lt;&gt;SUM(Z58:Z59),V59=""),"","－")</f>
        <v/>
      </c>
      <c r="Y60" s="501"/>
      <c r="Z60" s="498"/>
      <c r="AA60" s="525"/>
      <c r="AB60" s="530"/>
      <c r="AH60" s="530"/>
      <c r="AM60" s="529"/>
      <c r="AS60" s="529"/>
      <c r="AT60" s="524"/>
      <c r="AU60" s="500"/>
      <c r="AV60" s="501" t="str">
        <f>IF(OR(SUM(AT58:AT59)&lt;&gt;SUM(AX58:AX59),AT59=""),"","－")</f>
        <v/>
      </c>
      <c r="AW60" s="501"/>
      <c r="AX60" s="498"/>
      <c r="AY60" s="525"/>
      <c r="AZ60" s="530"/>
      <c r="BE60" s="529"/>
      <c r="BF60" s="524"/>
      <c r="BG60" s="500"/>
      <c r="BH60" s="501" t="str">
        <f>IF(OR(SUM(BF58:BF59)&lt;&gt;SUM(BJ58:BJ59),BF59=""),"","－")</f>
        <v/>
      </c>
      <c r="BI60" s="501"/>
      <c r="BJ60" s="498"/>
      <c r="BK60" s="525"/>
      <c r="BL60" s="530"/>
      <c r="BR60" s="530"/>
      <c r="BW60" s="529"/>
      <c r="CC60" s="529"/>
      <c r="CD60" s="524"/>
      <c r="CE60" s="500"/>
      <c r="CF60" s="501" t="str">
        <f>IF(OR(SUM(CD58:CD59)&lt;&gt;SUM(CH58:CH59),CD59=""),"","－")</f>
        <v/>
      </c>
      <c r="CG60" s="501"/>
      <c r="CH60" s="498"/>
      <c r="CI60" s="525"/>
      <c r="CJ60" s="530"/>
      <c r="CO60" s="529"/>
      <c r="CP60" s="524"/>
      <c r="CQ60" s="500"/>
      <c r="CR60" s="501" t="str">
        <f>IF(OR(SUM(CP58:CP59)&lt;&gt;SUM(CT58:CT59),CP59=""),"","－")</f>
        <v/>
      </c>
      <c r="CS60" s="501"/>
      <c r="CT60" s="498"/>
      <c r="CU60" s="525"/>
      <c r="CV60" s="530"/>
      <c r="DB60" s="530"/>
      <c r="DG60" s="545"/>
      <c r="DH60" s="527"/>
      <c r="DI60" s="500"/>
      <c r="DJ60" s="501"/>
      <c r="DK60" s="501"/>
      <c r="DL60" s="498"/>
      <c r="DM60" s="528"/>
      <c r="DN60" s="553"/>
      <c r="DS60" s="529"/>
      <c r="DT60" s="524"/>
      <c r="DU60" s="500"/>
      <c r="DV60" s="501" t="str">
        <f>IF(OR(SUM(DT58:DT59)&lt;&gt;SUM(DX58:DX59),DT59=""),"","－")</f>
        <v/>
      </c>
      <c r="DW60" s="501"/>
      <c r="DX60" s="498"/>
      <c r="DY60" s="525"/>
      <c r="DZ60" s="530"/>
      <c r="EF60" s="530"/>
      <c r="EH60" s="75"/>
    </row>
    <row r="61" spans="1:138" s="76" customFormat="1" ht="13.5" customHeight="1" x14ac:dyDescent="0.15">
      <c r="A61" s="110"/>
      <c r="C61" s="529"/>
      <c r="D61" s="105"/>
      <c r="I61" s="529"/>
      <c r="J61" s="524"/>
      <c r="K61" s="500"/>
      <c r="L61" s="501" t="str">
        <f>IF(OR(SUM(J58:J59)&lt;&gt;SUM(N58:N59),J59=""),"","－")</f>
        <v/>
      </c>
      <c r="M61" s="501"/>
      <c r="N61" s="498"/>
      <c r="O61" s="525"/>
      <c r="P61" s="530"/>
      <c r="U61" s="529"/>
      <c r="V61" s="524"/>
      <c r="W61" s="500"/>
      <c r="X61" s="501" t="str">
        <f>IF(OR(SUM(V58:V59)&lt;&gt;SUM(Z58:Z59),V59=""),"","－")</f>
        <v/>
      </c>
      <c r="Y61" s="501"/>
      <c r="Z61" s="498"/>
      <c r="AA61" s="525"/>
      <c r="AB61" s="530"/>
      <c r="AH61" s="530"/>
      <c r="AM61" s="529"/>
      <c r="AS61" s="529"/>
      <c r="AT61" s="524"/>
      <c r="AU61" s="500"/>
      <c r="AV61" s="501" t="str">
        <f>IF(OR(SUM(AT58:AT59)&lt;&gt;SUM(AX58:AX59),AT59=""),"","－")</f>
        <v/>
      </c>
      <c r="AW61" s="501"/>
      <c r="AX61" s="498"/>
      <c r="AY61" s="525"/>
      <c r="AZ61" s="530"/>
      <c r="BE61" s="529"/>
      <c r="BF61" s="524"/>
      <c r="BG61" s="500"/>
      <c r="BH61" s="501" t="str">
        <f>IF(OR(SUM(BF58:BF59)&lt;&gt;SUM(BJ58:BJ59),BF59=""),"","－")</f>
        <v/>
      </c>
      <c r="BI61" s="501"/>
      <c r="BJ61" s="498"/>
      <c r="BK61" s="525"/>
      <c r="BL61" s="530"/>
      <c r="BR61" s="530"/>
      <c r="BW61" s="529"/>
      <c r="CC61" s="529"/>
      <c r="CD61" s="524"/>
      <c r="CE61" s="500"/>
      <c r="CF61" s="501" t="str">
        <f>IF(OR(SUM(CD58:CD59)&lt;&gt;SUM(CH58:CH59),CD59=""),"","－")</f>
        <v/>
      </c>
      <c r="CG61" s="501"/>
      <c r="CH61" s="498"/>
      <c r="CI61" s="525"/>
      <c r="CJ61" s="530"/>
      <c r="CO61" s="529"/>
      <c r="CP61" s="524"/>
      <c r="CQ61" s="500"/>
      <c r="CR61" s="501" t="str">
        <f>IF(OR(SUM(CP58:CP59)&lt;&gt;SUM(CT58:CT59),CP59=""),"","－")</f>
        <v/>
      </c>
      <c r="CS61" s="501"/>
      <c r="CT61" s="498"/>
      <c r="CU61" s="525"/>
      <c r="CV61" s="530"/>
      <c r="DB61" s="530"/>
      <c r="DG61" s="545"/>
      <c r="DH61" s="527"/>
      <c r="DI61" s="500"/>
      <c r="DJ61" s="501"/>
      <c r="DK61" s="501"/>
      <c r="DL61" s="498"/>
      <c r="DM61" s="528"/>
      <c r="DN61" s="553"/>
      <c r="DS61" s="529"/>
      <c r="DT61" s="524"/>
      <c r="DU61" s="500"/>
      <c r="DV61" s="501" t="str">
        <f>IF(OR(SUM(DT58:DT59)&lt;&gt;SUM(DX58:DX59),DT59=""),"","－")</f>
        <v/>
      </c>
      <c r="DW61" s="501"/>
      <c r="DX61" s="498"/>
      <c r="DY61" s="525"/>
      <c r="DZ61" s="530"/>
      <c r="EF61" s="530"/>
      <c r="EH61" s="75"/>
    </row>
    <row r="62" spans="1:138" s="123" customFormat="1" ht="13.5" customHeight="1" x14ac:dyDescent="0.2">
      <c r="A62" s="122"/>
      <c r="C62" s="529"/>
      <c r="D62" s="124"/>
      <c r="I62" s="529"/>
      <c r="J62" s="120"/>
      <c r="K62" s="499" t="str">
        <f>IF(OR(SUM(J58:J61)&lt;&gt;SUM(N58:N61),J61=""),"","PK")</f>
        <v/>
      </c>
      <c r="L62" s="499"/>
      <c r="M62" s="499"/>
      <c r="N62" s="499"/>
      <c r="O62" s="121"/>
      <c r="P62" s="530"/>
      <c r="U62" s="529"/>
      <c r="V62" s="120"/>
      <c r="W62" s="499" t="str">
        <f>IF(OR(SUM(V58:V61)&lt;&gt;SUM(Z58:Z61),V61=""),"","PK")</f>
        <v/>
      </c>
      <c r="X62" s="499"/>
      <c r="Y62" s="499"/>
      <c r="Z62" s="499"/>
      <c r="AA62" s="121"/>
      <c r="AB62" s="530"/>
      <c r="AH62" s="530"/>
      <c r="AM62" s="529"/>
      <c r="AS62" s="529"/>
      <c r="AT62" s="120"/>
      <c r="AU62" s="499" t="str">
        <f>IF(OR(SUM(AT58:AT61)&lt;&gt;SUM(AX58:AX61),AT61=""),"","PK")</f>
        <v/>
      </c>
      <c r="AV62" s="499"/>
      <c r="AW62" s="499"/>
      <c r="AX62" s="499"/>
      <c r="AY62" s="121"/>
      <c r="AZ62" s="530"/>
      <c r="BE62" s="529"/>
      <c r="BF62" s="120"/>
      <c r="BG62" s="499" t="str">
        <f>IF(OR(SUM(BF58:BF61)&lt;&gt;SUM(BJ58:BJ61),BF61=""),"","PK")</f>
        <v/>
      </c>
      <c r="BH62" s="499"/>
      <c r="BI62" s="499"/>
      <c r="BJ62" s="499"/>
      <c r="BK62" s="121"/>
      <c r="BL62" s="530"/>
      <c r="BR62" s="530"/>
      <c r="BW62" s="529"/>
      <c r="CC62" s="529"/>
      <c r="CD62" s="120"/>
      <c r="CE62" s="499" t="str">
        <f>IF(OR(SUM(CD58:CD61)&lt;&gt;SUM(CH58:CH61),CD61=""),"","PK")</f>
        <v/>
      </c>
      <c r="CF62" s="499"/>
      <c r="CG62" s="499"/>
      <c r="CH62" s="499"/>
      <c r="CI62" s="121"/>
      <c r="CJ62" s="530"/>
      <c r="CO62" s="529"/>
      <c r="CP62" s="120"/>
      <c r="CQ62" s="499" t="str">
        <f>IF(OR(SUM(CP58:CP61)&lt;&gt;SUM(CT58:CT61),CP61=""),"","PK")</f>
        <v/>
      </c>
      <c r="CR62" s="499"/>
      <c r="CS62" s="499"/>
      <c r="CT62" s="499"/>
      <c r="CU62" s="121"/>
      <c r="CV62" s="530"/>
      <c r="DB62" s="530"/>
      <c r="DG62" s="545"/>
      <c r="DH62" s="120"/>
      <c r="DI62" s="499"/>
      <c r="DJ62" s="499"/>
      <c r="DK62" s="499"/>
      <c r="DL62" s="499"/>
      <c r="DM62" s="121"/>
      <c r="DN62" s="553"/>
      <c r="DS62" s="529"/>
      <c r="DT62" s="120"/>
      <c r="DU62" s="499" t="str">
        <f>IF(OR(SUM(DT58:DT61)&lt;&gt;SUM(DX58:DX61),DT61=""),"","PK")</f>
        <v/>
      </c>
      <c r="DV62" s="499"/>
      <c r="DW62" s="499"/>
      <c r="DX62" s="499"/>
      <c r="DY62" s="121"/>
      <c r="DZ62" s="530"/>
      <c r="EF62" s="530"/>
      <c r="EH62" s="120"/>
    </row>
    <row r="63" spans="1:138" s="76" customFormat="1" ht="13.5" customHeight="1" x14ac:dyDescent="0.15">
      <c r="A63" s="110"/>
      <c r="C63" s="529"/>
      <c r="D63" s="105"/>
      <c r="I63" s="529"/>
      <c r="J63" s="524"/>
      <c r="K63" s="500"/>
      <c r="L63" s="501" t="str">
        <f>IF(OR(SUM(J58:J61)&lt;&gt;SUM(N58:N61),J61=""),"","－")</f>
        <v/>
      </c>
      <c r="M63" s="501"/>
      <c r="N63" s="498"/>
      <c r="O63" s="525"/>
      <c r="P63" s="530"/>
      <c r="U63" s="529"/>
      <c r="V63" s="524"/>
      <c r="W63" s="500"/>
      <c r="X63" s="501" t="str">
        <f>IF(OR(SUM(V58:V61)&lt;&gt;SUM(Z58:Z61),V61=""),"","－")</f>
        <v/>
      </c>
      <c r="Y63" s="501"/>
      <c r="Z63" s="498"/>
      <c r="AA63" s="525"/>
      <c r="AB63" s="530"/>
      <c r="AH63" s="530"/>
      <c r="AM63" s="529"/>
      <c r="AS63" s="529"/>
      <c r="AT63" s="524"/>
      <c r="AU63" s="500"/>
      <c r="AV63" s="501" t="str">
        <f>IF(OR(SUM(AT58:AT61)&lt;&gt;SUM(AX58:AX61),AT61=""),"","－")</f>
        <v/>
      </c>
      <c r="AW63" s="501"/>
      <c r="AX63" s="498"/>
      <c r="AY63" s="525"/>
      <c r="AZ63" s="530"/>
      <c r="BE63" s="529"/>
      <c r="BF63" s="524"/>
      <c r="BG63" s="500"/>
      <c r="BH63" s="501" t="str">
        <f>IF(OR(SUM(BF58:BF61)&lt;&gt;SUM(BJ58:BJ61),BF61=""),"","－")</f>
        <v/>
      </c>
      <c r="BI63" s="501"/>
      <c r="BJ63" s="498"/>
      <c r="BK63" s="525"/>
      <c r="BL63" s="530"/>
      <c r="BR63" s="530"/>
      <c r="BW63" s="529"/>
      <c r="CC63" s="529"/>
      <c r="CD63" s="524"/>
      <c r="CE63" s="500"/>
      <c r="CF63" s="501" t="str">
        <f>IF(OR(SUM(CD58:CD61)&lt;&gt;SUM(CH58:CH61),CD61=""),"","－")</f>
        <v/>
      </c>
      <c r="CG63" s="501"/>
      <c r="CH63" s="498"/>
      <c r="CI63" s="525"/>
      <c r="CJ63" s="530"/>
      <c r="CO63" s="529"/>
      <c r="CP63" s="524"/>
      <c r="CQ63" s="500"/>
      <c r="CR63" s="501" t="str">
        <f>IF(OR(SUM(CP58:CP61)&lt;&gt;SUM(CT58:CT61),CP61=""),"","－")</f>
        <v/>
      </c>
      <c r="CS63" s="501"/>
      <c r="CT63" s="498"/>
      <c r="CU63" s="525"/>
      <c r="CV63" s="530"/>
      <c r="DB63" s="530"/>
      <c r="DG63" s="545"/>
      <c r="DH63" s="527"/>
      <c r="DI63" s="500"/>
      <c r="DJ63" s="501"/>
      <c r="DK63" s="501"/>
      <c r="DL63" s="498"/>
      <c r="DM63" s="528"/>
      <c r="DN63" s="553"/>
      <c r="DS63" s="529"/>
      <c r="DT63" s="524"/>
      <c r="DU63" s="500"/>
      <c r="DV63" s="501" t="str">
        <f>IF(OR(SUM(DT58:DT61)&lt;&gt;SUM(DX58:DX61),DT61=""),"","－")</f>
        <v/>
      </c>
      <c r="DW63" s="501"/>
      <c r="DX63" s="498"/>
      <c r="DY63" s="525"/>
      <c r="DZ63" s="530"/>
      <c r="EF63" s="530"/>
      <c r="EH63" s="75"/>
    </row>
    <row r="64" spans="1:138" s="126" customFormat="1" ht="13.5" customHeight="1" x14ac:dyDescent="0.15">
      <c r="A64" s="125"/>
      <c r="C64" s="529"/>
      <c r="D64" s="127"/>
      <c r="I64" s="529"/>
      <c r="K64" s="526" t="str">
        <f>IF(J63="","","PK")</f>
        <v/>
      </c>
      <c r="L64" s="526"/>
      <c r="M64" s="526"/>
      <c r="N64" s="526"/>
      <c r="P64" s="530"/>
      <c r="U64" s="529"/>
      <c r="W64" s="526" t="str">
        <f>IF(V63="","","PK")</f>
        <v/>
      </c>
      <c r="X64" s="526"/>
      <c r="Y64" s="526"/>
      <c r="Z64" s="526"/>
      <c r="AB64" s="530"/>
      <c r="AH64" s="530"/>
      <c r="AM64" s="529"/>
      <c r="AS64" s="529"/>
      <c r="AU64" s="526" t="str">
        <f>IF(AT63="","","PK")</f>
        <v/>
      </c>
      <c r="AV64" s="526"/>
      <c r="AW64" s="526"/>
      <c r="AX64" s="526"/>
      <c r="AZ64" s="530"/>
      <c r="BE64" s="529"/>
      <c r="BG64" s="526" t="str">
        <f>IF(BF63="","","PK")</f>
        <v/>
      </c>
      <c r="BH64" s="526"/>
      <c r="BI64" s="526"/>
      <c r="BJ64" s="526"/>
      <c r="BL64" s="530"/>
      <c r="BR64" s="530"/>
      <c r="BW64" s="529"/>
      <c r="CC64" s="529"/>
      <c r="CE64" s="526" t="str">
        <f>IF(CD63="","","PK")</f>
        <v/>
      </c>
      <c r="CF64" s="526"/>
      <c r="CG64" s="526"/>
      <c r="CH64" s="526"/>
      <c r="CJ64" s="530"/>
      <c r="CO64" s="529"/>
      <c r="CQ64" s="526" t="str">
        <f>IF(CP63="","","PK")</f>
        <v/>
      </c>
      <c r="CR64" s="526"/>
      <c r="CS64" s="526"/>
      <c r="CT64" s="526"/>
      <c r="CV64" s="530"/>
      <c r="DB64" s="530"/>
      <c r="DG64" s="545"/>
      <c r="DI64" s="526"/>
      <c r="DJ64" s="526"/>
      <c r="DK64" s="526"/>
      <c r="DL64" s="526"/>
      <c r="DN64" s="553"/>
      <c r="DS64" s="529"/>
      <c r="DU64" s="526" t="str">
        <f>IF(DT63="","","PK")</f>
        <v/>
      </c>
      <c r="DV64" s="526"/>
      <c r="DW64" s="526"/>
      <c r="DX64" s="526"/>
      <c r="DZ64" s="530"/>
      <c r="EF64" s="530"/>
      <c r="EH64" s="128"/>
    </row>
    <row r="65" spans="2:148" s="140" customFormat="1" ht="13.5" customHeight="1" x14ac:dyDescent="0.15">
      <c r="B65" s="523">
        <f>1</f>
        <v>1</v>
      </c>
      <c r="C65" s="523"/>
      <c r="D65" s="523"/>
      <c r="E65" s="523"/>
      <c r="H65" s="523">
        <f>B65+1</f>
        <v>2</v>
      </c>
      <c r="I65" s="523"/>
      <c r="J65" s="523"/>
      <c r="K65" s="523"/>
      <c r="N65" s="523">
        <f>H65+1</f>
        <v>3</v>
      </c>
      <c r="O65" s="523"/>
      <c r="P65" s="523"/>
      <c r="Q65" s="523"/>
      <c r="T65" s="523">
        <f>N65+1</f>
        <v>4</v>
      </c>
      <c r="U65" s="523"/>
      <c r="V65" s="523"/>
      <c r="W65" s="523"/>
      <c r="Z65" s="523">
        <f>T65+1</f>
        <v>5</v>
      </c>
      <c r="AA65" s="523"/>
      <c r="AB65" s="523"/>
      <c r="AC65" s="523"/>
      <c r="AF65" s="523">
        <f>Z65+1</f>
        <v>6</v>
      </c>
      <c r="AG65" s="523"/>
      <c r="AH65" s="523"/>
      <c r="AI65" s="523"/>
      <c r="AL65" s="523">
        <f>AF65+1</f>
        <v>7</v>
      </c>
      <c r="AM65" s="523"/>
      <c r="AN65" s="523"/>
      <c r="AO65" s="523"/>
      <c r="AR65" s="523">
        <f>AL65+1</f>
        <v>8</v>
      </c>
      <c r="AS65" s="523"/>
      <c r="AT65" s="523"/>
      <c r="AU65" s="523"/>
      <c r="AX65" s="523">
        <f>AR65+1</f>
        <v>9</v>
      </c>
      <c r="AY65" s="523"/>
      <c r="AZ65" s="523"/>
      <c r="BA65" s="523"/>
      <c r="BD65" s="523">
        <f>AX65+1</f>
        <v>10</v>
      </c>
      <c r="BE65" s="523"/>
      <c r="BF65" s="523"/>
      <c r="BG65" s="523"/>
      <c r="BJ65" s="523">
        <f>BD65+1</f>
        <v>11</v>
      </c>
      <c r="BK65" s="523"/>
      <c r="BL65" s="523"/>
      <c r="BM65" s="523"/>
      <c r="BP65" s="523">
        <f>BJ65+1</f>
        <v>12</v>
      </c>
      <c r="BQ65" s="523"/>
      <c r="BR65" s="523"/>
      <c r="BS65" s="523"/>
      <c r="BV65" s="523">
        <f>BP65+1</f>
        <v>13</v>
      </c>
      <c r="BW65" s="523"/>
      <c r="BX65" s="523"/>
      <c r="BY65" s="523"/>
      <c r="CB65" s="523">
        <f>BV65+1</f>
        <v>14</v>
      </c>
      <c r="CC65" s="523"/>
      <c r="CD65" s="523"/>
      <c r="CE65" s="523"/>
      <c r="CH65" s="523">
        <f>CB65+1</f>
        <v>15</v>
      </c>
      <c r="CI65" s="523"/>
      <c r="CJ65" s="523"/>
      <c r="CK65" s="523"/>
      <c r="CN65" s="523">
        <f>CH65+1</f>
        <v>16</v>
      </c>
      <c r="CO65" s="523"/>
      <c r="CP65" s="523"/>
      <c r="CQ65" s="523"/>
      <c r="CT65" s="523">
        <f>CN65+1</f>
        <v>17</v>
      </c>
      <c r="CU65" s="523"/>
      <c r="CV65" s="523"/>
      <c r="CW65" s="523"/>
      <c r="CZ65" s="523">
        <f>CT65+1</f>
        <v>18</v>
      </c>
      <c r="DA65" s="523"/>
      <c r="DB65" s="523"/>
      <c r="DC65" s="523"/>
      <c r="DF65" s="523">
        <f>CZ65+1</f>
        <v>19</v>
      </c>
      <c r="DG65" s="523"/>
      <c r="DH65" s="523"/>
      <c r="DI65" s="523"/>
      <c r="DL65" s="523">
        <f>DF65+1</f>
        <v>20</v>
      </c>
      <c r="DM65" s="523"/>
      <c r="DN65" s="523"/>
      <c r="DO65" s="523"/>
      <c r="DR65" s="523">
        <f>DL65+1</f>
        <v>21</v>
      </c>
      <c r="DS65" s="523"/>
      <c r="DT65" s="523"/>
      <c r="DU65" s="523"/>
      <c r="DX65" s="523">
        <f>DR65+1</f>
        <v>22</v>
      </c>
      <c r="DY65" s="523"/>
      <c r="DZ65" s="523"/>
      <c r="EA65" s="523"/>
      <c r="ED65" s="523">
        <f>DX65+1</f>
        <v>23</v>
      </c>
      <c r="EE65" s="523"/>
      <c r="EF65" s="523"/>
      <c r="EG65" s="523"/>
      <c r="EH65" s="143"/>
    </row>
    <row r="66" spans="2:148" s="396" customFormat="1" ht="105" customHeight="1" x14ac:dyDescent="0.15">
      <c r="B66" s="511" t="str">
        <f>IF(ISERROR(MATCH(B65,予選学校名!$B$3:$B$32,0))=TRUE,B65,INDEX(予選学校名!$B$3:$F$32,MATCH(B65,予選学校名!$B$3:$B$32,0),2))</f>
        <v>星稜</v>
      </c>
      <c r="C66" s="512"/>
      <c r="D66" s="512"/>
      <c r="E66" s="513"/>
      <c r="F66" s="395"/>
      <c r="G66" s="395"/>
      <c r="H66" s="511" t="str">
        <f>IF(ISERROR(MATCH(H65,予選学校名!$B$3:$B$32,0))=TRUE,H65,INDEX(予選学校名!$B$3:$F$32,MATCH(H65,予選学校名!$B$3:$B$32,0),2))</f>
        <v>港</v>
      </c>
      <c r="I66" s="512"/>
      <c r="J66" s="512"/>
      <c r="K66" s="513"/>
      <c r="L66" s="395"/>
      <c r="M66" s="395"/>
      <c r="N66" s="511" t="str">
        <f>IF(ISERROR(MATCH(N65,予選学校名!$B$3:$B$32,0))=TRUE,N65,INDEX(予選学校名!$B$3:$F$32,MATCH(N65,予選学校名!$B$3:$B$32,0),2))</f>
        <v>津幡</v>
      </c>
      <c r="O66" s="512"/>
      <c r="P66" s="512"/>
      <c r="Q66" s="513"/>
      <c r="T66" s="511" t="str">
        <f>IF(ISERROR(MATCH(T65,予選学校名!$B$3:$B$32,0))=TRUE,T65,INDEX(予選学校名!$B$3:$F$32,MATCH(T65,予選学校名!$B$3:$B$32,0),2))</f>
        <v>長田</v>
      </c>
      <c r="U66" s="512"/>
      <c r="V66" s="512"/>
      <c r="W66" s="513"/>
      <c r="X66" s="395"/>
      <c r="Y66" s="395"/>
      <c r="Z66" s="511" t="str">
        <f>IF(ISERROR(MATCH(Z65,予選学校名!$B$3:$B$32,0))=TRUE,Z65,INDEX(予選学校名!$B$3:$F$32,MATCH(Z65,予選学校名!$B$3:$B$32,0),2))</f>
        <v>野田</v>
      </c>
      <c r="AA66" s="512"/>
      <c r="AB66" s="512"/>
      <c r="AC66" s="513"/>
      <c r="AD66" s="395"/>
      <c r="AE66" s="395"/>
      <c r="AF66" s="511" t="str">
        <f>IF(ISERROR(MATCH(AF65,予選学校名!$B$3:$B$32,0))=TRUE,AF65,INDEX(予選学校名!$B$3:$F$32,MATCH(AF65,予選学校名!$B$3:$B$32,0),2))</f>
        <v>兼六</v>
      </c>
      <c r="AG66" s="512"/>
      <c r="AH66" s="512"/>
      <c r="AI66" s="513"/>
      <c r="AJ66" s="395"/>
      <c r="AK66" s="395"/>
      <c r="AL66" s="511" t="str">
        <f>IF(ISERROR(MATCH(AL65,予選学校名!$B$3:$B$32,0))=TRUE,AL65,INDEX(予選学校名!$B$3:$F$32,MATCH(AL65,予選学校名!$B$3:$B$32,0),2))</f>
        <v>高岡</v>
      </c>
      <c r="AM66" s="512"/>
      <c r="AN66" s="512"/>
      <c r="AO66" s="513"/>
      <c r="AP66" s="395"/>
      <c r="AQ66" s="395"/>
      <c r="AR66" s="511" t="str">
        <f>IF(ISERROR(MATCH(AR65,予選学校名!$B$3:$B$32,0))=TRUE,AR65,INDEX(予選学校名!$B$3:$F$32,MATCH(AR65,予選学校名!$B$3:$B$32,0),2))</f>
        <v>森本</v>
      </c>
      <c r="AS66" s="512"/>
      <c r="AT66" s="512"/>
      <c r="AU66" s="513"/>
      <c r="AV66" s="395"/>
      <c r="AW66" s="395"/>
      <c r="AX66" s="511" t="str">
        <f>IF(ISERROR(MATCH(AX65,予選学校名!$B$3:$B$32,0))=TRUE,AX65,INDEX(予選学校名!$B$3:$F$32,MATCH(AX65,予選学校名!$B$3:$B$32,0),2))</f>
        <v>緑</v>
      </c>
      <c r="AY66" s="512"/>
      <c r="AZ66" s="512"/>
      <c r="BA66" s="513"/>
      <c r="BB66" s="395"/>
      <c r="BC66" s="395"/>
      <c r="BD66" s="511" t="str">
        <f>IF(ISERROR(MATCH(BD65,予選学校名!$B$3:$B$32,0))=TRUE,BD65,INDEX(予選学校名!$B$3:$F$32,MATCH(BD65,予選学校名!$B$3:$B$32,0),2))</f>
        <v>城南</v>
      </c>
      <c r="BE66" s="512"/>
      <c r="BF66" s="512"/>
      <c r="BG66" s="513"/>
      <c r="BH66" s="395"/>
      <c r="BI66" s="395"/>
      <c r="BJ66" s="511" t="str">
        <f>IF(ISERROR(MATCH(BJ65,予選学校名!$B$3:$B$32,0))=TRUE,BJ65,INDEX(予選学校名!$B$3:$F$32,MATCH(BJ65,予選学校名!$B$3:$B$32,0),2))</f>
        <v>浅野川</v>
      </c>
      <c r="BK66" s="512"/>
      <c r="BL66" s="512"/>
      <c r="BM66" s="513"/>
      <c r="BN66" s="395"/>
      <c r="BO66" s="395"/>
      <c r="BP66" s="511" t="str">
        <f>IF(ISERROR(MATCH(BP65,予選学校名!$B$3:$B$32,0))=TRUE,BP65,INDEX(予選学校名!$B$3:$F$32,MATCH(BP65,予選学校名!$B$3:$B$32,0),2))</f>
        <v>学院附属</v>
      </c>
      <c r="BQ66" s="512"/>
      <c r="BR66" s="512"/>
      <c r="BS66" s="513"/>
      <c r="BT66" s="395"/>
      <c r="BU66" s="395"/>
      <c r="BV66" s="511" t="str">
        <f>IF(ISERROR(MATCH(BV65,予選学校名!$B$3:$B$32,0))=TRUE,BV65,INDEX(予選学校名!$B$3:$F$32,MATCH(BV65,予選学校名!$B$3:$B$32,0),2))</f>
        <v>大徳</v>
      </c>
      <c r="BW66" s="512"/>
      <c r="BX66" s="512"/>
      <c r="BY66" s="513"/>
      <c r="BZ66" s="395"/>
      <c r="CA66" s="395"/>
      <c r="CB66" s="511" t="str">
        <f>IF(ISERROR(MATCH(CB65,予選学校名!$B$3:$B$32,0))=TRUE,CB65,INDEX(予選学校名!$B$3:$F$32,MATCH(CB65,予選学校名!$B$3:$B$32,0),2))</f>
        <v>金沢錦丘</v>
      </c>
      <c r="CC66" s="512"/>
      <c r="CD66" s="512"/>
      <c r="CE66" s="513"/>
      <c r="CF66" s="395"/>
      <c r="CG66" s="395"/>
      <c r="CH66" s="511" t="str">
        <f>IF(ISERROR(MATCH(CH65,予選学校名!$B$3:$B$32,0))=TRUE,CH65,INDEX(予選学校名!$B$3:$F$32,MATCH(CH65,予選学校名!$B$3:$B$32,0),2))</f>
        <v>泉</v>
      </c>
      <c r="CI66" s="512"/>
      <c r="CJ66" s="512"/>
      <c r="CK66" s="513"/>
      <c r="CL66" s="395"/>
      <c r="CM66" s="395"/>
      <c r="CN66" s="511" t="str">
        <f>IF(ISERROR(MATCH(CN65,予選学校名!$B$3:$B$32,0))=TRUE,CN65,INDEX(予選学校名!$B$3:$F$32,MATCH(CN65,予選学校名!$B$3:$B$32,0),2))</f>
        <v>内灘</v>
      </c>
      <c r="CO66" s="512"/>
      <c r="CP66" s="512"/>
      <c r="CQ66" s="513"/>
      <c r="CR66" s="395"/>
      <c r="CS66" s="395"/>
      <c r="CT66" s="511" t="str">
        <f>IF(ISERROR(MATCH(CT65,予選学校名!$B$3:$B$32,0))=TRUE,CT65,INDEX(予選学校名!$B$3:$F$32,MATCH(CT65,予選学校名!$B$3:$B$32,0),2))</f>
        <v>清泉</v>
      </c>
      <c r="CU66" s="512"/>
      <c r="CV66" s="512"/>
      <c r="CW66" s="513"/>
      <c r="CX66" s="395"/>
      <c r="CY66" s="395"/>
      <c r="CZ66" s="511" t="str">
        <f>IF(ISERROR(MATCH(CZ65,予選学校名!$B$3:$B$32,0))=TRUE,CZ65,INDEX(予選学校名!$B$3:$F$32,MATCH(CZ65,予選学校名!$B$3:$B$32,0),2))</f>
        <v>西南部</v>
      </c>
      <c r="DA66" s="512"/>
      <c r="DB66" s="512"/>
      <c r="DC66" s="513"/>
      <c r="DD66" s="395"/>
      <c r="DE66" s="395"/>
      <c r="DF66" s="511" t="str">
        <f>IF(ISERROR(MATCH(DF65,予選学校名!$B$3:$B$32,0))=TRUE,DF65,INDEX(予選学校名!$B$3:$F$32,MATCH(DF65,予選学校名!$B$3:$B$32,0),2))</f>
        <v>金石</v>
      </c>
      <c r="DG66" s="512"/>
      <c r="DH66" s="512"/>
      <c r="DI66" s="513"/>
      <c r="DJ66" s="397"/>
      <c r="DK66" s="395"/>
      <c r="DL66" s="511" t="str">
        <f>IF(ISERROR(MATCH(DL65,予選学校名!$B$3:$B$32,0))=TRUE,DL65,INDEX(予選学校名!$B$3:$F$32,MATCH(DL65,予選学校名!$B$3:$B$32,0),2))</f>
        <v>紫錦台</v>
      </c>
      <c r="DM66" s="512"/>
      <c r="DN66" s="512"/>
      <c r="DO66" s="513"/>
      <c r="DP66" s="395"/>
      <c r="DQ66" s="395"/>
      <c r="DR66" s="511" t="str">
        <f>IF(ISERROR(MATCH(DR65,予選学校名!$B$3:$B$32,0))=TRUE,DR65,INDEX(予選学校名!$B$3:$F$32,MATCH(DR65,予選学校名!$B$3:$B$32,0),2))</f>
        <v>北鳴</v>
      </c>
      <c r="DS66" s="512"/>
      <c r="DT66" s="512"/>
      <c r="DU66" s="513"/>
      <c r="DX66" s="511" t="str">
        <f>IF(ISERROR(MATCH(DX65,予選学校名!$B$3:$B$32,0))=TRUE,DX65,INDEX(予選学校名!$B$3:$F$32,MATCH(DX65,予選学校名!$B$3:$B$32,0),2))</f>
        <v>津幡南</v>
      </c>
      <c r="DY66" s="512"/>
      <c r="DZ66" s="512"/>
      <c r="EA66" s="513"/>
      <c r="EB66" s="395"/>
      <c r="EC66" s="395"/>
      <c r="ED66" s="511" t="str">
        <f>IF(ISERROR(MATCH(ED65,予選学校名!$B$3:$B$32,0))=TRUE,ED65,INDEX(予選学校名!$B$3:$F$32,MATCH(ED65,予選学校名!$B$3:$B$32,0),2))</f>
        <v>高尾台</v>
      </c>
      <c r="EE66" s="512"/>
      <c r="EF66" s="512"/>
      <c r="EG66" s="513"/>
    </row>
    <row r="67" spans="2:148" ht="46.5" customHeight="1" x14ac:dyDescent="0.15"/>
    <row r="68" spans="2:148" ht="13.5" customHeight="1" x14ac:dyDescent="0.15">
      <c r="B68" s="489" t="s">
        <v>613</v>
      </c>
      <c r="C68" s="490"/>
      <c r="D68" s="490"/>
      <c r="E68" s="490"/>
      <c r="F68" s="490"/>
      <c r="G68" s="490"/>
      <c r="H68" s="490"/>
      <c r="I68" s="490"/>
      <c r="J68" s="490"/>
      <c r="K68" s="490"/>
      <c r="L68" s="490"/>
      <c r="M68" s="490"/>
      <c r="N68" s="490"/>
      <c r="O68" s="490"/>
      <c r="P68" s="490"/>
      <c r="Q68" s="490"/>
      <c r="R68" s="490"/>
      <c r="S68" s="490"/>
      <c r="T68" s="490"/>
      <c r="U68" s="490"/>
      <c r="V68" s="490"/>
      <c r="W68" s="490"/>
      <c r="X68" s="490"/>
      <c r="Y68" s="490"/>
      <c r="Z68" s="490"/>
      <c r="AA68" s="490"/>
      <c r="AB68" s="490"/>
      <c r="AC68" s="491"/>
      <c r="EH68" s="105"/>
      <c r="ER68" s="62"/>
    </row>
    <row r="69" spans="2:148" s="76" customFormat="1" ht="13.5" customHeight="1" x14ac:dyDescent="0.15">
      <c r="B69" s="492"/>
      <c r="C69" s="493"/>
      <c r="D69" s="493"/>
      <c r="E69" s="493"/>
      <c r="F69" s="493"/>
      <c r="G69" s="493"/>
      <c r="H69" s="493"/>
      <c r="I69" s="493"/>
      <c r="J69" s="493"/>
      <c r="K69" s="493"/>
      <c r="L69" s="493"/>
      <c r="M69" s="493"/>
      <c r="N69" s="493"/>
      <c r="O69" s="493"/>
      <c r="P69" s="493"/>
      <c r="Q69" s="493"/>
      <c r="R69" s="493"/>
      <c r="S69" s="493"/>
      <c r="T69" s="493"/>
      <c r="U69" s="493"/>
      <c r="V69" s="493"/>
      <c r="W69" s="493"/>
      <c r="X69" s="493"/>
      <c r="Y69" s="493"/>
      <c r="Z69" s="493"/>
      <c r="AA69" s="493"/>
      <c r="AB69" s="493"/>
      <c r="AC69" s="494"/>
      <c r="AZ69" s="521"/>
      <c r="BA69" s="521"/>
      <c r="BB69" s="521"/>
      <c r="BC69" s="521"/>
      <c r="BE69" s="144"/>
      <c r="BF69" s="144"/>
      <c r="BG69" s="144"/>
      <c r="BH69" s="144"/>
      <c r="BI69" s="144"/>
      <c r="BJ69" s="144"/>
      <c r="BK69" s="144"/>
      <c r="BL69" s="144"/>
      <c r="BM69" s="144"/>
      <c r="BN69" s="522"/>
      <c r="BO69" s="522"/>
      <c r="BP69" s="522"/>
      <c r="BQ69" s="522"/>
      <c r="BR69" s="522"/>
      <c r="BS69" s="522"/>
      <c r="BT69" s="522"/>
      <c r="BU69" s="522"/>
      <c r="BV69" s="522"/>
      <c r="BW69" s="522"/>
      <c r="BX69" s="522"/>
      <c r="BY69" s="522"/>
      <c r="BZ69" s="522"/>
      <c r="CA69" s="522"/>
      <c r="CB69" s="144"/>
      <c r="CC69" s="144"/>
      <c r="CD69" s="144"/>
      <c r="CE69" s="144"/>
      <c r="CF69" s="144"/>
      <c r="CG69" s="144"/>
      <c r="CH69" s="144"/>
      <c r="CI69" s="144"/>
      <c r="CJ69" s="144"/>
      <c r="CK69" s="144"/>
      <c r="CY69" s="72"/>
      <c r="CZ69" s="72"/>
      <c r="DA69" s="72"/>
      <c r="DB69" s="72"/>
      <c r="DC69" s="72"/>
      <c r="DD69" s="72"/>
      <c r="DE69" s="72"/>
      <c r="DF69" s="72"/>
      <c r="DG69" s="72"/>
      <c r="DH69" s="72"/>
      <c r="DI69" s="72"/>
      <c r="DJ69" s="72"/>
      <c r="DK69" s="72"/>
      <c r="DW69" s="105"/>
      <c r="DX69" s="72"/>
      <c r="DY69" s="72"/>
      <c r="DZ69" s="72"/>
      <c r="EA69" s="72"/>
      <c r="EB69" s="72"/>
      <c r="EC69" s="72"/>
      <c r="ED69" s="72"/>
      <c r="ER69" s="75"/>
    </row>
    <row r="70" spans="2:148" s="76" customFormat="1" ht="13.5" customHeight="1" x14ac:dyDescent="0.15">
      <c r="H70" s="495" t="str">
        <f>IF(Z73=Z80,"",IF(Z73&gt;Z80,"【第5代表】",IF(BC76&gt;CE76,"【第7代表】","")))</f>
        <v/>
      </c>
      <c r="I70" s="495"/>
      <c r="J70" s="495"/>
      <c r="K70" s="495"/>
      <c r="L70" s="495"/>
      <c r="M70" s="495"/>
      <c r="N70" s="495"/>
      <c r="O70" s="495"/>
      <c r="P70" s="495"/>
      <c r="Q70" s="495"/>
      <c r="R70" s="495"/>
      <c r="S70" s="495"/>
      <c r="T70" s="495"/>
      <c r="U70" s="495"/>
      <c r="V70" s="495"/>
      <c r="W70" s="495"/>
      <c r="X70" s="495"/>
      <c r="Y70" s="495"/>
      <c r="AZ70" s="521"/>
      <c r="BA70" s="521"/>
      <c r="BB70" s="521"/>
      <c r="BC70" s="521"/>
      <c r="BD70" s="144"/>
      <c r="BE70" s="144"/>
      <c r="BF70" s="144"/>
      <c r="BG70" s="144"/>
      <c r="BH70" s="144"/>
      <c r="BI70" s="144"/>
      <c r="BJ70" s="144"/>
      <c r="BK70" s="144"/>
      <c r="BL70" s="144"/>
      <c r="BM70" s="144"/>
      <c r="BN70" s="522"/>
      <c r="BO70" s="522"/>
      <c r="BP70" s="522"/>
      <c r="BQ70" s="522"/>
      <c r="BR70" s="522"/>
      <c r="BS70" s="522"/>
      <c r="BT70" s="522"/>
      <c r="BU70" s="522"/>
      <c r="BV70" s="522"/>
      <c r="BW70" s="522"/>
      <c r="BX70" s="522"/>
      <c r="BY70" s="522"/>
      <c r="BZ70" s="522"/>
      <c r="CA70" s="522"/>
      <c r="CB70" s="144"/>
      <c r="CC70" s="144"/>
      <c r="CD70" s="144"/>
      <c r="CE70" s="144"/>
      <c r="CF70" s="144"/>
      <c r="CG70" s="144"/>
      <c r="CH70" s="144"/>
      <c r="CI70" s="144"/>
      <c r="CJ70" s="144"/>
      <c r="CK70" s="144"/>
      <c r="DJ70" s="497" t="str">
        <f>IF(DH73=DH80,"",IF(DH73&gt;DH80,"【第5代表】",IF(BC76&lt;CE76,"【第7代表】","")))</f>
        <v/>
      </c>
      <c r="DK70" s="497"/>
      <c r="DL70" s="497"/>
      <c r="DM70" s="497"/>
      <c r="DN70" s="497"/>
      <c r="DO70" s="497"/>
      <c r="DP70" s="497"/>
      <c r="DQ70" s="497"/>
      <c r="DR70" s="497"/>
      <c r="DS70" s="497"/>
      <c r="DT70" s="497"/>
      <c r="DU70" s="497"/>
      <c r="DV70" s="497"/>
      <c r="DW70" s="497"/>
      <c r="DX70" s="497"/>
      <c r="DY70" s="497"/>
      <c r="DZ70" s="497"/>
      <c r="EA70" s="497"/>
      <c r="ER70" s="75"/>
    </row>
    <row r="71" spans="2:148" s="76" customFormat="1" ht="13.5" customHeight="1" x14ac:dyDescent="0.15">
      <c r="H71" s="495"/>
      <c r="I71" s="495"/>
      <c r="J71" s="495"/>
      <c r="K71" s="495"/>
      <c r="L71" s="495"/>
      <c r="M71" s="495"/>
      <c r="N71" s="495"/>
      <c r="O71" s="495"/>
      <c r="P71" s="495"/>
      <c r="Q71" s="495"/>
      <c r="R71" s="495"/>
      <c r="S71" s="495"/>
      <c r="T71" s="495"/>
      <c r="U71" s="495"/>
      <c r="V71" s="495"/>
      <c r="W71" s="495"/>
      <c r="X71" s="495"/>
      <c r="Y71" s="495"/>
      <c r="AZ71" s="88"/>
      <c r="BA71" s="88"/>
      <c r="BB71" s="88"/>
      <c r="BC71" s="88"/>
      <c r="BD71" s="144"/>
      <c r="BE71" s="144"/>
      <c r="BF71" s="144"/>
      <c r="BG71" s="144"/>
      <c r="BH71" s="144"/>
      <c r="BI71" s="144"/>
      <c r="BJ71" s="144"/>
      <c r="BK71" s="144"/>
      <c r="BL71" s="144"/>
      <c r="BM71" s="144"/>
      <c r="BN71" s="386"/>
      <c r="BO71" s="386"/>
      <c r="BP71" s="386"/>
      <c r="BQ71" s="386"/>
      <c r="BR71" s="386"/>
      <c r="BS71" s="386"/>
      <c r="BT71" s="386"/>
      <c r="BU71" s="386"/>
      <c r="BV71" s="386"/>
      <c r="BW71" s="386"/>
      <c r="BX71" s="386"/>
      <c r="BY71" s="386"/>
      <c r="BZ71" s="386"/>
      <c r="CA71" s="386"/>
      <c r="CB71" s="144"/>
      <c r="CC71" s="144"/>
      <c r="CD71" s="144"/>
      <c r="CE71" s="144"/>
      <c r="CF71" s="144"/>
      <c r="CG71" s="144"/>
      <c r="CH71" s="144"/>
      <c r="CI71" s="144"/>
      <c r="CJ71" s="144"/>
      <c r="CK71" s="144"/>
      <c r="DJ71" s="497"/>
      <c r="DK71" s="497"/>
      <c r="DL71" s="497"/>
      <c r="DM71" s="497"/>
      <c r="DN71" s="497"/>
      <c r="DO71" s="497"/>
      <c r="DP71" s="497"/>
      <c r="DQ71" s="497"/>
      <c r="DR71" s="497"/>
      <c r="DS71" s="497"/>
      <c r="DT71" s="497"/>
      <c r="DU71" s="497"/>
      <c r="DV71" s="497"/>
      <c r="DW71" s="497"/>
      <c r="DX71" s="497"/>
      <c r="DY71" s="497"/>
      <c r="DZ71" s="497"/>
      <c r="EA71" s="497"/>
      <c r="ER71" s="75"/>
    </row>
    <row r="72" spans="2:148" x14ac:dyDescent="0.15">
      <c r="H72" s="508" t="str">
        <f>IF(N28="","ア 負け",IF(N28=C38,AE38,C38))</f>
        <v>ア 負け</v>
      </c>
      <c r="I72" s="508"/>
      <c r="J72" s="508"/>
      <c r="K72" s="508"/>
      <c r="L72" s="508"/>
      <c r="M72" s="508"/>
      <c r="N72" s="508"/>
      <c r="O72" s="508"/>
      <c r="P72" s="508"/>
      <c r="Q72" s="508"/>
      <c r="R72" s="508"/>
      <c r="S72" s="508"/>
      <c r="T72" s="508"/>
      <c r="U72" s="508"/>
      <c r="V72" s="508"/>
      <c r="W72" s="508"/>
      <c r="X72" s="508"/>
      <c r="Y72" s="508"/>
      <c r="Z72" s="504" t="str">
        <f>IF(AQ74="","",SUM(AQ74:AT77))</f>
        <v/>
      </c>
      <c r="AA72" s="504"/>
      <c r="AB72" s="504"/>
      <c r="AC72" s="504"/>
      <c r="AD72" s="504"/>
      <c r="AE72" s="504"/>
      <c r="AF72" s="504"/>
      <c r="AG72" s="504"/>
      <c r="AH72" s="504"/>
      <c r="AI72" s="504"/>
      <c r="AJ72" s="504"/>
      <c r="AK72" s="504"/>
      <c r="AL72" s="504"/>
      <c r="AM72" s="504"/>
      <c r="AN72" s="504"/>
      <c r="AO72" s="504"/>
      <c r="AP72" s="504"/>
      <c r="AQ72" s="504"/>
      <c r="AR72" s="504"/>
      <c r="AS72" s="504"/>
      <c r="AT72" s="504"/>
      <c r="AU72" s="504"/>
      <c r="AV72" s="504"/>
      <c r="AW72" s="504"/>
      <c r="AX72" s="504"/>
      <c r="AY72" s="504"/>
      <c r="AZ72" s="504"/>
      <c r="BA72" s="504"/>
      <c r="CH72" s="505" t="str">
        <f>IF(CI74="","",SUM(CI74:CL77))</f>
        <v/>
      </c>
      <c r="CI72" s="505"/>
      <c r="CJ72" s="505"/>
      <c r="CK72" s="505"/>
      <c r="CL72" s="505"/>
      <c r="CM72" s="505"/>
      <c r="CN72" s="505"/>
      <c r="CO72" s="505"/>
      <c r="CP72" s="505"/>
      <c r="CQ72" s="505"/>
      <c r="CR72" s="505"/>
      <c r="CS72" s="505"/>
      <c r="CT72" s="505"/>
      <c r="CU72" s="505"/>
      <c r="CV72" s="505"/>
      <c r="CW72" s="505"/>
      <c r="CX72" s="505"/>
      <c r="CY72" s="505"/>
      <c r="CZ72" s="505"/>
      <c r="DA72" s="505"/>
      <c r="DB72" s="505"/>
      <c r="DC72" s="505"/>
      <c r="DD72" s="505"/>
      <c r="DE72" s="505"/>
      <c r="DF72" s="505"/>
      <c r="DG72" s="505"/>
      <c r="DH72" s="505"/>
      <c r="DI72" s="505"/>
      <c r="DJ72" s="496" t="str">
        <f>IF(BD28="","イ 負け",IF(BD28=AM38,BO38,AM38))</f>
        <v>イ 負け</v>
      </c>
      <c r="DK72" s="496"/>
      <c r="DL72" s="496"/>
      <c r="DM72" s="496"/>
      <c r="DN72" s="496"/>
      <c r="DO72" s="496"/>
      <c r="DP72" s="496"/>
      <c r="DQ72" s="496"/>
      <c r="DR72" s="496"/>
      <c r="DS72" s="496"/>
      <c r="DT72" s="496"/>
      <c r="DU72" s="496"/>
      <c r="DV72" s="496"/>
      <c r="DW72" s="496"/>
      <c r="DX72" s="496"/>
      <c r="DY72" s="496"/>
      <c r="DZ72" s="496"/>
      <c r="EA72" s="496"/>
    </row>
    <row r="73" spans="2:148" x14ac:dyDescent="0.15">
      <c r="H73" s="508"/>
      <c r="I73" s="508"/>
      <c r="J73" s="508"/>
      <c r="K73" s="508"/>
      <c r="L73" s="508"/>
      <c r="M73" s="508"/>
      <c r="N73" s="508"/>
      <c r="O73" s="508"/>
      <c r="P73" s="508"/>
      <c r="Q73" s="508"/>
      <c r="R73" s="508"/>
      <c r="S73" s="508"/>
      <c r="T73" s="508"/>
      <c r="U73" s="508"/>
      <c r="V73" s="508"/>
      <c r="W73" s="508"/>
      <c r="X73" s="508"/>
      <c r="Y73" s="508"/>
      <c r="Z73" s="514" t="str">
        <f>IF(AQ74="","",SUM(AQ74:AT79))</f>
        <v/>
      </c>
      <c r="AA73" s="514"/>
      <c r="AB73" s="151"/>
      <c r="AC73" s="151"/>
      <c r="AD73" s="151"/>
      <c r="AE73" s="151"/>
      <c r="AF73" s="151"/>
      <c r="AG73" s="151"/>
      <c r="AH73" s="151"/>
      <c r="AI73" s="151"/>
      <c r="AJ73" s="151"/>
      <c r="AK73" s="151"/>
      <c r="AL73" s="151"/>
      <c r="AM73" s="151"/>
      <c r="AN73" s="151"/>
      <c r="AO73" s="151"/>
      <c r="AP73" s="151"/>
      <c r="AQ73" s="151"/>
      <c r="AR73" s="151"/>
      <c r="AS73" s="151"/>
      <c r="AT73" s="151"/>
      <c r="AU73" s="151"/>
      <c r="AV73" s="151"/>
      <c r="AW73" s="151"/>
      <c r="AX73" s="151"/>
      <c r="AY73" s="151"/>
      <c r="AZ73" s="151"/>
      <c r="BA73" s="392"/>
      <c r="BB73" s="518"/>
      <c r="CG73" s="516"/>
      <c r="CH73" s="391"/>
      <c r="CI73" s="151"/>
      <c r="CJ73" s="151"/>
      <c r="CK73" s="151"/>
      <c r="CL73" s="151"/>
      <c r="CM73" s="151"/>
      <c r="CN73" s="151"/>
      <c r="CO73" s="151"/>
      <c r="CP73" s="151"/>
      <c r="CQ73" s="151"/>
      <c r="CR73" s="151"/>
      <c r="CS73" s="151"/>
      <c r="CT73" s="151"/>
      <c r="CU73" s="151"/>
      <c r="CV73" s="151"/>
      <c r="CW73" s="151"/>
      <c r="CX73" s="151"/>
      <c r="CY73" s="151"/>
      <c r="CZ73" s="151"/>
      <c r="DA73" s="151"/>
      <c r="DB73" s="151"/>
      <c r="DC73" s="151"/>
      <c r="DD73" s="151"/>
      <c r="DE73" s="151"/>
      <c r="DF73" s="151"/>
      <c r="DG73" s="151"/>
      <c r="DH73" s="514" t="str">
        <f>IF(CI74="","",SUM(CI74:CL79))</f>
        <v/>
      </c>
      <c r="DI73" s="514"/>
      <c r="DJ73" s="496"/>
      <c r="DK73" s="496"/>
      <c r="DL73" s="496"/>
      <c r="DM73" s="496"/>
      <c r="DN73" s="496"/>
      <c r="DO73" s="496"/>
      <c r="DP73" s="496"/>
      <c r="DQ73" s="496"/>
      <c r="DR73" s="496"/>
      <c r="DS73" s="496"/>
      <c r="DT73" s="496"/>
      <c r="DU73" s="496"/>
      <c r="DV73" s="496"/>
      <c r="DW73" s="496"/>
      <c r="DX73" s="496"/>
      <c r="DY73" s="496"/>
      <c r="DZ73" s="496"/>
      <c r="EA73" s="496"/>
    </row>
    <row r="74" spans="2:148" x14ac:dyDescent="0.15">
      <c r="Z74" s="306"/>
      <c r="AA74" s="306"/>
      <c r="AB74" s="306"/>
      <c r="AC74" s="306"/>
      <c r="AD74" s="306"/>
      <c r="AE74" s="306"/>
      <c r="AF74" s="306"/>
      <c r="AG74" s="306"/>
      <c r="AH74" s="306"/>
      <c r="AI74" s="306"/>
      <c r="AJ74" s="306"/>
      <c r="AK74" s="306"/>
      <c r="AQ74" s="500"/>
      <c r="AR74" s="500"/>
      <c r="AS74" s="500"/>
      <c r="AT74" s="500"/>
      <c r="AU74" s="485" t="s">
        <v>72</v>
      </c>
      <c r="AV74" s="485"/>
      <c r="AW74" s="498"/>
      <c r="AX74" s="498"/>
      <c r="AY74" s="498"/>
      <c r="AZ74" s="498"/>
      <c r="BA74" s="398"/>
      <c r="BB74" s="519"/>
      <c r="BC74" s="502"/>
      <c r="BD74" s="502"/>
      <c r="BE74" s="502"/>
      <c r="BF74" s="502"/>
      <c r="BG74" s="502"/>
      <c r="BH74" s="502"/>
      <c r="BI74" s="502"/>
      <c r="BJ74" s="502"/>
      <c r="BK74" s="502"/>
      <c r="BL74" s="502"/>
      <c r="BM74" s="502"/>
      <c r="BN74" s="502"/>
      <c r="BO74" s="502"/>
      <c r="BP74" s="502"/>
      <c r="BQ74" s="502"/>
      <c r="BR74" s="502"/>
      <c r="BS74" s="502"/>
      <c r="BT74" s="502"/>
      <c r="BU74" s="502"/>
      <c r="BV74" s="502"/>
      <c r="BW74" s="502"/>
      <c r="BX74" s="502"/>
      <c r="BY74" s="502"/>
      <c r="BZ74" s="502"/>
      <c r="CA74" s="502"/>
      <c r="CB74" s="502"/>
      <c r="CC74" s="502"/>
      <c r="CD74" s="502"/>
      <c r="CE74" s="502"/>
      <c r="CF74" s="502"/>
      <c r="CG74" s="517"/>
      <c r="CH74" s="400"/>
      <c r="CI74" s="500"/>
      <c r="CJ74" s="500"/>
      <c r="CK74" s="500"/>
      <c r="CL74" s="500"/>
      <c r="CM74" s="485" t="s">
        <v>72</v>
      </c>
      <c r="CN74" s="485"/>
      <c r="CO74" s="498"/>
      <c r="CP74" s="498"/>
      <c r="CQ74" s="498"/>
      <c r="CR74" s="498"/>
      <c r="DH74" s="306"/>
      <c r="DI74" s="306"/>
      <c r="DJ74" s="496"/>
      <c r="DK74" s="496"/>
      <c r="DL74" s="496"/>
      <c r="DM74" s="496"/>
      <c r="DN74" s="496"/>
      <c r="DO74" s="496"/>
      <c r="DP74" s="496"/>
      <c r="DQ74" s="496"/>
      <c r="DR74" s="496"/>
      <c r="DS74" s="496"/>
      <c r="DT74" s="496"/>
      <c r="DU74" s="496"/>
      <c r="DV74" s="496"/>
      <c r="DW74" s="496"/>
      <c r="DX74" s="496"/>
      <c r="DY74" s="496"/>
      <c r="DZ74" s="496"/>
      <c r="EA74" s="496"/>
    </row>
    <row r="75" spans="2:148" x14ac:dyDescent="0.15">
      <c r="Z75" s="306"/>
      <c r="AA75" s="306"/>
      <c r="AB75" s="306"/>
      <c r="AC75" s="306"/>
      <c r="AD75" s="306"/>
      <c r="AE75" s="306"/>
      <c r="AF75" s="306"/>
      <c r="AG75" s="306"/>
      <c r="AH75" s="306"/>
      <c r="AI75" s="306"/>
      <c r="AJ75" s="306"/>
      <c r="AK75" s="306"/>
      <c r="AQ75" s="500"/>
      <c r="AR75" s="500"/>
      <c r="AS75" s="500"/>
      <c r="AT75" s="500"/>
      <c r="AU75" s="485" t="s">
        <v>72</v>
      </c>
      <c r="AV75" s="485"/>
      <c r="AW75" s="498"/>
      <c r="AX75" s="498"/>
      <c r="AY75" s="498"/>
      <c r="AZ75" s="498"/>
      <c r="BA75" s="398"/>
      <c r="BB75" s="520"/>
      <c r="CG75" s="520"/>
      <c r="CH75" s="400"/>
      <c r="CI75" s="500"/>
      <c r="CJ75" s="500"/>
      <c r="CK75" s="500"/>
      <c r="CL75" s="500"/>
      <c r="CM75" s="485" t="s">
        <v>72</v>
      </c>
      <c r="CN75" s="485"/>
      <c r="CO75" s="498"/>
      <c r="CP75" s="498"/>
      <c r="CQ75" s="498"/>
      <c r="CR75" s="498"/>
      <c r="DH75" s="306"/>
      <c r="DI75" s="306"/>
      <c r="DJ75" s="496"/>
      <c r="DK75" s="496"/>
      <c r="DL75" s="496"/>
      <c r="DM75" s="496"/>
      <c r="DN75" s="496"/>
      <c r="DO75" s="496"/>
      <c r="DP75" s="496"/>
      <c r="DQ75" s="496"/>
      <c r="DR75" s="496"/>
      <c r="DS75" s="496"/>
      <c r="DT75" s="496"/>
      <c r="DU75" s="496"/>
      <c r="DV75" s="496"/>
      <c r="DW75" s="496"/>
      <c r="DX75" s="496"/>
      <c r="DY75" s="496"/>
      <c r="DZ75" s="496"/>
      <c r="EA75" s="496"/>
    </row>
    <row r="76" spans="2:148" x14ac:dyDescent="0.15">
      <c r="V76" s="306"/>
      <c r="W76" s="306"/>
      <c r="X76" s="306"/>
      <c r="Y76" s="306"/>
      <c r="Z76" s="306"/>
      <c r="AA76" s="306"/>
      <c r="AB76" s="306"/>
      <c r="AC76" s="306"/>
      <c r="AD76" s="306"/>
      <c r="AE76" s="306"/>
      <c r="AF76" s="306"/>
      <c r="AG76" s="306"/>
      <c r="AH76" s="306"/>
      <c r="AI76" s="306"/>
      <c r="AJ76" s="306"/>
      <c r="AK76" s="306"/>
      <c r="AQ76" s="500"/>
      <c r="AR76" s="500"/>
      <c r="AS76" s="500"/>
      <c r="AT76" s="500"/>
      <c r="AU76" s="501" t="str">
        <f>IF(OR(SUM(AQ74:AQ75)&lt;&gt;SUM(AW74:AW75),AQ75=""),"","－")</f>
        <v/>
      </c>
      <c r="AV76" s="501"/>
      <c r="AW76" s="498"/>
      <c r="AX76" s="498"/>
      <c r="AY76" s="498"/>
      <c r="AZ76" s="498"/>
      <c r="BA76" s="398"/>
      <c r="BB76" s="520"/>
      <c r="BC76" s="503" t="str">
        <f>IF(BM76="","",SUM(BM76:BP81))</f>
        <v/>
      </c>
      <c r="BD76" s="503"/>
      <c r="BE76" s="58"/>
      <c r="BF76" s="507" t="str">
        <f>IF(Z73=Z80,"",IF(Z73&gt;Z80,H80,H72))</f>
        <v/>
      </c>
      <c r="BG76" s="507"/>
      <c r="BH76" s="507"/>
      <c r="BI76" s="507"/>
      <c r="BJ76" s="504" t="str">
        <f>IF(BM76="","",SUM(BM76:BP79))</f>
        <v/>
      </c>
      <c r="BK76" s="504"/>
      <c r="BL76" s="504"/>
      <c r="BM76" s="500"/>
      <c r="BN76" s="500"/>
      <c r="BO76" s="500"/>
      <c r="BP76" s="500"/>
      <c r="BQ76" s="485" t="s">
        <v>72</v>
      </c>
      <c r="BR76" s="485"/>
      <c r="BS76" s="498"/>
      <c r="BT76" s="498"/>
      <c r="BU76" s="498"/>
      <c r="BV76" s="498"/>
      <c r="BW76" s="505" t="str">
        <f>IF(BS76="","",SUM(BS76:BV79))</f>
        <v/>
      </c>
      <c r="BX76" s="505"/>
      <c r="BY76" s="505"/>
      <c r="BZ76" s="506" t="str">
        <f>IF(DH73=DH80,"",IF(DH73&gt;DH80,DJ80,DJ72))</f>
        <v/>
      </c>
      <c r="CA76" s="506"/>
      <c r="CB76" s="506"/>
      <c r="CC76" s="506"/>
      <c r="CE76" s="503" t="str">
        <f>IF(BS76="","",SUM(BS76:BV81))</f>
        <v/>
      </c>
      <c r="CF76" s="503"/>
      <c r="CG76" s="520"/>
      <c r="CH76" s="400"/>
      <c r="CI76" s="500"/>
      <c r="CJ76" s="500"/>
      <c r="CK76" s="500"/>
      <c r="CL76" s="500"/>
      <c r="CM76" s="501" t="str">
        <f>IF(OR(SUM(CI74:CI75)&lt;&gt;SUM(CO74:CO75),CI75=""),"","－")</f>
        <v/>
      </c>
      <c r="CN76" s="501"/>
      <c r="CO76" s="498"/>
      <c r="CP76" s="498"/>
      <c r="CQ76" s="498"/>
      <c r="CR76" s="498"/>
      <c r="DH76" s="306"/>
      <c r="DI76" s="306"/>
    </row>
    <row r="77" spans="2:148" x14ac:dyDescent="0.15">
      <c r="AQ77" s="500"/>
      <c r="AR77" s="500"/>
      <c r="AS77" s="500"/>
      <c r="AT77" s="500"/>
      <c r="AU77" s="501" t="str">
        <f>IF(OR(SUM(AQ74:AQ75)&lt;&gt;SUM(AW74:AW75),AQ75=""),"","－")</f>
        <v/>
      </c>
      <c r="AV77" s="501"/>
      <c r="AW77" s="498"/>
      <c r="AX77" s="498"/>
      <c r="AY77" s="498"/>
      <c r="AZ77" s="498"/>
      <c r="BA77" s="398"/>
      <c r="BB77" s="520"/>
      <c r="BF77" s="507"/>
      <c r="BG77" s="507"/>
      <c r="BH77" s="507"/>
      <c r="BI77" s="507"/>
      <c r="BJ77" s="504"/>
      <c r="BK77" s="504"/>
      <c r="BL77" s="504"/>
      <c r="BM77" s="500"/>
      <c r="BN77" s="500"/>
      <c r="BO77" s="500"/>
      <c r="BP77" s="500"/>
      <c r="BQ77" s="485" t="s">
        <v>72</v>
      </c>
      <c r="BR77" s="485"/>
      <c r="BS77" s="498"/>
      <c r="BT77" s="498"/>
      <c r="BU77" s="498"/>
      <c r="BV77" s="498"/>
      <c r="BW77" s="505"/>
      <c r="BX77" s="505"/>
      <c r="BY77" s="505"/>
      <c r="BZ77" s="506"/>
      <c r="CA77" s="506"/>
      <c r="CB77" s="506"/>
      <c r="CC77" s="506"/>
      <c r="CG77" s="520"/>
      <c r="CH77" s="400"/>
      <c r="CI77" s="500"/>
      <c r="CJ77" s="500"/>
      <c r="CK77" s="500"/>
      <c r="CL77" s="500"/>
      <c r="CM77" s="501" t="str">
        <f>IF(OR(SUM(CI74:CI75)&lt;&gt;SUM(CO74:CO75),CI75=""),"","－")</f>
        <v/>
      </c>
      <c r="CN77" s="501"/>
      <c r="CO77" s="498"/>
      <c r="CP77" s="498"/>
      <c r="CQ77" s="498"/>
      <c r="CR77" s="498"/>
    </row>
    <row r="78" spans="2:148" ht="14.25" customHeight="1" x14ac:dyDescent="0.2">
      <c r="H78" s="495" t="str">
        <f>IF(Z73=Z80,"",IF(Z73&lt;Z80,"【第5代表】",IF(BC76&gt;CE76,"【第7代表】","")))</f>
        <v/>
      </c>
      <c r="I78" s="495"/>
      <c r="J78" s="495"/>
      <c r="K78" s="495"/>
      <c r="L78" s="495"/>
      <c r="M78" s="495"/>
      <c r="N78" s="495"/>
      <c r="O78" s="495"/>
      <c r="P78" s="495"/>
      <c r="Q78" s="495"/>
      <c r="R78" s="495"/>
      <c r="S78" s="495"/>
      <c r="T78" s="495"/>
      <c r="U78" s="495"/>
      <c r="V78" s="495"/>
      <c r="W78" s="495"/>
      <c r="X78" s="495"/>
      <c r="Y78" s="495"/>
      <c r="AQ78" s="72"/>
      <c r="AR78" s="72"/>
      <c r="AS78" s="72"/>
      <c r="AT78" s="499" t="str">
        <f>IF(OR(SUM(AQ74:AQ77)&lt;&gt;SUM(AW74:AW77),AQ77=""),"","PK")</f>
        <v/>
      </c>
      <c r="AU78" s="499"/>
      <c r="AV78" s="499"/>
      <c r="AW78" s="499"/>
      <c r="AX78" s="72"/>
      <c r="AY78" s="72"/>
      <c r="AZ78" s="72"/>
      <c r="BA78" s="398"/>
      <c r="BB78" s="520"/>
      <c r="BF78" s="507"/>
      <c r="BG78" s="507"/>
      <c r="BH78" s="507"/>
      <c r="BI78" s="507"/>
      <c r="BM78" s="500"/>
      <c r="BN78" s="500"/>
      <c r="BO78" s="500"/>
      <c r="BP78" s="500"/>
      <c r="BQ78" s="501" t="str">
        <f>IF(OR(SUM(BM76:BM77)&lt;&gt;SUM(BS76:BS77),BM77=""),"","－")</f>
        <v/>
      </c>
      <c r="BR78" s="501"/>
      <c r="BS78" s="498"/>
      <c r="BT78" s="498"/>
      <c r="BU78" s="498"/>
      <c r="BV78" s="498"/>
      <c r="BZ78" s="506"/>
      <c r="CA78" s="506"/>
      <c r="CB78" s="506"/>
      <c r="CC78" s="506"/>
      <c r="CG78" s="520"/>
      <c r="CH78" s="400"/>
      <c r="CI78" s="72"/>
      <c r="CJ78" s="72"/>
      <c r="CK78" s="72"/>
      <c r="CL78" s="499" t="str">
        <f>IF(OR(SUM(CI74:CI77)&lt;&gt;SUM(CO74:CO77),CI77=""),"","PK")</f>
        <v/>
      </c>
      <c r="CM78" s="499"/>
      <c r="CN78" s="499"/>
      <c r="CO78" s="499"/>
      <c r="CP78" s="72"/>
      <c r="CQ78" s="72"/>
      <c r="CR78" s="72"/>
      <c r="DJ78" s="497" t="str">
        <f>IF(DH73=DH80,"",IF(DH73&lt;DH80,"【第5代表】",IF(BC76&lt;CE76,"【第7代表】","")))</f>
        <v/>
      </c>
      <c r="DK78" s="497"/>
      <c r="DL78" s="497"/>
      <c r="DM78" s="497"/>
      <c r="DN78" s="497"/>
      <c r="DO78" s="497"/>
      <c r="DP78" s="497"/>
      <c r="DQ78" s="497"/>
      <c r="DR78" s="497"/>
      <c r="DS78" s="497"/>
      <c r="DT78" s="497"/>
      <c r="DU78" s="497"/>
      <c r="DV78" s="497"/>
      <c r="DW78" s="497"/>
      <c r="DX78" s="497"/>
      <c r="DY78" s="497"/>
      <c r="DZ78" s="497"/>
      <c r="EA78" s="497"/>
    </row>
    <row r="79" spans="2:148" ht="14.25" customHeight="1" x14ac:dyDescent="0.15">
      <c r="H79" s="495"/>
      <c r="I79" s="495"/>
      <c r="J79" s="495"/>
      <c r="K79" s="495"/>
      <c r="L79" s="495"/>
      <c r="M79" s="495"/>
      <c r="N79" s="495"/>
      <c r="O79" s="495"/>
      <c r="P79" s="495"/>
      <c r="Q79" s="495"/>
      <c r="R79" s="495"/>
      <c r="S79" s="495"/>
      <c r="T79" s="495"/>
      <c r="U79" s="495"/>
      <c r="V79" s="495"/>
      <c r="W79" s="495"/>
      <c r="X79" s="495"/>
      <c r="Y79" s="495"/>
      <c r="AQ79" s="500"/>
      <c r="AR79" s="500"/>
      <c r="AS79" s="500"/>
      <c r="AT79" s="500"/>
      <c r="AU79" s="501" t="str">
        <f>IF(OR(SUM(AQ74:AQ77)&lt;&gt;SUM(AW74:AW77),AQ77=""),"","－")</f>
        <v/>
      </c>
      <c r="AV79" s="501"/>
      <c r="AW79" s="498"/>
      <c r="AX79" s="498"/>
      <c r="AY79" s="498"/>
      <c r="AZ79" s="498"/>
      <c r="BA79" s="398"/>
      <c r="BB79" s="520"/>
      <c r="BF79" s="507"/>
      <c r="BG79" s="507"/>
      <c r="BH79" s="507"/>
      <c r="BI79" s="507"/>
      <c r="BM79" s="500"/>
      <c r="BN79" s="500"/>
      <c r="BO79" s="500"/>
      <c r="BP79" s="500"/>
      <c r="BQ79" s="501" t="str">
        <f>IF(OR(SUM(BM76:BM77)&lt;&gt;SUM(BS76:BS77),BM77=""),"","－")</f>
        <v/>
      </c>
      <c r="BR79" s="501"/>
      <c r="BS79" s="498"/>
      <c r="BT79" s="498"/>
      <c r="BU79" s="498"/>
      <c r="BV79" s="498"/>
      <c r="BZ79" s="506"/>
      <c r="CA79" s="506"/>
      <c r="CB79" s="506"/>
      <c r="CC79" s="506"/>
      <c r="CG79" s="520"/>
      <c r="CH79" s="400"/>
      <c r="CI79" s="500"/>
      <c r="CJ79" s="500"/>
      <c r="CK79" s="500"/>
      <c r="CL79" s="500"/>
      <c r="CM79" s="501" t="str">
        <f>IF(OR(SUM(CI74:CI77)&lt;&gt;SUM(CO74:CO77),CI77=""),"","－")</f>
        <v/>
      </c>
      <c r="CN79" s="501"/>
      <c r="CO79" s="498"/>
      <c r="CP79" s="498"/>
      <c r="CQ79" s="498"/>
      <c r="CR79" s="498"/>
      <c r="DJ79" s="497"/>
      <c r="DK79" s="497"/>
      <c r="DL79" s="497"/>
      <c r="DM79" s="497"/>
      <c r="DN79" s="497"/>
      <c r="DO79" s="497"/>
      <c r="DP79" s="497"/>
      <c r="DQ79" s="497"/>
      <c r="DR79" s="497"/>
      <c r="DS79" s="497"/>
      <c r="DT79" s="497"/>
      <c r="DU79" s="497"/>
      <c r="DV79" s="497"/>
      <c r="DW79" s="497"/>
      <c r="DX79" s="497"/>
      <c r="DY79" s="497"/>
      <c r="DZ79" s="497"/>
      <c r="EA79" s="497"/>
    </row>
    <row r="80" spans="2:148" x14ac:dyDescent="0.2">
      <c r="H80" s="508" t="str">
        <f>IF(CH28="","ウ 負け",IF(CH28=BW38,CY38,BW38))</f>
        <v>ウ 負け</v>
      </c>
      <c r="I80" s="508"/>
      <c r="J80" s="508"/>
      <c r="K80" s="508"/>
      <c r="L80" s="508"/>
      <c r="M80" s="508"/>
      <c r="N80" s="508"/>
      <c r="O80" s="508"/>
      <c r="P80" s="508"/>
      <c r="Q80" s="508"/>
      <c r="R80" s="508"/>
      <c r="S80" s="508"/>
      <c r="T80" s="508"/>
      <c r="U80" s="508"/>
      <c r="V80" s="508"/>
      <c r="W80" s="508"/>
      <c r="X80" s="508"/>
      <c r="Y80" s="508"/>
      <c r="Z80" s="515" t="str">
        <f>IF(AW74="","",SUM(AW74:AZ79))</f>
        <v/>
      </c>
      <c r="AA80" s="515"/>
      <c r="AB80" s="152"/>
      <c r="AC80" s="152"/>
      <c r="AD80" s="152"/>
      <c r="AE80" s="152"/>
      <c r="AF80" s="152"/>
      <c r="AG80" s="152"/>
      <c r="AH80" s="152"/>
      <c r="AI80" s="152"/>
      <c r="AJ80" s="152"/>
      <c r="AK80" s="152"/>
      <c r="AL80" s="152"/>
      <c r="AM80" s="152"/>
      <c r="AN80" s="152"/>
      <c r="AO80" s="152"/>
      <c r="AP80" s="152"/>
      <c r="AQ80" s="152"/>
      <c r="AR80" s="152"/>
      <c r="AS80" s="152"/>
      <c r="AT80" s="152"/>
      <c r="AU80" s="152"/>
      <c r="AV80" s="152"/>
      <c r="AW80" s="152"/>
      <c r="AX80" s="152"/>
      <c r="AY80" s="152"/>
      <c r="AZ80" s="152"/>
      <c r="BA80" s="399"/>
      <c r="BB80" s="520"/>
      <c r="BF80" s="507"/>
      <c r="BG80" s="507"/>
      <c r="BH80" s="507"/>
      <c r="BI80" s="507"/>
      <c r="BM80" s="72"/>
      <c r="BN80" s="72"/>
      <c r="BO80" s="72"/>
      <c r="BP80" s="499" t="str">
        <f>IF(OR(SUM(BM76:BM79)&lt;&gt;SUM(BS76:BS79),BM79=""),"","PK")</f>
        <v/>
      </c>
      <c r="BQ80" s="499"/>
      <c r="BR80" s="499"/>
      <c r="BS80" s="499"/>
      <c r="BT80" s="72"/>
      <c r="BU80" s="72"/>
      <c r="BV80" s="72"/>
      <c r="BZ80" s="506"/>
      <c r="CA80" s="506"/>
      <c r="CB80" s="506"/>
      <c r="CC80" s="506"/>
      <c r="CG80" s="520"/>
      <c r="CH80" s="401"/>
      <c r="CI80" s="152"/>
      <c r="CJ80" s="152"/>
      <c r="CK80" s="152"/>
      <c r="CL80" s="152"/>
      <c r="CM80" s="152"/>
      <c r="CN80" s="152"/>
      <c r="CO80" s="152"/>
      <c r="CP80" s="152"/>
      <c r="CQ80" s="152"/>
      <c r="CR80" s="152"/>
      <c r="CS80" s="152"/>
      <c r="CT80" s="152"/>
      <c r="CU80" s="152"/>
      <c r="CV80" s="152"/>
      <c r="CW80" s="152"/>
      <c r="CX80" s="152"/>
      <c r="CY80" s="152"/>
      <c r="CZ80" s="152"/>
      <c r="DA80" s="152"/>
      <c r="DB80" s="152"/>
      <c r="DC80" s="152"/>
      <c r="DD80" s="152"/>
      <c r="DE80" s="152"/>
      <c r="DF80" s="152"/>
      <c r="DG80" s="152"/>
      <c r="DH80" s="515" t="str">
        <f>IF(CO74="","",SUM(CO74:CR79))</f>
        <v/>
      </c>
      <c r="DI80" s="515"/>
      <c r="DJ80" s="496" t="str">
        <f>IF(DU28="","エ 負け",IF(DU28=DF38,EC38,DF38))</f>
        <v>エ 負け</v>
      </c>
      <c r="DK80" s="496"/>
      <c r="DL80" s="496"/>
      <c r="DM80" s="496"/>
      <c r="DN80" s="496"/>
      <c r="DO80" s="496"/>
      <c r="DP80" s="496"/>
      <c r="DQ80" s="496"/>
      <c r="DR80" s="496"/>
      <c r="DS80" s="496"/>
      <c r="DT80" s="496"/>
      <c r="DU80" s="496"/>
      <c r="DV80" s="496"/>
      <c r="DW80" s="496"/>
      <c r="DX80" s="496"/>
      <c r="DY80" s="496"/>
      <c r="DZ80" s="496"/>
      <c r="EA80" s="496"/>
    </row>
    <row r="81" spans="8:131" x14ac:dyDescent="0.15">
      <c r="H81" s="508"/>
      <c r="I81" s="508"/>
      <c r="J81" s="508"/>
      <c r="K81" s="508"/>
      <c r="L81" s="508"/>
      <c r="M81" s="508"/>
      <c r="N81" s="508"/>
      <c r="O81" s="508"/>
      <c r="P81" s="508"/>
      <c r="Q81" s="508"/>
      <c r="R81" s="508"/>
      <c r="S81" s="508"/>
      <c r="T81" s="508"/>
      <c r="U81" s="508"/>
      <c r="V81" s="508"/>
      <c r="W81" s="508"/>
      <c r="X81" s="508"/>
      <c r="Y81" s="508"/>
      <c r="Z81" s="504" t="str">
        <f>IF(AW74="","",SUM(AW74:AZ77))</f>
        <v/>
      </c>
      <c r="AA81" s="504"/>
      <c r="AB81" s="504"/>
      <c r="AC81" s="504"/>
      <c r="AD81" s="504"/>
      <c r="AE81" s="504"/>
      <c r="AF81" s="504"/>
      <c r="AG81" s="504"/>
      <c r="AH81" s="504"/>
      <c r="AI81" s="504"/>
      <c r="AJ81" s="504"/>
      <c r="AK81" s="504"/>
      <c r="AL81" s="504"/>
      <c r="AM81" s="504"/>
      <c r="AN81" s="504"/>
      <c r="AO81" s="504"/>
      <c r="AP81" s="504"/>
      <c r="AQ81" s="504"/>
      <c r="AR81" s="504"/>
      <c r="AS81" s="504"/>
      <c r="AT81" s="504"/>
      <c r="AU81" s="504"/>
      <c r="AV81" s="504"/>
      <c r="AW81" s="504"/>
      <c r="AX81" s="504"/>
      <c r="AY81" s="504"/>
      <c r="AZ81" s="504"/>
      <c r="BA81" s="504"/>
      <c r="BM81" s="500"/>
      <c r="BN81" s="500"/>
      <c r="BO81" s="500"/>
      <c r="BP81" s="500"/>
      <c r="BQ81" s="501" t="str">
        <f>IF(OR(SUM(BM76:BM79)&lt;&gt;SUM(BS76:BS79),BM79=""),"","－")</f>
        <v/>
      </c>
      <c r="BR81" s="501"/>
      <c r="BS81" s="498"/>
      <c r="BT81" s="498"/>
      <c r="BU81" s="498"/>
      <c r="BV81" s="498"/>
      <c r="CH81" s="505" t="str">
        <f>IF(CO74="","",SUM(CO74:CR77))</f>
        <v/>
      </c>
      <c r="CI81" s="505"/>
      <c r="CJ81" s="505"/>
      <c r="CK81" s="505"/>
      <c r="CL81" s="505"/>
      <c r="CM81" s="505"/>
      <c r="CN81" s="505"/>
      <c r="CO81" s="505"/>
      <c r="CP81" s="505"/>
      <c r="CQ81" s="505"/>
      <c r="CR81" s="505"/>
      <c r="CS81" s="505"/>
      <c r="CT81" s="505"/>
      <c r="CU81" s="505"/>
      <c r="CV81" s="505"/>
      <c r="CW81" s="505"/>
      <c r="CX81" s="505"/>
      <c r="CY81" s="505"/>
      <c r="CZ81" s="505"/>
      <c r="DA81" s="505"/>
      <c r="DB81" s="505"/>
      <c r="DC81" s="505"/>
      <c r="DD81" s="505"/>
      <c r="DE81" s="505"/>
      <c r="DF81" s="505"/>
      <c r="DG81" s="505"/>
      <c r="DH81" s="505"/>
      <c r="DI81" s="505"/>
      <c r="DJ81" s="496"/>
      <c r="DK81" s="496"/>
      <c r="DL81" s="496"/>
      <c r="DM81" s="496"/>
      <c r="DN81" s="496"/>
      <c r="DO81" s="496"/>
      <c r="DP81" s="496"/>
      <c r="DQ81" s="496"/>
      <c r="DR81" s="496"/>
      <c r="DS81" s="496"/>
      <c r="DT81" s="496"/>
      <c r="DU81" s="496"/>
      <c r="DV81" s="496"/>
      <c r="DW81" s="496"/>
      <c r="DX81" s="496"/>
      <c r="DY81" s="496"/>
      <c r="DZ81" s="496"/>
      <c r="EA81" s="496"/>
    </row>
  </sheetData>
  <mergeCells count="763">
    <mergeCell ref="D3:J3"/>
    <mergeCell ref="L3:AU3"/>
    <mergeCell ref="AV3:BH3"/>
    <mergeCell ref="BK3:BS3"/>
    <mergeCell ref="BU3:CX3"/>
    <mergeCell ref="CY3:DK3"/>
    <mergeCell ref="D6:J6"/>
    <mergeCell ref="L6:AU6"/>
    <mergeCell ref="AV6:BH6"/>
    <mergeCell ref="BU6:CX6"/>
    <mergeCell ref="CY6:DK6"/>
    <mergeCell ref="BU7:CX7"/>
    <mergeCell ref="CY7:DK7"/>
    <mergeCell ref="D4:J4"/>
    <mergeCell ref="L4:AU4"/>
    <mergeCell ref="AV4:BH4"/>
    <mergeCell ref="BU4:CX4"/>
    <mergeCell ref="CY4:DK4"/>
    <mergeCell ref="D5:J5"/>
    <mergeCell ref="L5:AU5"/>
    <mergeCell ref="AV5:BH5"/>
    <mergeCell ref="BU5:CX5"/>
    <mergeCell ref="CY5:DK5"/>
    <mergeCell ref="AR9:AY10"/>
    <mergeCell ref="AZ9:CO10"/>
    <mergeCell ref="DG9:DT9"/>
    <mergeCell ref="DL10:DY11"/>
    <mergeCell ref="BT11:BT15"/>
    <mergeCell ref="BP13:BS13"/>
    <mergeCell ref="BV13:BY13"/>
    <mergeCell ref="DN13:DQ13"/>
    <mergeCell ref="DR13:DR15"/>
    <mergeCell ref="DT13:DW13"/>
    <mergeCell ref="BP16:BS16"/>
    <mergeCell ref="BT16:BU16"/>
    <mergeCell ref="BV16:BY16"/>
    <mergeCell ref="DB16:DB27"/>
    <mergeCell ref="BP17:BS17"/>
    <mergeCell ref="DU23:ED23"/>
    <mergeCell ref="DZ16:DZ22"/>
    <mergeCell ref="BP14:BS14"/>
    <mergeCell ref="BV14:BY14"/>
    <mergeCell ref="DN14:DQ14"/>
    <mergeCell ref="DT14:DW14"/>
    <mergeCell ref="DL15:DQ15"/>
    <mergeCell ref="DS15:DY15"/>
    <mergeCell ref="DC16:DF21"/>
    <mergeCell ref="DK16:DK22"/>
    <mergeCell ref="DN16:DQ16"/>
    <mergeCell ref="DR16:DS16"/>
    <mergeCell ref="DT16:DW16"/>
    <mergeCell ref="DN17:DQ17"/>
    <mergeCell ref="DR17:DS17"/>
    <mergeCell ref="DT17:DW17"/>
    <mergeCell ref="DT19:DW19"/>
    <mergeCell ref="AF16:AI21"/>
    <mergeCell ref="AJ16:AJ27"/>
    <mergeCell ref="BT17:BU17"/>
    <mergeCell ref="BV17:BY17"/>
    <mergeCell ref="BP18:BS18"/>
    <mergeCell ref="BT18:BU18"/>
    <mergeCell ref="BV18:BY18"/>
    <mergeCell ref="DN18:DQ18"/>
    <mergeCell ref="DR18:DS18"/>
    <mergeCell ref="BS20:BV20"/>
    <mergeCell ref="DQ20:DT20"/>
    <mergeCell ref="AX21:AY22"/>
    <mergeCell ref="BP21:BS21"/>
    <mergeCell ref="BT21:BU21"/>
    <mergeCell ref="BV21:BY21"/>
    <mergeCell ref="DN21:DQ21"/>
    <mergeCell ref="DR21:DS21"/>
    <mergeCell ref="DT21:DW21"/>
    <mergeCell ref="DT18:DW18"/>
    <mergeCell ref="BP19:BS19"/>
    <mergeCell ref="BT19:BU19"/>
    <mergeCell ref="BV19:BY19"/>
    <mergeCell ref="DN19:DQ19"/>
    <mergeCell ref="DR19:DS19"/>
    <mergeCell ref="AJ31:AK31"/>
    <mergeCell ref="AL31:AO31"/>
    <mergeCell ref="AF26:AI26"/>
    <mergeCell ref="AL26:AO26"/>
    <mergeCell ref="CW26:CZ26"/>
    <mergeCell ref="DC26:DF26"/>
    <mergeCell ref="CM27:DA27"/>
    <mergeCell ref="DC27:DS27"/>
    <mergeCell ref="DG23:DP23"/>
    <mergeCell ref="AF25:AI25"/>
    <mergeCell ref="AL25:AO25"/>
    <mergeCell ref="CW25:CZ25"/>
    <mergeCell ref="DC25:DF25"/>
    <mergeCell ref="CZ34:DC34"/>
    <mergeCell ref="N35:Q35"/>
    <mergeCell ref="T35:W35"/>
    <mergeCell ref="AX35:BA35"/>
    <mergeCell ref="BD35:BG35"/>
    <mergeCell ref="CH35:CK35"/>
    <mergeCell ref="CN35:CQ35"/>
    <mergeCell ref="DA31:DB31"/>
    <mergeCell ref="DC31:DF31"/>
    <mergeCell ref="AI32:AL32"/>
    <mergeCell ref="CZ32:DC32"/>
    <mergeCell ref="AF33:AI33"/>
    <mergeCell ref="AJ33:AK33"/>
    <mergeCell ref="AL33:AO33"/>
    <mergeCell ref="CW33:CZ33"/>
    <mergeCell ref="DA33:DB33"/>
    <mergeCell ref="DC33:DF33"/>
    <mergeCell ref="BD28:BG33"/>
    <mergeCell ref="CH28:CK33"/>
    <mergeCell ref="CL28:CL37"/>
    <mergeCell ref="CW28:CZ28"/>
    <mergeCell ref="DA28:DB28"/>
    <mergeCell ref="DC28:DF28"/>
    <mergeCell ref="CW30:CZ30"/>
    <mergeCell ref="DO35:DR35"/>
    <mergeCell ref="DU35:DX35"/>
    <mergeCell ref="N36:Q36"/>
    <mergeCell ref="T36:W36"/>
    <mergeCell ref="AX36:BA36"/>
    <mergeCell ref="BD36:BG36"/>
    <mergeCell ref="CH36:CK36"/>
    <mergeCell ref="CN36:CQ36"/>
    <mergeCell ref="DO36:DR36"/>
    <mergeCell ref="DU36:DX36"/>
    <mergeCell ref="DT28:DT37"/>
    <mergeCell ref="DU28:DX33"/>
    <mergeCell ref="AF29:AI29"/>
    <mergeCell ref="AJ29:AK29"/>
    <mergeCell ref="AL29:AO29"/>
    <mergeCell ref="CW29:CZ29"/>
    <mergeCell ref="DA29:DB29"/>
    <mergeCell ref="DC29:DF29"/>
    <mergeCell ref="AF30:AI30"/>
    <mergeCell ref="AJ30:AK30"/>
    <mergeCell ref="DA30:DB30"/>
    <mergeCell ref="DC30:DF30"/>
    <mergeCell ref="CW31:CZ31"/>
    <mergeCell ref="N28:Q33"/>
    <mergeCell ref="BO45:BR45"/>
    <mergeCell ref="DK37:DS37"/>
    <mergeCell ref="DU37:EA37"/>
    <mergeCell ref="C38:F43"/>
    <mergeCell ref="G38:G47"/>
    <mergeCell ref="N38:Q38"/>
    <mergeCell ref="R38:S38"/>
    <mergeCell ref="T38:W38"/>
    <mergeCell ref="AD38:AD47"/>
    <mergeCell ref="AE38:AH43"/>
    <mergeCell ref="AM38:AP43"/>
    <mergeCell ref="H37:Q37"/>
    <mergeCell ref="S37:AC37"/>
    <mergeCell ref="AR37:BB37"/>
    <mergeCell ref="BD37:BM37"/>
    <mergeCell ref="CB37:CK37"/>
    <mergeCell ref="CM37:CW37"/>
    <mergeCell ref="R28:R37"/>
    <mergeCell ref="AF28:AI28"/>
    <mergeCell ref="AJ28:AK28"/>
    <mergeCell ref="AL28:AO28"/>
    <mergeCell ref="BC28:BC37"/>
    <mergeCell ref="AL30:AO30"/>
    <mergeCell ref="AF31:AI31"/>
    <mergeCell ref="N39:Q39"/>
    <mergeCell ref="R39:S39"/>
    <mergeCell ref="T39:W39"/>
    <mergeCell ref="AX39:BA39"/>
    <mergeCell ref="BB39:BC39"/>
    <mergeCell ref="BD39:BG39"/>
    <mergeCell ref="CH39:CK39"/>
    <mergeCell ref="CL39:CM39"/>
    <mergeCell ref="CY38:DB43"/>
    <mergeCell ref="BW38:BZ43"/>
    <mergeCell ref="CA38:CA47"/>
    <mergeCell ref="CH38:CK38"/>
    <mergeCell ref="CL38:CM38"/>
    <mergeCell ref="CN38:CQ38"/>
    <mergeCell ref="CX38:CX47"/>
    <mergeCell ref="CN39:CQ39"/>
    <mergeCell ref="CN40:CQ40"/>
    <mergeCell ref="CN41:CQ41"/>
    <mergeCell ref="CN43:CQ43"/>
    <mergeCell ref="AQ38:AQ47"/>
    <mergeCell ref="AX38:BA38"/>
    <mergeCell ref="BB38:BC38"/>
    <mergeCell ref="BD38:BG38"/>
    <mergeCell ref="BN38:BN47"/>
    <mergeCell ref="DO41:DR41"/>
    <mergeCell ref="DS41:DT41"/>
    <mergeCell ref="DU41:DX41"/>
    <mergeCell ref="Q42:T42"/>
    <mergeCell ref="BA42:BD42"/>
    <mergeCell ref="CK42:CN42"/>
    <mergeCell ref="DR42:DU42"/>
    <mergeCell ref="DS40:DT40"/>
    <mergeCell ref="DU40:DX40"/>
    <mergeCell ref="N41:Q41"/>
    <mergeCell ref="R41:S41"/>
    <mergeCell ref="T41:W41"/>
    <mergeCell ref="AX41:BA41"/>
    <mergeCell ref="BB41:BC41"/>
    <mergeCell ref="BD41:BG41"/>
    <mergeCell ref="CH41:CK41"/>
    <mergeCell ref="CL41:CM41"/>
    <mergeCell ref="R40:S40"/>
    <mergeCell ref="AX40:BA40"/>
    <mergeCell ref="BB40:BC40"/>
    <mergeCell ref="BD40:BG40"/>
    <mergeCell ref="CH40:CK40"/>
    <mergeCell ref="CL40:CM40"/>
    <mergeCell ref="T40:W40"/>
    <mergeCell ref="DO43:DR43"/>
    <mergeCell ref="DS43:DT43"/>
    <mergeCell ref="DU43:DX43"/>
    <mergeCell ref="BA44:BD44"/>
    <mergeCell ref="CK44:CN44"/>
    <mergeCell ref="DR44:DU44"/>
    <mergeCell ref="R43:S43"/>
    <mergeCell ref="AX43:BA43"/>
    <mergeCell ref="BB43:BC43"/>
    <mergeCell ref="BD43:BG43"/>
    <mergeCell ref="CH43:CK43"/>
    <mergeCell ref="CL43:CM43"/>
    <mergeCell ref="T43:W43"/>
    <mergeCell ref="DF38:DI43"/>
    <mergeCell ref="DJ38:DJ47"/>
    <mergeCell ref="DO38:DR38"/>
    <mergeCell ref="DS38:DT38"/>
    <mergeCell ref="DU38:DX38"/>
    <mergeCell ref="DO39:DR39"/>
    <mergeCell ref="DS39:DT39"/>
    <mergeCell ref="DU39:DX39"/>
    <mergeCell ref="DO40:DR40"/>
    <mergeCell ref="BO38:BR43"/>
    <mergeCell ref="BI45:BL45"/>
    <mergeCell ref="DW45:DZ45"/>
    <mergeCell ref="EC45:EF45"/>
    <mergeCell ref="C46:F46"/>
    <mergeCell ref="I46:L46"/>
    <mergeCell ref="Y46:AB46"/>
    <mergeCell ref="AE46:AH46"/>
    <mergeCell ref="AM46:AP46"/>
    <mergeCell ref="AS46:AV46"/>
    <mergeCell ref="BI46:BL46"/>
    <mergeCell ref="BO46:BR46"/>
    <mergeCell ref="BW45:BZ45"/>
    <mergeCell ref="CC45:CF45"/>
    <mergeCell ref="CS45:CV45"/>
    <mergeCell ref="CY45:DB45"/>
    <mergeCell ref="DF45:DI45"/>
    <mergeCell ref="DL45:DO45"/>
    <mergeCell ref="C45:F45"/>
    <mergeCell ref="I45:L45"/>
    <mergeCell ref="Y45:AB45"/>
    <mergeCell ref="AE45:AH45"/>
    <mergeCell ref="AM45:AP45"/>
    <mergeCell ref="AS45:AV45"/>
    <mergeCell ref="EB38:EB47"/>
    <mergeCell ref="EC38:EF43"/>
    <mergeCell ref="DW46:DZ46"/>
    <mergeCell ref="EC46:EF46"/>
    <mergeCell ref="D47:F47"/>
    <mergeCell ref="H47:L47"/>
    <mergeCell ref="Y47:AC47"/>
    <mergeCell ref="AE47:AG47"/>
    <mergeCell ref="AN47:AP47"/>
    <mergeCell ref="AR47:AV47"/>
    <mergeCell ref="BI47:BM47"/>
    <mergeCell ref="BO47:BQ47"/>
    <mergeCell ref="BW46:BZ46"/>
    <mergeCell ref="CC46:CF46"/>
    <mergeCell ref="CS46:CV46"/>
    <mergeCell ref="CY46:DB46"/>
    <mergeCell ref="DF46:DI46"/>
    <mergeCell ref="DL46:DO46"/>
    <mergeCell ref="DW47:EA47"/>
    <mergeCell ref="EC47:EE47"/>
    <mergeCell ref="CB47:CF47"/>
    <mergeCell ref="CS47:CW47"/>
    <mergeCell ref="CY47:DA47"/>
    <mergeCell ref="DH47:DI47"/>
    <mergeCell ref="DK47:DM47"/>
    <mergeCell ref="C48:C64"/>
    <mergeCell ref="D48:F48"/>
    <mergeCell ref="G48:H48"/>
    <mergeCell ref="I48:L48"/>
    <mergeCell ref="M48:M57"/>
    <mergeCell ref="N48:Q53"/>
    <mergeCell ref="T48:W53"/>
    <mergeCell ref="X48:X57"/>
    <mergeCell ref="BX47:BZ47"/>
    <mergeCell ref="BO48:BQ48"/>
    <mergeCell ref="BR48:BR64"/>
    <mergeCell ref="AV58:AW58"/>
    <mergeCell ref="AX58:AY58"/>
    <mergeCell ref="BI48:BL48"/>
    <mergeCell ref="BM48:BN48"/>
    <mergeCell ref="Y48:AB48"/>
    <mergeCell ref="AC48:AD48"/>
    <mergeCell ref="AE48:AG48"/>
    <mergeCell ref="AH48:AH64"/>
    <mergeCell ref="AM48:AM64"/>
    <mergeCell ref="AN48:AP48"/>
    <mergeCell ref="BM49:BN49"/>
    <mergeCell ref="BO49:BQ49"/>
    <mergeCell ref="BX49:BZ49"/>
    <mergeCell ref="AQ48:AR48"/>
    <mergeCell ref="AS48:AV48"/>
    <mergeCell ref="AW48:AW57"/>
    <mergeCell ref="AX48:BA53"/>
    <mergeCell ref="BD48:BG53"/>
    <mergeCell ref="BH48:BH57"/>
    <mergeCell ref="AQ49:AR49"/>
    <mergeCell ref="AS49:AV49"/>
    <mergeCell ref="AS50:AV50"/>
    <mergeCell ref="AS51:AV51"/>
    <mergeCell ref="AX55:BA55"/>
    <mergeCell ref="BD55:BG55"/>
    <mergeCell ref="EA48:EB48"/>
    <mergeCell ref="EC48:EE48"/>
    <mergeCell ref="EF48:EF64"/>
    <mergeCell ref="D49:F49"/>
    <mergeCell ref="G49:H49"/>
    <mergeCell ref="I49:L49"/>
    <mergeCell ref="Y49:AB49"/>
    <mergeCell ref="AC49:AD49"/>
    <mergeCell ref="AE49:AG49"/>
    <mergeCell ref="AN49:AP49"/>
    <mergeCell ref="DJ48:DK48"/>
    <mergeCell ref="DL48:DM48"/>
    <mergeCell ref="DN48:DN64"/>
    <mergeCell ref="DR48:DU53"/>
    <mergeCell ref="DV48:DV57"/>
    <mergeCell ref="DW48:DZ48"/>
    <mergeCell ref="DJ49:DK49"/>
    <mergeCell ref="DL49:DM49"/>
    <mergeCell ref="DW49:DZ49"/>
    <mergeCell ref="DW50:DZ50"/>
    <mergeCell ref="CS48:CV48"/>
    <mergeCell ref="CW48:CX48"/>
    <mergeCell ref="CY48:DA48"/>
    <mergeCell ref="DB48:DB64"/>
    <mergeCell ref="EA49:EB49"/>
    <mergeCell ref="EC49:EE49"/>
    <mergeCell ref="D50:F50"/>
    <mergeCell ref="G50:H50"/>
    <mergeCell ref="I50:L50"/>
    <mergeCell ref="Y50:AB50"/>
    <mergeCell ref="AC50:AD50"/>
    <mergeCell ref="AE50:AG50"/>
    <mergeCell ref="AN50:AP50"/>
    <mergeCell ref="AQ50:AR50"/>
    <mergeCell ref="DG48:DG64"/>
    <mergeCell ref="DH48:DI48"/>
    <mergeCell ref="CS49:CV49"/>
    <mergeCell ref="CW49:CX49"/>
    <mergeCell ref="CY49:DA49"/>
    <mergeCell ref="DH49:DI49"/>
    <mergeCell ref="CA48:CB48"/>
    <mergeCell ref="CC48:CF48"/>
    <mergeCell ref="CG48:CG57"/>
    <mergeCell ref="CH48:CK53"/>
    <mergeCell ref="CN48:CQ53"/>
    <mergeCell ref="CR48:CR57"/>
    <mergeCell ref="CA49:CB49"/>
    <mergeCell ref="CC49:CF49"/>
    <mergeCell ref="EA50:EB50"/>
    <mergeCell ref="EC50:EE50"/>
    <mergeCell ref="D51:F51"/>
    <mergeCell ref="G51:H51"/>
    <mergeCell ref="I51:L51"/>
    <mergeCell ref="Y51:AB51"/>
    <mergeCell ref="AC51:AD51"/>
    <mergeCell ref="AE51:AG51"/>
    <mergeCell ref="AN51:AP51"/>
    <mergeCell ref="AQ51:AR51"/>
    <mergeCell ref="CS50:CV50"/>
    <mergeCell ref="CW50:CX50"/>
    <mergeCell ref="CY50:DA50"/>
    <mergeCell ref="DH50:DI50"/>
    <mergeCell ref="DJ50:DK50"/>
    <mergeCell ref="DL50:DM50"/>
    <mergeCell ref="BI50:BL50"/>
    <mergeCell ref="BM50:BN50"/>
    <mergeCell ref="BO50:BQ50"/>
    <mergeCell ref="BX50:BZ50"/>
    <mergeCell ref="CA50:CB50"/>
    <mergeCell ref="CC50:CF50"/>
    <mergeCell ref="DW51:DZ51"/>
    <mergeCell ref="EA51:EB51"/>
    <mergeCell ref="EC51:EE51"/>
    <mergeCell ref="F52:I52"/>
    <mergeCell ref="AB52:AE52"/>
    <mergeCell ref="AP52:AS52"/>
    <mergeCell ref="BL52:BO52"/>
    <mergeCell ref="BZ52:CC52"/>
    <mergeCell ref="CV52:CY52"/>
    <mergeCell ref="DI52:DL52"/>
    <mergeCell ref="CS51:CV51"/>
    <mergeCell ref="CW51:CX51"/>
    <mergeCell ref="CY51:DA51"/>
    <mergeCell ref="DH51:DI51"/>
    <mergeCell ref="DJ51:DK51"/>
    <mergeCell ref="DL51:DM51"/>
    <mergeCell ref="BI51:BL51"/>
    <mergeCell ref="BM51:BN51"/>
    <mergeCell ref="BO51:BQ51"/>
    <mergeCell ref="BX51:BZ51"/>
    <mergeCell ref="CA51:CB51"/>
    <mergeCell ref="CC51:CF51"/>
    <mergeCell ref="DZ52:EC52"/>
    <mergeCell ref="BW48:BW64"/>
    <mergeCell ref="BX48:BZ48"/>
    <mergeCell ref="BI49:BL49"/>
    <mergeCell ref="CH55:CK55"/>
    <mergeCell ref="CN55:CQ55"/>
    <mergeCell ref="CA53:CB53"/>
    <mergeCell ref="CC53:CF53"/>
    <mergeCell ref="DZ54:EC54"/>
    <mergeCell ref="D53:F53"/>
    <mergeCell ref="G53:H53"/>
    <mergeCell ref="I53:L53"/>
    <mergeCell ref="Y53:AB53"/>
    <mergeCell ref="AC53:AD53"/>
    <mergeCell ref="AE53:AG53"/>
    <mergeCell ref="AN53:AP53"/>
    <mergeCell ref="AQ53:AR53"/>
    <mergeCell ref="AS53:AV53"/>
    <mergeCell ref="DW53:DZ53"/>
    <mergeCell ref="EA53:EB53"/>
    <mergeCell ref="EC53:EE53"/>
    <mergeCell ref="F54:I54"/>
    <mergeCell ref="AB54:AE54"/>
    <mergeCell ref="AP54:AS54"/>
    <mergeCell ref="BL54:BO54"/>
    <mergeCell ref="BZ54:CC54"/>
    <mergeCell ref="CV54:CY54"/>
    <mergeCell ref="DI54:DL54"/>
    <mergeCell ref="CS53:CV53"/>
    <mergeCell ref="CW53:CX53"/>
    <mergeCell ref="CY53:DA53"/>
    <mergeCell ref="DH53:DI53"/>
    <mergeCell ref="DJ53:DK53"/>
    <mergeCell ref="DL53:DM53"/>
    <mergeCell ref="BI53:BL53"/>
    <mergeCell ref="BM53:BN53"/>
    <mergeCell ref="BO53:BQ53"/>
    <mergeCell ref="BX53:BZ53"/>
    <mergeCell ref="CT55:CW55"/>
    <mergeCell ref="DR55:DU55"/>
    <mergeCell ref="DX55:EA55"/>
    <mergeCell ref="H56:K56"/>
    <mergeCell ref="N56:Q56"/>
    <mergeCell ref="T56:W56"/>
    <mergeCell ref="Z56:AC56"/>
    <mergeCell ref="AR56:AU56"/>
    <mergeCell ref="AX56:BA56"/>
    <mergeCell ref="BD56:BG56"/>
    <mergeCell ref="DX56:EA56"/>
    <mergeCell ref="BJ56:BM56"/>
    <mergeCell ref="CB56:CE56"/>
    <mergeCell ref="CH56:CK56"/>
    <mergeCell ref="CN56:CQ56"/>
    <mergeCell ref="CT56:CW56"/>
    <mergeCell ref="DR56:DU56"/>
    <mergeCell ref="H55:K55"/>
    <mergeCell ref="N55:Q55"/>
    <mergeCell ref="T55:W55"/>
    <mergeCell ref="Z55:AC55"/>
    <mergeCell ref="AR55:AU55"/>
    <mergeCell ref="BJ55:BM55"/>
    <mergeCell ref="CB55:CE55"/>
    <mergeCell ref="J57:L57"/>
    <mergeCell ref="N57:O57"/>
    <mergeCell ref="V57:W57"/>
    <mergeCell ref="Y57:AA57"/>
    <mergeCell ref="AT57:AV57"/>
    <mergeCell ref="AX57:AY57"/>
    <mergeCell ref="BF57:BG57"/>
    <mergeCell ref="BI57:BK57"/>
    <mergeCell ref="CD57:CF57"/>
    <mergeCell ref="CH57:CI57"/>
    <mergeCell ref="CP57:CQ57"/>
    <mergeCell ref="CS57:CU57"/>
    <mergeCell ref="DT57:DU57"/>
    <mergeCell ref="DW57:DY57"/>
    <mergeCell ref="I58:I64"/>
    <mergeCell ref="J58:K58"/>
    <mergeCell ref="L58:M58"/>
    <mergeCell ref="N58:O58"/>
    <mergeCell ref="P58:P64"/>
    <mergeCell ref="CR58:CS58"/>
    <mergeCell ref="CT58:CU58"/>
    <mergeCell ref="CH59:CI59"/>
    <mergeCell ref="CP59:CQ59"/>
    <mergeCell ref="CR59:CS59"/>
    <mergeCell ref="CT59:CU59"/>
    <mergeCell ref="BH58:BI58"/>
    <mergeCell ref="BJ58:BK58"/>
    <mergeCell ref="BL58:BL64"/>
    <mergeCell ref="CC58:CC64"/>
    <mergeCell ref="CD58:CE58"/>
    <mergeCell ref="CF58:CG58"/>
    <mergeCell ref="BH59:BI59"/>
    <mergeCell ref="BJ59:BK59"/>
    <mergeCell ref="CF59:CG59"/>
    <mergeCell ref="DV58:DW58"/>
    <mergeCell ref="DX58:DY58"/>
    <mergeCell ref="DZ58:DZ64"/>
    <mergeCell ref="J59:K59"/>
    <mergeCell ref="L59:M59"/>
    <mergeCell ref="N59:O59"/>
    <mergeCell ref="V59:W59"/>
    <mergeCell ref="X59:Y59"/>
    <mergeCell ref="Z59:AA59"/>
    <mergeCell ref="AT59:AU59"/>
    <mergeCell ref="CV58:CV64"/>
    <mergeCell ref="DH58:DI58"/>
    <mergeCell ref="DJ58:DK58"/>
    <mergeCell ref="DL58:DM58"/>
    <mergeCell ref="DS58:DS64"/>
    <mergeCell ref="DT58:DU58"/>
    <mergeCell ref="DH59:DI59"/>
    <mergeCell ref="DJ59:DK59"/>
    <mergeCell ref="DL59:DM59"/>
    <mergeCell ref="DT59:DU59"/>
    <mergeCell ref="CH58:CI58"/>
    <mergeCell ref="CJ58:CJ64"/>
    <mergeCell ref="AS58:AS64"/>
    <mergeCell ref="CP58:CQ58"/>
    <mergeCell ref="DV59:DW59"/>
    <mergeCell ref="DX59:DY59"/>
    <mergeCell ref="J60:K60"/>
    <mergeCell ref="L60:M60"/>
    <mergeCell ref="N60:O60"/>
    <mergeCell ref="V60:W60"/>
    <mergeCell ref="X60:Y60"/>
    <mergeCell ref="Z60:AA60"/>
    <mergeCell ref="AT60:AU60"/>
    <mergeCell ref="AV60:AW60"/>
    <mergeCell ref="AZ58:AZ64"/>
    <mergeCell ref="BE58:BE64"/>
    <mergeCell ref="BF58:BG58"/>
    <mergeCell ref="AV59:AW59"/>
    <mergeCell ref="AX59:AY59"/>
    <mergeCell ref="BF59:BG59"/>
    <mergeCell ref="AX60:AY60"/>
    <mergeCell ref="U58:U64"/>
    <mergeCell ref="V58:W58"/>
    <mergeCell ref="X58:Y58"/>
    <mergeCell ref="Z58:AA58"/>
    <mergeCell ref="AB58:AB64"/>
    <mergeCell ref="CD59:CE59"/>
    <mergeCell ref="DT60:DU60"/>
    <mergeCell ref="DV60:DW60"/>
    <mergeCell ref="DX60:DY60"/>
    <mergeCell ref="J61:K61"/>
    <mergeCell ref="L61:M61"/>
    <mergeCell ref="N61:O61"/>
    <mergeCell ref="V61:W61"/>
    <mergeCell ref="X61:Y61"/>
    <mergeCell ref="Z61:AA61"/>
    <mergeCell ref="AT61:AU61"/>
    <mergeCell ref="CP60:CQ60"/>
    <mergeCell ref="CR60:CS60"/>
    <mergeCell ref="CT60:CU60"/>
    <mergeCell ref="DH60:DI60"/>
    <mergeCell ref="DJ60:DK60"/>
    <mergeCell ref="DL60:DM60"/>
    <mergeCell ref="BF60:BG60"/>
    <mergeCell ref="BH60:BI60"/>
    <mergeCell ref="BJ60:BK60"/>
    <mergeCell ref="CD60:CE60"/>
    <mergeCell ref="CF60:CG60"/>
    <mergeCell ref="CH60:CI60"/>
    <mergeCell ref="DJ61:DK61"/>
    <mergeCell ref="DL61:DM61"/>
    <mergeCell ref="DT61:DU61"/>
    <mergeCell ref="DV61:DW61"/>
    <mergeCell ref="DX61:DY61"/>
    <mergeCell ref="K62:N62"/>
    <mergeCell ref="W62:Z62"/>
    <mergeCell ref="AU62:AX62"/>
    <mergeCell ref="BG62:BJ62"/>
    <mergeCell ref="CE62:CH62"/>
    <mergeCell ref="CF61:CG61"/>
    <mergeCell ref="CH61:CI61"/>
    <mergeCell ref="CP61:CQ61"/>
    <mergeCell ref="CR61:CS61"/>
    <mergeCell ref="CT61:CU61"/>
    <mergeCell ref="DH61:DI61"/>
    <mergeCell ref="AV61:AW61"/>
    <mergeCell ref="AX61:AY61"/>
    <mergeCell ref="BF61:BG61"/>
    <mergeCell ref="BH61:BI61"/>
    <mergeCell ref="BJ61:BK61"/>
    <mergeCell ref="CD61:CE61"/>
    <mergeCell ref="CQ62:CT62"/>
    <mergeCell ref="DI62:DL62"/>
    <mergeCell ref="DU62:DX62"/>
    <mergeCell ref="CO58:CO64"/>
    <mergeCell ref="CD63:CE63"/>
    <mergeCell ref="CQ64:CT64"/>
    <mergeCell ref="DI64:DL64"/>
    <mergeCell ref="DU64:DX64"/>
    <mergeCell ref="J63:K63"/>
    <mergeCell ref="L63:M63"/>
    <mergeCell ref="N63:O63"/>
    <mergeCell ref="V63:W63"/>
    <mergeCell ref="X63:Y63"/>
    <mergeCell ref="Z63:AA63"/>
    <mergeCell ref="AT63:AU63"/>
    <mergeCell ref="DJ63:DK63"/>
    <mergeCell ref="DL63:DM63"/>
    <mergeCell ref="Z65:AC65"/>
    <mergeCell ref="AF65:AI65"/>
    <mergeCell ref="AL65:AO65"/>
    <mergeCell ref="DL65:DO65"/>
    <mergeCell ref="DR65:DU65"/>
    <mergeCell ref="DT63:DU63"/>
    <mergeCell ref="DV63:DW63"/>
    <mergeCell ref="DX63:DY63"/>
    <mergeCell ref="K64:N64"/>
    <mergeCell ref="W64:Z64"/>
    <mergeCell ref="AU64:AX64"/>
    <mergeCell ref="BG64:BJ64"/>
    <mergeCell ref="CE64:CH64"/>
    <mergeCell ref="CF63:CG63"/>
    <mergeCell ref="CH63:CI63"/>
    <mergeCell ref="CP63:CQ63"/>
    <mergeCell ref="CR63:CS63"/>
    <mergeCell ref="CT63:CU63"/>
    <mergeCell ref="DH63:DI63"/>
    <mergeCell ref="AV63:AW63"/>
    <mergeCell ref="AX63:AY63"/>
    <mergeCell ref="BF63:BG63"/>
    <mergeCell ref="BH63:BI63"/>
    <mergeCell ref="BJ63:BK63"/>
    <mergeCell ref="ED65:EG65"/>
    <mergeCell ref="B66:E66"/>
    <mergeCell ref="H66:K66"/>
    <mergeCell ref="N66:Q66"/>
    <mergeCell ref="T66:W66"/>
    <mergeCell ref="Z66:AC66"/>
    <mergeCell ref="AF66:AI66"/>
    <mergeCell ref="CB65:CE65"/>
    <mergeCell ref="CH65:CK65"/>
    <mergeCell ref="CN65:CQ65"/>
    <mergeCell ref="CT65:CW65"/>
    <mergeCell ref="CZ65:DC65"/>
    <mergeCell ref="DF65:DI65"/>
    <mergeCell ref="AR65:AU65"/>
    <mergeCell ref="AX65:BA65"/>
    <mergeCell ref="BD65:BG65"/>
    <mergeCell ref="BJ65:BM65"/>
    <mergeCell ref="BP65:BS65"/>
    <mergeCell ref="BV65:BY65"/>
    <mergeCell ref="ED66:EG66"/>
    <mergeCell ref="B65:E65"/>
    <mergeCell ref="H65:K65"/>
    <mergeCell ref="N65:Q65"/>
    <mergeCell ref="T65:W65"/>
    <mergeCell ref="CH66:CK66"/>
    <mergeCell ref="CN66:CQ66"/>
    <mergeCell ref="CT66:CW66"/>
    <mergeCell ref="CZ66:DC66"/>
    <mergeCell ref="AX66:BA66"/>
    <mergeCell ref="BD66:BG66"/>
    <mergeCell ref="BJ66:BM66"/>
    <mergeCell ref="BP66:BS66"/>
    <mergeCell ref="DX65:EA65"/>
    <mergeCell ref="DJ80:EA81"/>
    <mergeCell ref="BP80:BS80"/>
    <mergeCell ref="BS81:BV81"/>
    <mergeCell ref="AQ74:AT74"/>
    <mergeCell ref="AU74:AV74"/>
    <mergeCell ref="AW74:AZ74"/>
    <mergeCell ref="DF66:DI66"/>
    <mergeCell ref="DL66:DO66"/>
    <mergeCell ref="DR66:DU66"/>
    <mergeCell ref="DX66:EA66"/>
    <mergeCell ref="AR66:AU66"/>
    <mergeCell ref="CH72:DI72"/>
    <mergeCell ref="CH81:DI81"/>
    <mergeCell ref="CG75:CG80"/>
    <mergeCell ref="BB75:BB80"/>
    <mergeCell ref="BM79:BP79"/>
    <mergeCell ref="BQ79:BR79"/>
    <mergeCell ref="BS79:BV79"/>
    <mergeCell ref="BS76:BV76"/>
    <mergeCell ref="BQ76:BR76"/>
    <mergeCell ref="BM76:BP76"/>
    <mergeCell ref="AZ69:BC70"/>
    <mergeCell ref="BN69:CA70"/>
    <mergeCell ref="BV66:BY66"/>
    <mergeCell ref="Z81:BA81"/>
    <mergeCell ref="Z73:AA73"/>
    <mergeCell ref="Z80:AA80"/>
    <mergeCell ref="DH73:DI73"/>
    <mergeCell ref="DH80:DI80"/>
    <mergeCell ref="CG73:CG74"/>
    <mergeCell ref="BB73:BB74"/>
    <mergeCell ref="BR74:CF74"/>
    <mergeCell ref="BM81:BP81"/>
    <mergeCell ref="BQ81:BR81"/>
    <mergeCell ref="CM77:CN77"/>
    <mergeCell ref="CO77:CR77"/>
    <mergeCell ref="CI74:CL74"/>
    <mergeCell ref="CM74:CN74"/>
    <mergeCell ref="CO74:CR74"/>
    <mergeCell ref="CI75:CL75"/>
    <mergeCell ref="CM75:CN75"/>
    <mergeCell ref="CO75:CR75"/>
    <mergeCell ref="AQ77:AT77"/>
    <mergeCell ref="AU77:AV77"/>
    <mergeCell ref="BM77:BP77"/>
    <mergeCell ref="BQ77:BR77"/>
    <mergeCell ref="BS77:BV77"/>
    <mergeCell ref="BM78:BP78"/>
    <mergeCell ref="N43:Q43"/>
    <mergeCell ref="N40:Q40"/>
    <mergeCell ref="BC74:BQ74"/>
    <mergeCell ref="CE76:CF76"/>
    <mergeCell ref="BC76:BD76"/>
    <mergeCell ref="BJ76:BL77"/>
    <mergeCell ref="BW76:BY77"/>
    <mergeCell ref="BZ76:CC80"/>
    <mergeCell ref="BF76:BI80"/>
    <mergeCell ref="Z72:BA72"/>
    <mergeCell ref="AW79:AZ79"/>
    <mergeCell ref="AQ75:AT75"/>
    <mergeCell ref="AU75:AV75"/>
    <mergeCell ref="AW75:AZ75"/>
    <mergeCell ref="AQ76:AT76"/>
    <mergeCell ref="AU76:AV76"/>
    <mergeCell ref="AW76:AZ76"/>
    <mergeCell ref="H72:Y73"/>
    <mergeCell ref="AT58:AU58"/>
    <mergeCell ref="BQ78:BR78"/>
    <mergeCell ref="BS78:BV78"/>
    <mergeCell ref="H80:Y81"/>
    <mergeCell ref="AL66:AO66"/>
    <mergeCell ref="CB66:CE66"/>
    <mergeCell ref="B68:AC69"/>
    <mergeCell ref="H70:Y71"/>
    <mergeCell ref="DJ74:EA75"/>
    <mergeCell ref="H78:Y79"/>
    <mergeCell ref="DJ70:EA71"/>
    <mergeCell ref="DJ78:EA79"/>
    <mergeCell ref="AW77:AZ77"/>
    <mergeCell ref="AT78:AW78"/>
    <mergeCell ref="AQ79:AT79"/>
    <mergeCell ref="AU79:AV79"/>
    <mergeCell ref="CI76:CL76"/>
    <mergeCell ref="CM76:CN76"/>
    <mergeCell ref="CO76:CR76"/>
    <mergeCell ref="CI77:CL77"/>
    <mergeCell ref="CL78:CO78"/>
    <mergeCell ref="CI79:CL79"/>
    <mergeCell ref="CM79:CN79"/>
    <mergeCell ref="CO79:CR79"/>
    <mergeCell ref="DJ72:EA73"/>
  </mergeCells>
  <phoneticPr fontId="2"/>
  <conditionalFormatting sqref="C48:C64">
    <cfRule type="expression" dxfId="434" priority="150" stopIfTrue="1">
      <formula>$C$46&lt;=$I$46</formula>
    </cfRule>
  </conditionalFormatting>
  <conditionalFormatting sqref="D47:F47">
    <cfRule type="expression" dxfId="433" priority="121" stopIfTrue="1">
      <formula>$C$46&lt;=$I$46</formula>
    </cfRule>
  </conditionalFormatting>
  <conditionalFormatting sqref="G38:G47">
    <cfRule type="expression" dxfId="432" priority="105" stopIfTrue="1">
      <formula>$C$46&lt;$I$46</formula>
    </cfRule>
    <cfRule type="expression" dxfId="431" priority="104" stopIfTrue="1">
      <formula>$C$46=$I$46</formula>
    </cfRule>
  </conditionalFormatting>
  <conditionalFormatting sqref="H47:L47">
    <cfRule type="expression" dxfId="430" priority="110" stopIfTrue="1">
      <formula>$I$46&lt;=$C$46</formula>
    </cfRule>
  </conditionalFormatting>
  <conditionalFormatting sqref="H37:Q37">
    <cfRule type="expression" dxfId="429" priority="17" stopIfTrue="1">
      <formula>$N$36&lt;=$T$36</formula>
    </cfRule>
  </conditionalFormatting>
  <conditionalFormatting sqref="I58:I64">
    <cfRule type="expression" dxfId="428" priority="149" stopIfTrue="1">
      <formula>$H$56&lt;=$N$56</formula>
    </cfRule>
  </conditionalFormatting>
  <conditionalFormatting sqref="J57:L57">
    <cfRule type="expression" dxfId="427" priority="125" stopIfTrue="1">
      <formula>$H$56&lt;=$N$56</formula>
    </cfRule>
  </conditionalFormatting>
  <conditionalFormatting sqref="M48:M57">
    <cfRule type="expression" dxfId="426" priority="134" stopIfTrue="1">
      <formula>$N$56=$H$56</formula>
    </cfRule>
    <cfRule type="expression" dxfId="425" priority="135" stopIfTrue="1">
      <formula>$N$56&lt;$H$56</formula>
    </cfRule>
  </conditionalFormatting>
  <conditionalFormatting sqref="N57:O57">
    <cfRule type="expression" dxfId="424" priority="115" stopIfTrue="1">
      <formula>$N$56&lt;=$H$56</formula>
    </cfRule>
  </conditionalFormatting>
  <conditionalFormatting sqref="P58:P64">
    <cfRule type="expression" dxfId="423" priority="144" stopIfTrue="1">
      <formula>$N$56&lt;=$H$56</formula>
    </cfRule>
  </conditionalFormatting>
  <conditionalFormatting sqref="R28:R37">
    <cfRule type="expression" dxfId="422" priority="16">
      <formula>$N$36&lt;$T$36</formula>
    </cfRule>
    <cfRule type="expression" dxfId="421" priority="70">
      <formula>$N$36=$T$36</formula>
    </cfRule>
  </conditionalFormatting>
  <conditionalFormatting sqref="S37:AC37">
    <cfRule type="expression" dxfId="420" priority="167" stopIfTrue="1">
      <formula>$T$36&lt;=$N$36</formula>
    </cfRule>
  </conditionalFormatting>
  <conditionalFormatting sqref="S27:AI27">
    <cfRule type="expression" dxfId="419" priority="173">
      <formula>$AF$26&lt;=$AL$26</formula>
    </cfRule>
  </conditionalFormatting>
  <conditionalFormatting sqref="U58:U64">
    <cfRule type="expression" dxfId="418" priority="24" stopIfTrue="1">
      <formula>$T$56&lt;=$Z$56</formula>
    </cfRule>
  </conditionalFormatting>
  <conditionalFormatting sqref="V57:W57">
    <cfRule type="expression" dxfId="417" priority="18" stopIfTrue="1">
      <formula>$T$56&lt;=$Z$56</formula>
    </cfRule>
  </conditionalFormatting>
  <conditionalFormatting sqref="X48:X57">
    <cfRule type="expression" dxfId="416" priority="20" stopIfTrue="1">
      <formula>$T$56=$Z$56</formula>
    </cfRule>
    <cfRule type="expression" dxfId="415" priority="21" stopIfTrue="1">
      <formula>$T$56&lt;$Z$56</formula>
    </cfRule>
  </conditionalFormatting>
  <conditionalFormatting sqref="Y57:AA57">
    <cfRule type="expression" dxfId="414" priority="19" stopIfTrue="1">
      <formula>$Z$56&lt;=$T$56</formula>
    </cfRule>
  </conditionalFormatting>
  <conditionalFormatting sqref="Y47:AC47">
    <cfRule type="expression" dxfId="413" priority="14">
      <formula>$Y$46&lt;=$AE$46</formula>
    </cfRule>
  </conditionalFormatting>
  <conditionalFormatting sqref="Z72:BA72">
    <cfRule type="expression" dxfId="412" priority="11">
      <formula>$Z$73&gt;=$Z$80</formula>
    </cfRule>
  </conditionalFormatting>
  <conditionalFormatting sqref="Z81:BA81">
    <cfRule type="expression" dxfId="411" priority="10">
      <formula>$Z$80&gt;=$Z$73</formula>
    </cfRule>
  </conditionalFormatting>
  <conditionalFormatting sqref="AB58:AB64">
    <cfRule type="expression" dxfId="410" priority="23" stopIfTrue="1">
      <formula>$Z$56&lt;=$T$56</formula>
    </cfRule>
  </conditionalFormatting>
  <conditionalFormatting sqref="AD38:AD47">
    <cfRule type="expression" dxfId="409" priority="172">
      <formula>$Y$46=$AE$46</formula>
    </cfRule>
    <cfRule type="expression" dxfId="408" priority="171">
      <formula>$AE$46&lt;$Y$46</formula>
    </cfRule>
  </conditionalFormatting>
  <conditionalFormatting sqref="AE47:AG47">
    <cfRule type="expression" dxfId="407" priority="15">
      <formula>$AE$46&lt;=$Y$46</formula>
    </cfRule>
  </conditionalFormatting>
  <conditionalFormatting sqref="AH48:AH64">
    <cfRule type="expression" dxfId="406" priority="22" stopIfTrue="1">
      <formula>$BO$46&lt;=$BI$46</formula>
    </cfRule>
  </conditionalFormatting>
  <conditionalFormatting sqref="AJ16:AJ27">
    <cfRule type="expression" dxfId="405" priority="60">
      <formula>$AF$26&lt;$AL$26</formula>
    </cfRule>
    <cfRule type="expression" dxfId="404" priority="61">
      <formula>$AF$26=$AL$26</formula>
    </cfRule>
  </conditionalFormatting>
  <conditionalFormatting sqref="AK27:BB27">
    <cfRule type="expression" dxfId="403" priority="174" stopIfTrue="1">
      <formula>$AL$26&lt;=$AF$26</formula>
    </cfRule>
  </conditionalFormatting>
  <conditionalFormatting sqref="AK15:BS15">
    <cfRule type="expression" dxfId="402" priority="152" stopIfTrue="1">
      <formula>$BP$14&lt;=$BV$14</formula>
    </cfRule>
  </conditionalFormatting>
  <conditionalFormatting sqref="AM48:AM64">
    <cfRule type="expression" dxfId="401" priority="139" stopIfTrue="1">
      <formula>$AM$46&lt;=$AS$46</formula>
    </cfRule>
  </conditionalFormatting>
  <conditionalFormatting sqref="AN47:AP47">
    <cfRule type="expression" dxfId="400" priority="120" stopIfTrue="1">
      <formula>$AM$46&lt;=$AS$46</formula>
    </cfRule>
  </conditionalFormatting>
  <conditionalFormatting sqref="AQ38:AQ47">
    <cfRule type="expression" dxfId="399" priority="102" stopIfTrue="1">
      <formula>$AM$46=$AS$46</formula>
    </cfRule>
    <cfRule type="expression" dxfId="398" priority="103" stopIfTrue="1">
      <formula>$AM$46&lt;$AS$46</formula>
    </cfRule>
  </conditionalFormatting>
  <conditionalFormatting sqref="AR47:AV47">
    <cfRule type="expression" dxfId="397" priority="109" stopIfTrue="1">
      <formula>$AS$46&lt;=$AM$46</formula>
    </cfRule>
  </conditionalFormatting>
  <conditionalFormatting sqref="AR37:BB37">
    <cfRule type="expression" dxfId="396" priority="91" stopIfTrue="1">
      <formula>$AX$36&lt;=$BD$36</formula>
    </cfRule>
  </conditionalFormatting>
  <conditionalFormatting sqref="AS58:AS64">
    <cfRule type="expression" dxfId="395" priority="148" stopIfTrue="1">
      <formula>$AR$56&lt;=$AX$56</formula>
    </cfRule>
  </conditionalFormatting>
  <conditionalFormatting sqref="AT57:AV57">
    <cfRule type="expression" dxfId="394" priority="124" stopIfTrue="1">
      <formula>$AR$56&lt;=$AX$56</formula>
    </cfRule>
  </conditionalFormatting>
  <conditionalFormatting sqref="AV3:AV6 L3:L8 BU3:CV8 CY3:DK8 AV7:BH8">
    <cfRule type="expression" dxfId="393" priority="151" stopIfTrue="1">
      <formula>#REF!=""</formula>
    </cfRule>
  </conditionalFormatting>
  <conditionalFormatting sqref="AW48:AW57">
    <cfRule type="expression" dxfId="392" priority="133" stopIfTrue="1">
      <formula>$AX$56&lt;$AR$56</formula>
    </cfRule>
    <cfRule type="expression" dxfId="391" priority="132" stopIfTrue="1">
      <formula>$AX$56=$AR$56</formula>
    </cfRule>
  </conditionalFormatting>
  <conditionalFormatting sqref="AX57:AY57">
    <cfRule type="expression" dxfId="390" priority="114" stopIfTrue="1">
      <formula>$AX$56&lt;=$AR$56</formula>
    </cfRule>
  </conditionalFormatting>
  <conditionalFormatting sqref="AZ58:AZ64">
    <cfRule type="expression" dxfId="389" priority="143" stopIfTrue="1">
      <formula>$AX$56&lt;=$AR$56</formula>
    </cfRule>
  </conditionalFormatting>
  <conditionalFormatting sqref="BB73:BB74">
    <cfRule type="expression" dxfId="388" priority="7">
      <formula>$Z$73=$Z$80</formula>
    </cfRule>
    <cfRule type="expression" dxfId="387" priority="4">
      <formula>$Z$73&gt;$Z$80</formula>
    </cfRule>
  </conditionalFormatting>
  <conditionalFormatting sqref="BB75:BB80">
    <cfRule type="expression" dxfId="386" priority="8">
      <formula>$Z$80&gt;=$Z$73</formula>
    </cfRule>
  </conditionalFormatting>
  <conditionalFormatting sqref="BC28:BC37">
    <cfRule type="expression" dxfId="385" priority="87" stopIfTrue="1">
      <formula>$BD$36&lt;$AX$36</formula>
    </cfRule>
    <cfRule type="expression" dxfId="384" priority="86" stopIfTrue="1">
      <formula>$BD$36=$AX$36</formula>
    </cfRule>
  </conditionalFormatting>
  <conditionalFormatting sqref="BC74:BQ74">
    <cfRule type="expression" dxfId="383" priority="2">
      <formula>$BC$76&gt;=$CE$76</formula>
    </cfRule>
  </conditionalFormatting>
  <conditionalFormatting sqref="BD37:BM37">
    <cfRule type="expression" dxfId="382" priority="95" stopIfTrue="1">
      <formula>$BD$36&lt;=$AX$36</formula>
    </cfRule>
  </conditionalFormatting>
  <conditionalFormatting sqref="BE58:BE64">
    <cfRule type="expression" dxfId="381" priority="147" stopIfTrue="1">
      <formula>$BD$56&lt;=$BJ$56</formula>
    </cfRule>
  </conditionalFormatting>
  <conditionalFormatting sqref="BF57:BG57">
    <cfRule type="expression" dxfId="380" priority="113" stopIfTrue="1">
      <formula>$BD$56&lt;=$BJ$56</formula>
    </cfRule>
  </conditionalFormatting>
  <conditionalFormatting sqref="BH48:BH57">
    <cfRule type="expression" dxfId="379" priority="129" stopIfTrue="1">
      <formula>$BD$56&lt;$BJ$56</formula>
    </cfRule>
    <cfRule type="expression" dxfId="378" priority="128" stopIfTrue="1">
      <formula>$BD$56=$BJ$56</formula>
    </cfRule>
  </conditionalFormatting>
  <conditionalFormatting sqref="BI57:BK57">
    <cfRule type="expression" dxfId="377" priority="116" stopIfTrue="1">
      <formula>$BJ$56&lt;=$BD$56</formula>
    </cfRule>
  </conditionalFormatting>
  <conditionalFormatting sqref="BI47:BM47">
    <cfRule type="expression" dxfId="376" priority="108" stopIfTrue="1">
      <formula>$BI$46&lt;=$BO$46</formula>
    </cfRule>
  </conditionalFormatting>
  <conditionalFormatting sqref="BL58:BL64">
    <cfRule type="expression" dxfId="375" priority="142" stopIfTrue="1">
      <formula>$BJ$56&lt;=$BD$56</formula>
    </cfRule>
  </conditionalFormatting>
  <conditionalFormatting sqref="BN38:BN47">
    <cfRule type="expression" dxfId="374" priority="98" stopIfTrue="1">
      <formula>$BO$46=$BI$46</formula>
    </cfRule>
    <cfRule type="expression" dxfId="373" priority="99" stopIfTrue="1">
      <formula>$BO$46&lt;$BI$46</formula>
    </cfRule>
  </conditionalFormatting>
  <conditionalFormatting sqref="BO47:BQ47">
    <cfRule type="expression" dxfId="372" priority="119" stopIfTrue="1">
      <formula>$BO$46&lt;=$BI$46</formula>
    </cfRule>
  </conditionalFormatting>
  <conditionalFormatting sqref="BR48:BR64">
    <cfRule type="expression" dxfId="371" priority="137" stopIfTrue="1">
      <formula>$BO$46&lt;=$BI$46</formula>
    </cfRule>
  </conditionalFormatting>
  <conditionalFormatting sqref="BR74:CF74">
    <cfRule type="expression" dxfId="370" priority="1">
      <formula>$CE$76&gt;=$BC$76</formula>
    </cfRule>
  </conditionalFormatting>
  <conditionalFormatting sqref="BT11:BT15">
    <cfRule type="expression" dxfId="369" priority="153" stopIfTrue="1">
      <formula>$BP$14=$BV$14</formula>
    </cfRule>
    <cfRule type="expression" dxfId="368" priority="154" stopIfTrue="1">
      <formula>$BP$14&lt;$BV$14</formula>
    </cfRule>
  </conditionalFormatting>
  <conditionalFormatting sqref="BU15:DA15">
    <cfRule type="expression" dxfId="367" priority="73">
      <formula>$BV$14&lt;=$BP$14</formula>
    </cfRule>
  </conditionalFormatting>
  <conditionalFormatting sqref="BW48:BW64">
    <cfRule type="expression" dxfId="366" priority="138" stopIfTrue="1">
      <formula>$BW$46&lt;=$CC$46</formula>
    </cfRule>
  </conditionalFormatting>
  <conditionalFormatting sqref="BX47:BZ47">
    <cfRule type="expression" dxfId="365" priority="118" stopIfTrue="1">
      <formula>$BW$46&lt;=$CC$46</formula>
    </cfRule>
  </conditionalFormatting>
  <conditionalFormatting sqref="CA38:CA47">
    <cfRule type="expression" dxfId="364" priority="101" stopIfTrue="1">
      <formula>$BW$46&lt;$CC$46</formula>
    </cfRule>
    <cfRule type="expression" dxfId="363" priority="100" stopIfTrue="1">
      <formula>$BW$46=$CC$46</formula>
    </cfRule>
  </conditionalFormatting>
  <conditionalFormatting sqref="CB47:CF47">
    <cfRule type="expression" dxfId="362" priority="107" stopIfTrue="1">
      <formula>$CC$46&lt;=$BW$46</formula>
    </cfRule>
  </conditionalFormatting>
  <conditionalFormatting sqref="CB37:CK37">
    <cfRule type="expression" dxfId="361" priority="94" stopIfTrue="1">
      <formula>$CH$36&lt;=$CN$36</formula>
    </cfRule>
  </conditionalFormatting>
  <conditionalFormatting sqref="CC58:CC64">
    <cfRule type="expression" dxfId="360" priority="146" stopIfTrue="1">
      <formula>$CB$56&lt;=$CH$56</formula>
    </cfRule>
  </conditionalFormatting>
  <conditionalFormatting sqref="CD57:CF57">
    <cfRule type="expression" dxfId="359" priority="123" stopIfTrue="1">
      <formula>$CB$56&lt;=$CH$56</formula>
    </cfRule>
  </conditionalFormatting>
  <conditionalFormatting sqref="CG48:CG57">
    <cfRule type="expression" dxfId="358" priority="130" stopIfTrue="1">
      <formula>$CH$56=$CB$56</formula>
    </cfRule>
    <cfRule type="expression" dxfId="357" priority="131" stopIfTrue="1">
      <formula>$CH$56&lt;$CB$56</formula>
    </cfRule>
  </conditionalFormatting>
  <conditionalFormatting sqref="CG73:CG74">
    <cfRule type="expression" dxfId="356" priority="3">
      <formula>$DH$73&gt;$DH$80</formula>
    </cfRule>
    <cfRule type="expression" dxfId="355" priority="5">
      <formula>$DH$73=$DH$80</formula>
    </cfRule>
  </conditionalFormatting>
  <conditionalFormatting sqref="CG75:CG80">
    <cfRule type="expression" dxfId="354" priority="6">
      <formula>$DH$80&gt;=$DH$73</formula>
    </cfRule>
  </conditionalFormatting>
  <conditionalFormatting sqref="CH57:CI57">
    <cfRule type="expression" dxfId="353" priority="112" stopIfTrue="1">
      <formula>$CH$56&lt;=$CB$56</formula>
    </cfRule>
  </conditionalFormatting>
  <conditionalFormatting sqref="CH72:DI72">
    <cfRule type="expression" dxfId="352" priority="12">
      <formula>$DH$73&gt;=$DH$80</formula>
    </cfRule>
  </conditionalFormatting>
  <conditionalFormatting sqref="CH81:DI81">
    <cfRule type="expression" dxfId="351" priority="9">
      <formula>$DH$80&gt;=$DH$73</formula>
    </cfRule>
  </conditionalFormatting>
  <conditionalFormatting sqref="CJ58:CJ64">
    <cfRule type="expression" dxfId="350" priority="141" stopIfTrue="1">
      <formula>$CH$56&lt;=$CB$56</formula>
    </cfRule>
  </conditionalFormatting>
  <conditionalFormatting sqref="CL28:CL37">
    <cfRule type="expression" dxfId="349" priority="89" stopIfTrue="1">
      <formula>$CH$36&lt;$CN$36</formula>
    </cfRule>
    <cfRule type="expression" dxfId="348" priority="88" stopIfTrue="1">
      <formula>$CH$36=$CN$36</formula>
    </cfRule>
  </conditionalFormatting>
  <conditionalFormatting sqref="CM37:CW37">
    <cfRule type="expression" dxfId="347" priority="90" stopIfTrue="1">
      <formula>$CN$36&lt;=$CH$36</formula>
    </cfRule>
  </conditionalFormatting>
  <conditionalFormatting sqref="CM27:DA27">
    <cfRule type="expression" dxfId="346" priority="62">
      <formula>$CW$26&lt;=$DC$26</formula>
    </cfRule>
  </conditionalFormatting>
  <conditionalFormatting sqref="CO58:CO64">
    <cfRule type="expression" dxfId="345" priority="145" stopIfTrue="1">
      <formula>$CN$56&lt;=$CT$56</formula>
    </cfRule>
  </conditionalFormatting>
  <conditionalFormatting sqref="CP57:CQ57">
    <cfRule type="expression" dxfId="344" priority="111" stopIfTrue="1">
      <formula>$CN$56&lt;=$CT$56</formula>
    </cfRule>
  </conditionalFormatting>
  <conditionalFormatting sqref="CR48:CR57">
    <cfRule type="expression" dxfId="343" priority="126" stopIfTrue="1">
      <formula>$CN$56=$CT$56</formula>
    </cfRule>
    <cfRule type="expression" dxfId="342" priority="127" stopIfTrue="1">
      <formula>$CN$56&lt;$CT$56</formula>
    </cfRule>
  </conditionalFormatting>
  <conditionalFormatting sqref="CS57:CU57">
    <cfRule type="expression" dxfId="341" priority="122" stopIfTrue="1">
      <formula>$CT$56&lt;=$CN$56</formula>
    </cfRule>
  </conditionalFormatting>
  <conditionalFormatting sqref="CS47:CW47">
    <cfRule type="expression" dxfId="340" priority="106" stopIfTrue="1">
      <formula>$CS$46&lt;=$CY$46</formula>
    </cfRule>
  </conditionalFormatting>
  <conditionalFormatting sqref="CV58:CV64">
    <cfRule type="expression" dxfId="339" priority="140" stopIfTrue="1">
      <formula>$CT$56&lt;=$CN$56</formula>
    </cfRule>
  </conditionalFormatting>
  <conditionalFormatting sqref="CX38:CX47">
    <cfRule type="expression" dxfId="338" priority="97" stopIfTrue="1">
      <formula>$CY$46&lt;$CS$46</formula>
    </cfRule>
    <cfRule type="expression" dxfId="337" priority="96" stopIfTrue="1">
      <formula>$CY$46=$CS$46</formula>
    </cfRule>
  </conditionalFormatting>
  <conditionalFormatting sqref="CY47:DA47">
    <cfRule type="expression" dxfId="336" priority="117" stopIfTrue="1">
      <formula>$CY$46&lt;=$CS$46</formula>
    </cfRule>
  </conditionalFormatting>
  <conditionalFormatting sqref="DB16:DB27">
    <cfRule type="expression" dxfId="335" priority="64">
      <formula>$DC$26=$CW$26</formula>
    </cfRule>
    <cfRule type="expression" dxfId="334" priority="63">
      <formula>$DC$26&lt;$CW$26</formula>
    </cfRule>
  </conditionalFormatting>
  <conditionalFormatting sqref="DB48:DB64">
    <cfRule type="expression" dxfId="333" priority="136" stopIfTrue="1">
      <formula>$CY$46&lt;=$CS$46</formula>
    </cfRule>
  </conditionalFormatting>
  <conditionalFormatting sqref="DC27:DS27">
    <cfRule type="expression" dxfId="332" priority="168">
      <formula>$DC$26&lt;=$CW$26</formula>
    </cfRule>
  </conditionalFormatting>
  <conditionalFormatting sqref="DE22:DE24">
    <cfRule type="expression" dxfId="331" priority="170">
      <formula>$CZ$26=#REF!</formula>
    </cfRule>
    <cfRule type="expression" dxfId="330" priority="169">
      <formula>#REF!&lt;$CZ$26</formula>
    </cfRule>
  </conditionalFormatting>
  <conditionalFormatting sqref="DG48:DG64">
    <cfRule type="expression" dxfId="329" priority="72" stopIfTrue="1">
      <formula>$DF$46&lt;=$DL$46</formula>
    </cfRule>
  </conditionalFormatting>
  <conditionalFormatting sqref="DG9:ED25">
    <cfRule type="expression" dxfId="328" priority="156" stopIfTrue="1">
      <formula>$EI$1=FALSE</formula>
    </cfRule>
  </conditionalFormatting>
  <conditionalFormatting sqref="DH47:DI47">
    <cfRule type="expression" dxfId="327" priority="77" stopIfTrue="1">
      <formula>$DF$46&lt;=$DL$46</formula>
    </cfRule>
  </conditionalFormatting>
  <conditionalFormatting sqref="DJ38:DJ47">
    <cfRule type="expression" dxfId="326" priority="69">
      <formula>$DF$46=$DL$46</formula>
    </cfRule>
    <cfRule type="expression" dxfId="325" priority="68">
      <formula>$DF$46&lt;$DL$46</formula>
    </cfRule>
  </conditionalFormatting>
  <conditionalFormatting sqref="DK16:DK22">
    <cfRule type="expression" dxfId="324" priority="158" stopIfTrue="1">
      <formula>$DN$14&lt;=$DT$14</formula>
    </cfRule>
  </conditionalFormatting>
  <conditionalFormatting sqref="DK47:DM47">
    <cfRule type="expression" dxfId="323" priority="67">
      <formula>$DL$46&lt;=$DF$46</formula>
    </cfRule>
  </conditionalFormatting>
  <conditionalFormatting sqref="DK37:DS37">
    <cfRule type="expression" dxfId="322" priority="92" stopIfTrue="1">
      <formula>$DO$36&lt;=$DU$36</formula>
    </cfRule>
  </conditionalFormatting>
  <conditionalFormatting sqref="DL15:DQ15">
    <cfRule type="expression" dxfId="321" priority="160" stopIfTrue="1">
      <formula>$DN$14&lt;=$DT$14</formula>
    </cfRule>
  </conditionalFormatting>
  <conditionalFormatting sqref="DN48:DN64">
    <cfRule type="expression" dxfId="320" priority="71" stopIfTrue="1">
      <formula>$DL$46&lt;=$DF$46</formula>
    </cfRule>
  </conditionalFormatting>
  <conditionalFormatting sqref="DR13:DR15">
    <cfRule type="expression" dxfId="319" priority="166" stopIfTrue="1">
      <formula>$DN$14&lt;$DT$14</formula>
    </cfRule>
    <cfRule type="expression" dxfId="318" priority="165" stopIfTrue="1">
      <formula>$DN$14=$DT$14</formula>
    </cfRule>
  </conditionalFormatting>
  <conditionalFormatting sqref="DS58:DS64">
    <cfRule type="expression" dxfId="317" priority="85" stopIfTrue="1">
      <formula>$DR$56&lt;=$DX$56</formula>
    </cfRule>
  </conditionalFormatting>
  <conditionalFormatting sqref="DS15:DY15">
    <cfRule type="expression" dxfId="316" priority="162" stopIfTrue="1">
      <formula>$DT$14&lt;=$DN$14</formula>
    </cfRule>
  </conditionalFormatting>
  <conditionalFormatting sqref="DT28:DT37">
    <cfRule type="expression" dxfId="315" priority="65">
      <formula>$DU$36&lt;$DO$36</formula>
    </cfRule>
    <cfRule type="expression" dxfId="314" priority="66">
      <formula>$DU$36=$DO$36</formula>
    </cfRule>
  </conditionalFormatting>
  <conditionalFormatting sqref="DT57:DU57">
    <cfRule type="expression" dxfId="313" priority="78" stopIfTrue="1">
      <formula>$DR$56&lt;=$DX$56</formula>
    </cfRule>
  </conditionalFormatting>
  <conditionalFormatting sqref="DU37:EA37">
    <cfRule type="expression" dxfId="312" priority="93" stopIfTrue="1">
      <formula>$DU$36&lt;=$DO$36</formula>
    </cfRule>
  </conditionalFormatting>
  <conditionalFormatting sqref="DV48:DV57">
    <cfRule type="expression" dxfId="311" priority="82" stopIfTrue="1">
      <formula>$DR$56&lt;$DX$56</formula>
    </cfRule>
    <cfRule type="expression" dxfId="310" priority="81" stopIfTrue="1">
      <formula>$DR$56=$DX$56</formula>
    </cfRule>
  </conditionalFormatting>
  <conditionalFormatting sqref="DW57:DY57">
    <cfRule type="expression" dxfId="309" priority="79" stopIfTrue="1">
      <formula>$DX$56&lt;=$DR$56</formula>
    </cfRule>
  </conditionalFormatting>
  <conditionalFormatting sqref="DW47:EA47">
    <cfRule type="expression" dxfId="308" priority="76" stopIfTrue="1">
      <formula>$DW$46&lt;=$EC$46</formula>
    </cfRule>
  </conditionalFormatting>
  <conditionalFormatting sqref="DZ16:DZ22">
    <cfRule type="expression" dxfId="307" priority="164" stopIfTrue="1">
      <formula>$DT$14&lt;=$DN$14</formula>
    </cfRule>
  </conditionalFormatting>
  <conditionalFormatting sqref="DZ58:DZ64">
    <cfRule type="expression" dxfId="306" priority="84" stopIfTrue="1">
      <formula>$DX$56&lt;=$DR$56</formula>
    </cfRule>
  </conditionalFormatting>
  <conditionalFormatting sqref="EB38:EB47">
    <cfRule type="expression" dxfId="305" priority="74" stopIfTrue="1">
      <formula>$EC$46=$DW$46</formula>
    </cfRule>
    <cfRule type="expression" dxfId="304" priority="75" stopIfTrue="1">
      <formula>$EC$46&lt;$DW$46</formula>
    </cfRule>
  </conditionalFormatting>
  <conditionalFormatting sqref="EC47:EE47">
    <cfRule type="expression" dxfId="303" priority="80" stopIfTrue="1">
      <formula>$EC$46&lt;=$DW$46</formula>
    </cfRule>
  </conditionalFormatting>
  <conditionalFormatting sqref="EF48:EF64">
    <cfRule type="expression" dxfId="302" priority="83" stopIfTrue="1">
      <formula>$EC$46&lt;=$DW$46</formula>
    </cfRule>
  </conditionalFormatting>
  <printOptions horizontalCentered="1"/>
  <pageMargins left="0.39370078740157483" right="0.39370078740157483" top="0.59055118110236227" bottom="0.39370078740157483" header="0.51181102362204722" footer="0.51181102362204722"/>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from>
                    <xdr:col>139</xdr:col>
                    <xdr:colOff>47625</xdr:colOff>
                    <xdr:row>0</xdr:row>
                    <xdr:rowOff>276225</xdr:rowOff>
                  </from>
                  <to>
                    <xdr:col>139</xdr:col>
                    <xdr:colOff>266700</xdr:colOff>
                    <xdr:row>2</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B286E-ED81-4A63-94E2-E849CCF12415}">
  <sheetPr>
    <tabColor rgb="FFC00000"/>
    <pageSetUpPr fitToPage="1"/>
  </sheetPr>
  <dimension ref="A1:ER85"/>
  <sheetViews>
    <sheetView showGridLines="0" zoomScale="92" zoomScaleNormal="92" zoomScaleSheetLayoutView="98" workbookViewId="0">
      <selection activeCell="EK25" sqref="EK25"/>
    </sheetView>
  </sheetViews>
  <sheetFormatPr defaultColWidth="9" defaultRowHeight="14.25" x14ac:dyDescent="0.15"/>
  <cols>
    <col min="1" max="1" width="9.5" style="105" bestFit="1" customWidth="1"/>
    <col min="2" max="137" width="1" style="105" customWidth="1"/>
    <col min="138" max="138" width="3.375" style="62" bestFit="1" customWidth="1"/>
    <col min="139" max="142" width="9" style="105"/>
    <col min="143" max="266" width="1" style="105" customWidth="1"/>
    <col min="267" max="16384" width="9" style="105"/>
  </cols>
  <sheetData>
    <row r="1" spans="1:147" ht="24.75" x14ac:dyDescent="0.15">
      <c r="B1" s="106" t="str">
        <f ca="1">"令和"&amp;IF(YEAR(NOW())=2019,"元",YEAR(NOW())-2018)&amp;"年度 第"&amp;YEAR(NOW())-1999&amp;"回 加賀地区中学校サッカー大会 《 北加賀ブロック 》"</f>
        <v>令和7年度 第26回 加賀地区中学校サッカー大会 《 北加賀ブロック 》</v>
      </c>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106"/>
      <c r="AZ1" s="106"/>
      <c r="BA1" s="106"/>
      <c r="BB1" s="106"/>
      <c r="BC1" s="106"/>
      <c r="BD1" s="106"/>
      <c r="BE1" s="106"/>
      <c r="BF1" s="106"/>
      <c r="BG1" s="106"/>
      <c r="BH1" s="106"/>
      <c r="BI1" s="106"/>
      <c r="BJ1" s="106"/>
      <c r="BK1" s="106"/>
      <c r="BL1" s="106"/>
      <c r="BM1" s="106"/>
      <c r="BN1" s="106"/>
      <c r="BO1" s="106"/>
      <c r="BP1" s="106"/>
      <c r="BQ1" s="106"/>
      <c r="BR1" s="106"/>
      <c r="BS1" s="106"/>
      <c r="BT1" s="106"/>
      <c r="BU1" s="106"/>
      <c r="BV1" s="106"/>
      <c r="BW1" s="106"/>
      <c r="BX1" s="106"/>
      <c r="BY1" s="106"/>
      <c r="BZ1" s="106"/>
      <c r="CA1" s="106"/>
      <c r="CB1" s="106"/>
      <c r="CC1" s="106"/>
      <c r="CD1" s="106"/>
      <c r="CE1" s="106"/>
      <c r="CF1" s="106"/>
      <c r="CG1" s="106"/>
      <c r="CH1" s="106"/>
      <c r="CI1" s="106"/>
      <c r="CJ1" s="106"/>
      <c r="CK1" s="106"/>
      <c r="CL1" s="106"/>
      <c r="CM1" s="106"/>
      <c r="CN1" s="106"/>
      <c r="CO1" s="106"/>
      <c r="CP1" s="106"/>
      <c r="CQ1" s="106"/>
      <c r="CR1" s="106"/>
      <c r="CS1" s="106"/>
      <c r="CT1" s="106"/>
      <c r="CU1" s="106"/>
      <c r="CV1" s="106"/>
      <c r="CW1" s="106"/>
      <c r="CX1" s="106"/>
      <c r="CY1" s="106"/>
      <c r="CZ1" s="106"/>
      <c r="DA1" s="106"/>
      <c r="DB1" s="106"/>
      <c r="DC1" s="106"/>
      <c r="DD1" s="106"/>
      <c r="DE1" s="106"/>
      <c r="DF1" s="106"/>
      <c r="DG1" s="106"/>
      <c r="DH1" s="106"/>
      <c r="DI1" s="106"/>
      <c r="DJ1" s="106"/>
      <c r="DK1" s="106"/>
      <c r="DL1" s="106"/>
      <c r="DM1" s="106"/>
      <c r="DN1" s="106"/>
      <c r="DO1" s="106"/>
      <c r="DP1" s="106"/>
      <c r="DQ1" s="106"/>
      <c r="DR1" s="106"/>
      <c r="DS1" s="106"/>
      <c r="DT1" s="106"/>
      <c r="DU1" s="106"/>
      <c r="DV1" s="106"/>
      <c r="DW1" s="106"/>
      <c r="DX1" s="106"/>
      <c r="DY1" s="106"/>
      <c r="DZ1" s="106"/>
      <c r="EA1" s="106"/>
      <c r="EB1" s="106"/>
      <c r="EC1" s="106"/>
      <c r="ED1" s="106"/>
      <c r="EE1" s="106"/>
      <c r="EF1" s="106"/>
      <c r="EG1" s="106"/>
      <c r="EI1" s="440" t="b">
        <v>0</v>
      </c>
    </row>
    <row r="2" spans="1:147" x14ac:dyDescent="0.15">
      <c r="AW2" s="107"/>
      <c r="BD2" s="108"/>
      <c r="BE2" s="108"/>
      <c r="BF2" s="108"/>
      <c r="BY2" s="109"/>
      <c r="CE2" s="109"/>
      <c r="CF2" s="109"/>
      <c r="CG2" s="109"/>
      <c r="CH2" s="109"/>
      <c r="EI2" s="58" t="s">
        <v>666</v>
      </c>
      <c r="EJ2" s="72"/>
      <c r="EK2" s="72"/>
      <c r="EL2" s="72"/>
      <c r="EM2" s="72"/>
      <c r="EN2" s="72"/>
      <c r="EO2" s="72"/>
      <c r="EP2" s="72"/>
      <c r="EQ2" s="72"/>
    </row>
    <row r="3" spans="1:147" ht="18.75" customHeight="1" x14ac:dyDescent="0.15">
      <c r="A3" s="110" t="str">
        <f>IF(BP14=BV14,"",IF(BP14&gt;BV14,AF16,DC16))</f>
        <v/>
      </c>
      <c r="D3" s="573" t="s">
        <v>74</v>
      </c>
      <c r="E3" s="574"/>
      <c r="F3" s="574"/>
      <c r="G3" s="574"/>
      <c r="H3" s="574"/>
      <c r="I3" s="574"/>
      <c r="J3" s="574"/>
      <c r="K3" s="111"/>
      <c r="L3" s="577" t="str">
        <f>IF(A3="","",IF(VLOOKUP(A3,予選学校名!$C$3:$F$32,3,FALSE)="",VLOOKUP(A3,予選学校名!$C$3:$F$32,4,FALSE),VLOOKUP(A3,予選学校名!$C$3:$F$32,3,FALSE)&amp;"立"&amp;'北(⑦23時刻)'!A3&amp;"中学校"))</f>
        <v/>
      </c>
      <c r="M3" s="577"/>
      <c r="N3" s="577"/>
      <c r="O3" s="577"/>
      <c r="P3" s="577"/>
      <c r="Q3" s="577"/>
      <c r="R3" s="577"/>
      <c r="S3" s="577"/>
      <c r="T3" s="577"/>
      <c r="U3" s="577"/>
      <c r="V3" s="577"/>
      <c r="W3" s="577"/>
      <c r="X3" s="577"/>
      <c r="Y3" s="577"/>
      <c r="Z3" s="577"/>
      <c r="AA3" s="577"/>
      <c r="AB3" s="577"/>
      <c r="AC3" s="577"/>
      <c r="AD3" s="577"/>
      <c r="AE3" s="577"/>
      <c r="AF3" s="577"/>
      <c r="AG3" s="577"/>
      <c r="AH3" s="577"/>
      <c r="AI3" s="577"/>
      <c r="AJ3" s="577"/>
      <c r="AK3" s="577"/>
      <c r="AL3" s="577"/>
      <c r="AM3" s="577"/>
      <c r="AN3" s="577"/>
      <c r="AO3" s="577"/>
      <c r="AP3" s="577"/>
      <c r="AQ3" s="577"/>
      <c r="AR3" s="577"/>
      <c r="AS3" s="577"/>
      <c r="AT3" s="577"/>
      <c r="AU3" s="577"/>
      <c r="AV3" s="580" t="str">
        <f>IF(A3="","","("&amp;VLOOKUP(A3,予選学校名!$C$3:$F$32,2,FALSE)&amp;")")</f>
        <v/>
      </c>
      <c r="AW3" s="580"/>
      <c r="AX3" s="580"/>
      <c r="AY3" s="580"/>
      <c r="AZ3" s="580"/>
      <c r="BA3" s="580"/>
      <c r="BB3" s="580"/>
      <c r="BC3" s="580"/>
      <c r="BD3" s="580"/>
      <c r="BE3" s="580"/>
      <c r="BF3" s="580"/>
      <c r="BG3" s="580"/>
      <c r="BH3" s="580"/>
      <c r="BI3" s="90"/>
      <c r="BJ3" s="90"/>
      <c r="BK3" s="573" t="s">
        <v>75</v>
      </c>
      <c r="BL3" s="573"/>
      <c r="BM3" s="573"/>
      <c r="BN3" s="573"/>
      <c r="BO3" s="573"/>
      <c r="BP3" s="573"/>
      <c r="BQ3" s="573"/>
      <c r="BR3" s="573"/>
      <c r="BS3" s="573"/>
      <c r="BT3" s="111"/>
      <c r="BU3" s="577" t="str">
        <f>IF(A7="","",IF(VLOOKUP(A7,予選学校名!$C$3:$F$32,3,FALSE)="",VLOOKUP(A7,予選学校名!$C$3:$F$32,4,FALSE),VLOOKUP(A7,予選学校名!$C$3:$F$32,3,FALSE)&amp;"立"&amp;'北(⑦23時刻)'!A7&amp;"中学校"))</f>
        <v/>
      </c>
      <c r="BV3" s="577"/>
      <c r="BW3" s="577"/>
      <c r="BX3" s="577"/>
      <c r="BY3" s="577"/>
      <c r="BZ3" s="577"/>
      <c r="CA3" s="577"/>
      <c r="CB3" s="577"/>
      <c r="CC3" s="577"/>
      <c r="CD3" s="577"/>
      <c r="CE3" s="577"/>
      <c r="CF3" s="577"/>
      <c r="CG3" s="577"/>
      <c r="CH3" s="577"/>
      <c r="CI3" s="577"/>
      <c r="CJ3" s="577"/>
      <c r="CK3" s="577"/>
      <c r="CL3" s="577"/>
      <c r="CM3" s="577"/>
      <c r="CN3" s="577"/>
      <c r="CO3" s="577"/>
      <c r="CP3" s="577"/>
      <c r="CQ3" s="577"/>
      <c r="CR3" s="577"/>
      <c r="CS3" s="577"/>
      <c r="CT3" s="577"/>
      <c r="CU3" s="577"/>
      <c r="CV3" s="577"/>
      <c r="CW3" s="577"/>
      <c r="CX3" s="577"/>
      <c r="CY3" s="580" t="str">
        <f>IF(A7="","","("&amp;VLOOKUP(A7,予選学校名!$C$3:$F$32,2,FALSE)&amp;")")</f>
        <v/>
      </c>
      <c r="CZ3" s="580"/>
      <c r="DA3" s="580"/>
      <c r="DB3" s="580"/>
      <c r="DC3" s="580"/>
      <c r="DD3" s="580"/>
      <c r="DE3" s="580"/>
      <c r="DF3" s="580"/>
      <c r="DG3" s="580"/>
      <c r="DH3" s="580"/>
      <c r="DI3" s="580"/>
      <c r="DJ3" s="580"/>
      <c r="DK3" s="580"/>
      <c r="EC3" s="62"/>
      <c r="EH3" s="105"/>
      <c r="EK3" s="72"/>
      <c r="EL3" s="72"/>
      <c r="EM3" s="72"/>
      <c r="EN3" s="58"/>
      <c r="EO3" s="72"/>
      <c r="EP3" s="72"/>
      <c r="EQ3" s="72"/>
    </row>
    <row r="4" spans="1:147" ht="18.75" customHeight="1" thickBot="1" x14ac:dyDescent="0.2">
      <c r="A4" s="110" t="str">
        <f>IF(A3="","",IF(BP14=BV14,"",IF(BP14&lt;BV14,AF16,DC16)))</f>
        <v/>
      </c>
      <c r="D4" s="573" t="s">
        <v>76</v>
      </c>
      <c r="E4" s="574"/>
      <c r="F4" s="574"/>
      <c r="G4" s="574"/>
      <c r="H4" s="574"/>
      <c r="I4" s="574"/>
      <c r="J4" s="574"/>
      <c r="K4" s="111"/>
      <c r="L4" s="575" t="str">
        <f>IF(A4="","",IF(VLOOKUP(A4,予選学校名!$C$3:$F$32,3,FALSE)="",VLOOKUP(A4,予選学校名!$C$3:$F$32,4,FALSE),VLOOKUP(A4,予選学校名!$C$3:$F$32,3,FALSE)&amp;"立"&amp;'北(⑦23時刻)'!A4&amp;"中学校"))</f>
        <v/>
      </c>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5"/>
      <c r="AO4" s="575"/>
      <c r="AP4" s="575"/>
      <c r="AQ4" s="575"/>
      <c r="AR4" s="575"/>
      <c r="AS4" s="575"/>
      <c r="AT4" s="575"/>
      <c r="AU4" s="575"/>
      <c r="AV4" s="576" t="str">
        <f>IF(A4="","","("&amp;VLOOKUP(A4,予選学校名!$C$3:$F$32,2,FALSE)&amp;")")</f>
        <v/>
      </c>
      <c r="AW4" s="576"/>
      <c r="AX4" s="576"/>
      <c r="AY4" s="576"/>
      <c r="AZ4" s="576"/>
      <c r="BA4" s="576"/>
      <c r="BB4" s="576"/>
      <c r="BC4" s="576"/>
      <c r="BD4" s="576"/>
      <c r="BE4" s="576"/>
      <c r="BF4" s="576"/>
      <c r="BG4" s="576"/>
      <c r="BH4" s="576"/>
      <c r="BI4" s="90"/>
      <c r="BJ4" s="90"/>
      <c r="BK4" s="90"/>
      <c r="BL4" s="90"/>
      <c r="BM4" s="90"/>
      <c r="BN4" s="111"/>
      <c r="BO4" s="111"/>
      <c r="BP4" s="111"/>
      <c r="BQ4" s="111"/>
      <c r="BR4" s="111"/>
      <c r="BS4" s="111"/>
      <c r="BT4" s="111"/>
      <c r="BU4" s="577" t="str">
        <f>IF(A8="","",IF(VLOOKUP(A8,予選学校名!$C$3:$F$32,3,FALSE)="",VLOOKUP(A8,予選学校名!$C$3:$F$32,4,FALSE),VLOOKUP(A8,予選学校名!$C$3:$F$32,3,FALSE)&amp;"立"&amp;'北(⑦23時刻)'!A8&amp;"中学校"))</f>
        <v/>
      </c>
      <c r="BV4" s="577"/>
      <c r="BW4" s="577"/>
      <c r="BX4" s="577"/>
      <c r="BY4" s="577"/>
      <c r="BZ4" s="577"/>
      <c r="CA4" s="577"/>
      <c r="CB4" s="577"/>
      <c r="CC4" s="577"/>
      <c r="CD4" s="577"/>
      <c r="CE4" s="577"/>
      <c r="CF4" s="577"/>
      <c r="CG4" s="577"/>
      <c r="CH4" s="577"/>
      <c r="CI4" s="577"/>
      <c r="CJ4" s="577"/>
      <c r="CK4" s="577"/>
      <c r="CL4" s="577"/>
      <c r="CM4" s="577"/>
      <c r="CN4" s="577"/>
      <c r="CO4" s="577"/>
      <c r="CP4" s="577"/>
      <c r="CQ4" s="577"/>
      <c r="CR4" s="577"/>
      <c r="CS4" s="577"/>
      <c r="CT4" s="577"/>
      <c r="CU4" s="577"/>
      <c r="CV4" s="577"/>
      <c r="CW4" s="577"/>
      <c r="CX4" s="577"/>
      <c r="CY4" s="576" t="str">
        <f>IF(A8="","","("&amp;VLOOKUP(A8,予選学校名!$C$3:$F$32,2,FALSE)&amp;")")</f>
        <v/>
      </c>
      <c r="CZ4" s="576"/>
      <c r="DA4" s="576"/>
      <c r="DB4" s="576"/>
      <c r="DC4" s="576"/>
      <c r="DD4" s="576"/>
      <c r="DE4" s="576"/>
      <c r="DF4" s="576"/>
      <c r="DG4" s="576"/>
      <c r="DH4" s="576"/>
      <c r="DI4" s="576"/>
      <c r="DJ4" s="576"/>
      <c r="DK4" s="576"/>
      <c r="EC4" s="62"/>
      <c r="EH4" s="105"/>
      <c r="EI4" s="72" t="s">
        <v>667</v>
      </c>
      <c r="EJ4" s="72"/>
      <c r="EK4" s="72"/>
      <c r="EL4" s="72"/>
      <c r="EM4" s="72"/>
      <c r="EN4" s="72"/>
      <c r="EO4" s="72"/>
      <c r="EP4" s="72"/>
      <c r="EQ4" s="72"/>
    </row>
    <row r="5" spans="1:147" ht="18.75" customHeight="1" thickBot="1" x14ac:dyDescent="0.2">
      <c r="A5" s="110" t="str">
        <f>IF(A3="","",IF(DL10&lt;&gt;"",DL10,IF(OR($A$3=N28,$A$3=BD28),$DG$23,$DU$23)))</f>
        <v/>
      </c>
      <c r="D5" s="573" t="s">
        <v>77</v>
      </c>
      <c r="E5" s="574"/>
      <c r="F5" s="574"/>
      <c r="G5" s="574"/>
      <c r="H5" s="574"/>
      <c r="I5" s="574"/>
      <c r="J5" s="574"/>
      <c r="K5" s="111"/>
      <c r="L5" s="578" t="str">
        <f>IF(A5="","",IF(VLOOKUP(A5,予選学校名!$C$3:$F$32,3,FALSE)="",VLOOKUP(A5,予選学校名!$C$3:$F$32,4,FALSE),VLOOKUP(A5,予選学校名!$C$3:$F$32,3,FALSE)&amp;"立"&amp;'北(⑦23時刻)'!A5&amp;"中学校"))</f>
        <v/>
      </c>
      <c r="M5" s="578"/>
      <c r="N5" s="578"/>
      <c r="O5" s="578"/>
      <c r="P5" s="578"/>
      <c r="Q5" s="578"/>
      <c r="R5" s="578"/>
      <c r="S5" s="578"/>
      <c r="T5" s="578"/>
      <c r="U5" s="578"/>
      <c r="V5" s="578"/>
      <c r="W5" s="578"/>
      <c r="X5" s="578"/>
      <c r="Y5" s="578"/>
      <c r="Z5" s="578"/>
      <c r="AA5" s="578"/>
      <c r="AB5" s="578"/>
      <c r="AC5" s="578"/>
      <c r="AD5" s="578"/>
      <c r="AE5" s="578"/>
      <c r="AF5" s="578"/>
      <c r="AG5" s="578"/>
      <c r="AH5" s="578"/>
      <c r="AI5" s="578"/>
      <c r="AJ5" s="578"/>
      <c r="AK5" s="578"/>
      <c r="AL5" s="578"/>
      <c r="AM5" s="578"/>
      <c r="AN5" s="578"/>
      <c r="AO5" s="578"/>
      <c r="AP5" s="578"/>
      <c r="AQ5" s="578"/>
      <c r="AR5" s="578"/>
      <c r="AS5" s="578"/>
      <c r="AT5" s="578"/>
      <c r="AU5" s="578"/>
      <c r="AV5" s="579" t="str">
        <f>IF(A5="","","("&amp;VLOOKUP(A5,予選学校名!$C$3:$F$32,2,FALSE)&amp;")")</f>
        <v/>
      </c>
      <c r="AW5" s="579"/>
      <c r="AX5" s="579"/>
      <c r="AY5" s="579"/>
      <c r="AZ5" s="579"/>
      <c r="BA5" s="579"/>
      <c r="BB5" s="579"/>
      <c r="BC5" s="579"/>
      <c r="BD5" s="579"/>
      <c r="BE5" s="579"/>
      <c r="BF5" s="579"/>
      <c r="BG5" s="579"/>
      <c r="BH5" s="579"/>
      <c r="BI5" s="90"/>
      <c r="BJ5" s="90"/>
      <c r="BK5" s="90"/>
      <c r="BL5" s="90"/>
      <c r="BM5" s="90" t="b">
        <v>0</v>
      </c>
      <c r="BN5" s="111"/>
      <c r="BO5" s="111"/>
      <c r="BP5" s="111"/>
      <c r="BQ5" s="111"/>
      <c r="BR5" s="111"/>
      <c r="BS5" s="111"/>
      <c r="BT5" s="111"/>
      <c r="BU5" s="577" t="str">
        <f>IF(A9="","",IF(VLOOKUP(A9,予選学校名!$C$3:$F$32,3,FALSE)="",VLOOKUP(A9,予選学校名!$C$3:$F$32,4,FALSE),VLOOKUP(A9,予選学校名!$C$3:$F$32,3,FALSE)&amp;"立"&amp;'北(⑦23時刻)'!A9&amp;"中学校"))</f>
        <v/>
      </c>
      <c r="BV5" s="577"/>
      <c r="BW5" s="577"/>
      <c r="BX5" s="577"/>
      <c r="BY5" s="577"/>
      <c r="BZ5" s="577"/>
      <c r="CA5" s="577"/>
      <c r="CB5" s="577"/>
      <c r="CC5" s="577"/>
      <c r="CD5" s="577"/>
      <c r="CE5" s="577"/>
      <c r="CF5" s="577"/>
      <c r="CG5" s="577"/>
      <c r="CH5" s="577"/>
      <c r="CI5" s="577"/>
      <c r="CJ5" s="577"/>
      <c r="CK5" s="577"/>
      <c r="CL5" s="577"/>
      <c r="CM5" s="577"/>
      <c r="CN5" s="577"/>
      <c r="CO5" s="577"/>
      <c r="CP5" s="577"/>
      <c r="CQ5" s="577"/>
      <c r="CR5" s="577"/>
      <c r="CS5" s="577"/>
      <c r="CT5" s="577"/>
      <c r="CU5" s="577"/>
      <c r="CV5" s="577"/>
      <c r="CW5" s="577"/>
      <c r="CX5" s="577"/>
      <c r="CY5" s="576" t="str">
        <f>IF(A9="","","("&amp;VLOOKUP(A9,予選学校名!$C$3:$F$32,2,FALSE)&amp;")")</f>
        <v/>
      </c>
      <c r="CZ5" s="576"/>
      <c r="DA5" s="576"/>
      <c r="DB5" s="576"/>
      <c r="DC5" s="576"/>
      <c r="DD5" s="576"/>
      <c r="DE5" s="576"/>
      <c r="DF5" s="576"/>
      <c r="DG5" s="576"/>
      <c r="DH5" s="576"/>
      <c r="DI5" s="576"/>
      <c r="DJ5" s="576"/>
      <c r="DK5" s="576"/>
      <c r="EC5" s="62"/>
      <c r="EH5" s="105"/>
      <c r="EI5" s="148">
        <v>21</v>
      </c>
      <c r="EJ5" s="80" t="s">
        <v>67</v>
      </c>
    </row>
    <row r="6" spans="1:147" s="76" customFormat="1" ht="18.75" customHeight="1" x14ac:dyDescent="0.15">
      <c r="A6" s="110" t="str">
        <f>IF(A3="","",IF(DL10&lt;&gt;"",IF(DL10=DG23,DU23,DG23),IF(OR($A$3=N28,$A$3=BD28),$DU$23,$DG$23)))</f>
        <v/>
      </c>
      <c r="D6" s="573"/>
      <c r="E6" s="574"/>
      <c r="F6" s="574"/>
      <c r="G6" s="574"/>
      <c r="H6" s="574"/>
      <c r="I6" s="574"/>
      <c r="J6" s="574"/>
      <c r="K6" s="89"/>
      <c r="L6" s="578" t="str">
        <f>IF(A6="","",IF(VLOOKUP(A6,予選学校名!$C$3:$F$32,3,FALSE)="",VLOOKUP(A6,予選学校名!$C$3:$F$32,4,FALSE),VLOOKUP(A6,予選学校名!$C$3:$F$32,3,FALSE)&amp;"立"&amp;'北(⑦23時刻)'!A6&amp;"中学校"))</f>
        <v/>
      </c>
      <c r="M6" s="578"/>
      <c r="N6" s="578"/>
      <c r="O6" s="578"/>
      <c r="P6" s="578"/>
      <c r="Q6" s="578"/>
      <c r="R6" s="578"/>
      <c r="S6" s="578"/>
      <c r="T6" s="578"/>
      <c r="U6" s="578"/>
      <c r="V6" s="578"/>
      <c r="W6" s="578"/>
      <c r="X6" s="578"/>
      <c r="Y6" s="578"/>
      <c r="Z6" s="578"/>
      <c r="AA6" s="578"/>
      <c r="AB6" s="578"/>
      <c r="AC6" s="578"/>
      <c r="AD6" s="578"/>
      <c r="AE6" s="578"/>
      <c r="AF6" s="578"/>
      <c r="AG6" s="578"/>
      <c r="AH6" s="578"/>
      <c r="AI6" s="578"/>
      <c r="AJ6" s="578"/>
      <c r="AK6" s="578"/>
      <c r="AL6" s="578"/>
      <c r="AM6" s="578"/>
      <c r="AN6" s="578"/>
      <c r="AO6" s="578"/>
      <c r="AP6" s="578"/>
      <c r="AQ6" s="578"/>
      <c r="AR6" s="578"/>
      <c r="AS6" s="578"/>
      <c r="AT6" s="578"/>
      <c r="AU6" s="578"/>
      <c r="AV6" s="579" t="str">
        <f>IF(A6="","","("&amp;VLOOKUP(A6,予選学校名!$C$3:$F$32,2,FALSE)&amp;")")</f>
        <v/>
      </c>
      <c r="AW6" s="579"/>
      <c r="AX6" s="579"/>
      <c r="AY6" s="579"/>
      <c r="AZ6" s="579"/>
      <c r="BA6" s="579"/>
      <c r="BB6" s="579"/>
      <c r="BC6" s="579"/>
      <c r="BD6" s="579"/>
      <c r="BE6" s="579"/>
      <c r="BF6" s="579"/>
      <c r="BG6" s="579"/>
      <c r="BH6" s="579"/>
      <c r="BI6" s="90"/>
      <c r="BJ6" s="90"/>
      <c r="BK6" s="90"/>
      <c r="BL6" s="90"/>
      <c r="BM6" s="90"/>
      <c r="BN6" s="89"/>
      <c r="BO6" s="89"/>
      <c r="BP6" s="89"/>
      <c r="BQ6" s="89"/>
      <c r="BR6" s="89"/>
      <c r="CJ6" s="75"/>
    </row>
    <row r="7" spans="1:147" s="76" customFormat="1" ht="18.75" customHeight="1" x14ac:dyDescent="0.15">
      <c r="A7" s="110" t="str">
        <f>IF(A3="","",IF($A3=$C$38,$AE$38,IF($A3=$AE$38,$C$38,IF($A3=$AM$38,BO38,IF($A3=$BO$38,$AM$38,IF($A3=$BW$38,$CY$38,IF($A3=$CY$38,$BW$38,IF($A3=$DF$38,$EC$38,IF($A3=$EC$38,$DF$38)))))))))</f>
        <v/>
      </c>
      <c r="D7" s="111"/>
      <c r="E7" s="89"/>
      <c r="F7" s="89"/>
      <c r="G7" s="89"/>
      <c r="H7" s="89"/>
      <c r="I7" s="89"/>
      <c r="J7" s="89"/>
      <c r="K7" s="89"/>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c r="AK7" s="112"/>
      <c r="AL7" s="112"/>
      <c r="AM7" s="112"/>
      <c r="AN7" s="112"/>
      <c r="AO7" s="112"/>
      <c r="AP7" s="112"/>
      <c r="AQ7" s="112"/>
      <c r="AR7" s="112"/>
      <c r="AS7" s="112"/>
      <c r="AT7" s="112"/>
      <c r="AU7" s="112"/>
      <c r="AV7" s="113"/>
      <c r="AW7" s="113"/>
      <c r="AX7" s="113"/>
      <c r="AY7" s="113"/>
      <c r="AZ7" s="113"/>
      <c r="BA7" s="113"/>
      <c r="BB7" s="113"/>
      <c r="BC7" s="113"/>
      <c r="BD7" s="113"/>
      <c r="BE7" s="113"/>
      <c r="BF7" s="113"/>
      <c r="BG7" s="113"/>
      <c r="BH7" s="113"/>
      <c r="BI7" s="90"/>
      <c r="BJ7" s="90"/>
      <c r="BK7" s="90"/>
      <c r="BL7" s="90"/>
      <c r="BM7" s="90"/>
      <c r="BN7" s="89"/>
      <c r="BO7" s="89"/>
      <c r="BP7" s="89"/>
      <c r="BQ7" s="89"/>
      <c r="BR7" s="89"/>
      <c r="CJ7" s="75"/>
    </row>
    <row r="8" spans="1:147" s="76" customFormat="1" ht="18.75" customHeight="1" x14ac:dyDescent="0.15">
      <c r="A8" s="110" t="str">
        <f>IF(A3="","",IF($A4=$C$38,$AE$38,IF($A4=$AE$38,$C$38,IF($A4=$AM$38,BO38,IF($A4=$BO$38,$AM$38,IF($A4=$BW$38,$CY$38,IF($A4=$CY$38,$BW$38,IF($A4=$DF$38,$EC$38,IF($A4=$EC$38,$DF$38)))))))))</f>
        <v/>
      </c>
      <c r="D8" s="111"/>
      <c r="E8" s="89"/>
      <c r="F8" s="89"/>
      <c r="G8" s="89"/>
      <c r="H8" s="89"/>
      <c r="I8" s="89"/>
      <c r="J8" s="89"/>
      <c r="K8" s="89"/>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2"/>
      <c r="AN8" s="112"/>
      <c r="AO8" s="112"/>
      <c r="AP8" s="112"/>
      <c r="AQ8" s="112"/>
      <c r="AR8" s="112"/>
      <c r="AS8" s="112"/>
      <c r="AT8" s="112"/>
      <c r="AU8" s="112"/>
      <c r="AV8" s="113"/>
      <c r="AW8" s="113"/>
      <c r="AX8" s="113"/>
      <c r="AY8" s="113"/>
      <c r="AZ8" s="113"/>
      <c r="BA8" s="113"/>
      <c r="BB8" s="113"/>
      <c r="BC8" s="113"/>
      <c r="BD8" s="113"/>
      <c r="BE8" s="113"/>
      <c r="BF8" s="113"/>
      <c r="BG8" s="113"/>
      <c r="BH8" s="113"/>
      <c r="BI8" s="90"/>
      <c r="BJ8" s="90"/>
      <c r="BK8" s="90"/>
      <c r="BL8" s="90"/>
      <c r="BM8" s="90"/>
      <c r="BN8" s="89"/>
      <c r="BO8" s="89"/>
      <c r="BP8" s="89"/>
      <c r="BQ8" s="89"/>
      <c r="BR8" s="89"/>
      <c r="CJ8" s="75"/>
    </row>
    <row r="9" spans="1:147" s="76" customFormat="1" ht="13.5" customHeight="1" x14ac:dyDescent="0.15">
      <c r="A9" s="110" t="str">
        <f>IF(A3="","",IF($A5=$C$38,$AE$38,IF($A5=$AE$38,$C$38,IF($A5=$AM$38,BO38,IF($A5=$BO$38,$AM$38,IF($A5=$BW$38,$CY$38,IF($A5=$CY$38,$BW$38,IF($A5=$DF$38,$EC$38,IF($A5=$EC$38,$DF$38)))))))))</f>
        <v/>
      </c>
      <c r="D9" s="105"/>
      <c r="AR9" s="521" t="s">
        <v>78</v>
      </c>
      <c r="AS9" s="521"/>
      <c r="AT9" s="521"/>
      <c r="AU9" s="521"/>
      <c r="AV9" s="521"/>
      <c r="AW9" s="521"/>
      <c r="AX9" s="521"/>
      <c r="AY9" s="521"/>
      <c r="AZ9" s="568" t="str">
        <f>IF(L3="","",L3)</f>
        <v/>
      </c>
      <c r="BA9" s="568"/>
      <c r="BB9" s="568"/>
      <c r="BC9" s="568"/>
      <c r="BD9" s="568"/>
      <c r="BE9" s="568"/>
      <c r="BF9" s="568"/>
      <c r="BG9" s="568"/>
      <c r="BH9" s="568"/>
      <c r="BI9" s="568"/>
      <c r="BJ9" s="568"/>
      <c r="BK9" s="568"/>
      <c r="BL9" s="568"/>
      <c r="BM9" s="568"/>
      <c r="BN9" s="568"/>
      <c r="BO9" s="568"/>
      <c r="BP9" s="568"/>
      <c r="BQ9" s="568"/>
      <c r="BR9" s="568"/>
      <c r="BS9" s="568"/>
      <c r="BT9" s="568"/>
      <c r="BU9" s="568"/>
      <c r="BV9" s="568"/>
      <c r="BW9" s="568"/>
      <c r="BX9" s="568"/>
      <c r="BY9" s="568"/>
      <c r="BZ9" s="568"/>
      <c r="CA9" s="568"/>
      <c r="CB9" s="568"/>
      <c r="CC9" s="568"/>
      <c r="CD9" s="568"/>
      <c r="CE9" s="568"/>
      <c r="CF9" s="568"/>
      <c r="CG9" s="568"/>
      <c r="CH9" s="568"/>
      <c r="CI9" s="568"/>
      <c r="CJ9" s="568"/>
      <c r="CK9" s="568"/>
      <c r="CL9" s="568"/>
      <c r="CM9" s="568"/>
      <c r="CN9" s="568"/>
      <c r="CO9" s="568"/>
      <c r="DG9" s="485" t="s">
        <v>79</v>
      </c>
      <c r="DH9" s="485"/>
      <c r="DI9" s="485"/>
      <c r="DJ9" s="485"/>
      <c r="DK9" s="485"/>
      <c r="DL9" s="485"/>
      <c r="DM9" s="485"/>
      <c r="DN9" s="485"/>
      <c r="DO9" s="485"/>
      <c r="DP9" s="485"/>
      <c r="DQ9" s="485"/>
      <c r="DR9" s="485"/>
      <c r="DS9" s="485"/>
      <c r="DT9" s="485"/>
      <c r="EH9" s="75"/>
    </row>
    <row r="10" spans="1:147" s="76" customFormat="1" ht="13.5" customHeight="1" x14ac:dyDescent="0.15">
      <c r="A10" s="110" t="str">
        <f>IF(A3="","",IF($A6=$C$38,$AE$38,IF($A6=$AE$38,$C$38,IF($A6=$AM$38,BO38,IF($A6=$BO$38,$AM$38,IF($A6=$BW$38,$CY$38,IF($A6=$CY$38,$BW$38,IF($A6=$DF$38,$EC$38,IF($A6=$EC$38,$DF$38)))))))))</f>
        <v/>
      </c>
      <c r="D10" s="105"/>
      <c r="AR10" s="521"/>
      <c r="AS10" s="521"/>
      <c r="AT10" s="521"/>
      <c r="AU10" s="521"/>
      <c r="AV10" s="521"/>
      <c r="AW10" s="521"/>
      <c r="AX10" s="521"/>
      <c r="AY10" s="521"/>
      <c r="AZ10" s="568"/>
      <c r="BA10" s="568"/>
      <c r="BB10" s="568"/>
      <c r="BC10" s="568"/>
      <c r="BD10" s="568"/>
      <c r="BE10" s="568"/>
      <c r="BF10" s="568"/>
      <c r="BG10" s="568"/>
      <c r="BH10" s="568"/>
      <c r="BI10" s="568"/>
      <c r="BJ10" s="568"/>
      <c r="BK10" s="568"/>
      <c r="BL10" s="568"/>
      <c r="BM10" s="568"/>
      <c r="BN10" s="568"/>
      <c r="BO10" s="568"/>
      <c r="BP10" s="568"/>
      <c r="BQ10" s="568"/>
      <c r="BR10" s="568"/>
      <c r="BS10" s="568"/>
      <c r="BT10" s="568"/>
      <c r="BU10" s="568"/>
      <c r="BV10" s="568"/>
      <c r="BW10" s="568"/>
      <c r="BX10" s="568"/>
      <c r="BY10" s="568"/>
      <c r="BZ10" s="568"/>
      <c r="CA10" s="568"/>
      <c r="CB10" s="568"/>
      <c r="CC10" s="568"/>
      <c r="CD10" s="568"/>
      <c r="CE10" s="568"/>
      <c r="CF10" s="568"/>
      <c r="CG10" s="568"/>
      <c r="CH10" s="568"/>
      <c r="CI10" s="568"/>
      <c r="CJ10" s="568"/>
      <c r="CK10" s="568"/>
      <c r="CL10" s="568"/>
      <c r="CM10" s="568"/>
      <c r="CN10" s="568"/>
      <c r="CO10" s="568"/>
      <c r="DL10" s="499" t="str">
        <f>IF(DN14=DT14,"",IF(DN14&gt;DT14,DG23,DU23))</f>
        <v/>
      </c>
      <c r="DM10" s="499"/>
      <c r="DN10" s="499"/>
      <c r="DO10" s="499"/>
      <c r="DP10" s="499"/>
      <c r="DQ10" s="499"/>
      <c r="DR10" s="499"/>
      <c r="DS10" s="499"/>
      <c r="DT10" s="499"/>
      <c r="DU10" s="499"/>
      <c r="DV10" s="499"/>
      <c r="DW10" s="499"/>
      <c r="DX10" s="499"/>
      <c r="DY10" s="499"/>
      <c r="EH10" s="75"/>
    </row>
    <row r="11" spans="1:147" s="76" customFormat="1" ht="7.5" customHeight="1" x14ac:dyDescent="0.15">
      <c r="D11" s="105"/>
      <c r="BT11" s="529"/>
      <c r="DL11" s="499"/>
      <c r="DM11" s="499"/>
      <c r="DN11" s="499"/>
      <c r="DO11" s="499"/>
      <c r="DP11" s="499"/>
      <c r="DQ11" s="499"/>
      <c r="DR11" s="499"/>
      <c r="DS11" s="499"/>
      <c r="DT11" s="499"/>
      <c r="DU11" s="499"/>
      <c r="DV11" s="499"/>
      <c r="DW11" s="499"/>
      <c r="DX11" s="499"/>
      <c r="DY11" s="499"/>
      <c r="EH11" s="75"/>
    </row>
    <row r="12" spans="1:147" s="76" customFormat="1" ht="3.75" customHeight="1" x14ac:dyDescent="0.15">
      <c r="D12" s="105"/>
      <c r="BT12" s="529"/>
      <c r="EH12" s="75"/>
    </row>
    <row r="13" spans="1:147" s="76" customFormat="1" ht="13.5" customHeight="1" x14ac:dyDescent="0.15">
      <c r="D13" s="105"/>
      <c r="BP13" s="538" t="str">
        <f>IF(BP16="","",SUM(BP16:BP19))</f>
        <v/>
      </c>
      <c r="BQ13" s="538"/>
      <c r="BR13" s="538"/>
      <c r="BS13" s="538"/>
      <c r="BT13" s="529"/>
      <c r="BV13" s="537" t="str">
        <f>IF(BV16="","",SUM(BV16:BV19))</f>
        <v/>
      </c>
      <c r="BW13" s="537"/>
      <c r="BX13" s="537"/>
      <c r="BY13" s="537"/>
      <c r="DF13" s="114"/>
      <c r="DG13" s="114"/>
      <c r="DH13" s="114"/>
      <c r="DI13" s="114"/>
      <c r="DJ13" s="114"/>
      <c r="DK13" s="114"/>
      <c r="DL13" s="114"/>
      <c r="DM13" s="114"/>
      <c r="DN13" s="538" t="str">
        <f>IF(DN16="","",SUM(DN16:DN19))</f>
        <v/>
      </c>
      <c r="DO13" s="538"/>
      <c r="DP13" s="538"/>
      <c r="DQ13" s="538"/>
      <c r="DR13" s="569"/>
      <c r="DS13" s="114"/>
      <c r="DT13" s="537" t="str">
        <f>IF(DT16="","",SUM(DT16:DT19))</f>
        <v/>
      </c>
      <c r="DU13" s="537"/>
      <c r="DV13" s="537"/>
      <c r="DW13" s="537"/>
      <c r="DX13" s="114"/>
      <c r="DY13" s="114"/>
      <c r="DZ13" s="114"/>
      <c r="EA13" s="114"/>
      <c r="EB13" s="114"/>
      <c r="EC13" s="114"/>
      <c r="ED13" s="114"/>
      <c r="EE13" s="114"/>
      <c r="EH13" s="75"/>
    </row>
    <row r="14" spans="1:147" s="114" customFormat="1" ht="13.5" hidden="1" customHeight="1" x14ac:dyDescent="0.15">
      <c r="D14" s="115"/>
      <c r="BP14" s="539">
        <f>SUM(BP16:BP23)</f>
        <v>0</v>
      </c>
      <c r="BQ14" s="539"/>
      <c r="BR14" s="539"/>
      <c r="BS14" s="539"/>
      <c r="BT14" s="529"/>
      <c r="BV14" s="540">
        <f>SUM(BV16:BV23)</f>
        <v>0</v>
      </c>
      <c r="BW14" s="540"/>
      <c r="BX14" s="540"/>
      <c r="BY14" s="540"/>
      <c r="DF14" s="76"/>
      <c r="DG14" s="76"/>
      <c r="DH14" s="76"/>
      <c r="DI14" s="76"/>
      <c r="DJ14" s="76"/>
      <c r="DK14" s="76"/>
      <c r="DL14" s="76"/>
      <c r="DM14" s="76"/>
      <c r="DN14" s="539">
        <f>SUM(DN16:DN23)</f>
        <v>0</v>
      </c>
      <c r="DO14" s="539"/>
      <c r="DP14" s="539"/>
      <c r="DQ14" s="539"/>
      <c r="DR14" s="569"/>
      <c r="DS14" s="76"/>
      <c r="DT14" s="540">
        <f>SUM(DT16:DT23)</f>
        <v>0</v>
      </c>
      <c r="DU14" s="540"/>
      <c r="DV14" s="540"/>
      <c r="DW14" s="540"/>
      <c r="DX14" s="76"/>
      <c r="DY14" s="76"/>
      <c r="DZ14" s="76"/>
      <c r="EA14" s="76"/>
      <c r="EB14" s="76"/>
      <c r="EC14" s="76"/>
      <c r="ED14" s="76"/>
      <c r="EE14" s="76"/>
      <c r="EH14" s="116"/>
    </row>
    <row r="15" spans="1:147" s="76" customFormat="1" ht="3.75" customHeight="1" thickBot="1" x14ac:dyDescent="0.2">
      <c r="A15" s="110"/>
      <c r="D15" s="105"/>
      <c r="AH15" s="72"/>
      <c r="AI15" s="72"/>
      <c r="AJ15" s="72"/>
      <c r="AK15" s="305"/>
      <c r="AL15" s="305"/>
      <c r="AM15" s="305"/>
      <c r="AN15" s="305"/>
      <c r="AO15" s="305"/>
      <c r="AP15" s="305"/>
      <c r="AQ15" s="305"/>
      <c r="AR15" s="305"/>
      <c r="AS15" s="305"/>
      <c r="AT15" s="305"/>
      <c r="AU15" s="305"/>
      <c r="AV15" s="305"/>
      <c r="AW15" s="305"/>
      <c r="AX15" s="305"/>
      <c r="AY15" s="305"/>
      <c r="AZ15" s="305"/>
      <c r="BA15" s="305"/>
      <c r="BB15" s="305"/>
      <c r="BC15" s="305"/>
      <c r="BD15" s="305"/>
      <c r="BE15" s="305"/>
      <c r="BF15" s="305"/>
      <c r="BG15" s="305"/>
      <c r="BH15" s="305"/>
      <c r="BI15" s="305"/>
      <c r="BJ15" s="305"/>
      <c r="BK15" s="305"/>
      <c r="BL15" s="305"/>
      <c r="BM15" s="117"/>
      <c r="BN15" s="117"/>
      <c r="BO15" s="117"/>
      <c r="BP15" s="117"/>
      <c r="BQ15" s="117"/>
      <c r="BR15" s="117"/>
      <c r="BS15" s="117"/>
      <c r="BT15" s="536"/>
      <c r="BU15" s="118"/>
      <c r="BV15" s="117"/>
      <c r="BW15" s="117"/>
      <c r="BX15" s="117"/>
      <c r="BY15" s="117"/>
      <c r="BZ15" s="117"/>
      <c r="CA15" s="117"/>
      <c r="CB15" s="117"/>
      <c r="CC15" s="117"/>
      <c r="CD15" s="117"/>
      <c r="CE15" s="117"/>
      <c r="CF15" s="117"/>
      <c r="CG15" s="117"/>
      <c r="CH15" s="117"/>
      <c r="CI15" s="117"/>
      <c r="CJ15" s="117"/>
      <c r="CK15" s="117"/>
      <c r="CL15" s="117"/>
      <c r="CM15" s="117"/>
      <c r="CN15" s="117"/>
      <c r="CO15" s="117"/>
      <c r="CP15" s="117"/>
      <c r="CQ15" s="117"/>
      <c r="CR15" s="117"/>
      <c r="CS15" s="117"/>
      <c r="CT15" s="117"/>
      <c r="CU15" s="117"/>
      <c r="CV15" s="117"/>
      <c r="CW15" s="117"/>
      <c r="CX15" s="117"/>
      <c r="CY15" s="117"/>
      <c r="CZ15" s="117"/>
      <c r="DA15" s="117"/>
      <c r="DB15" s="72"/>
      <c r="DC15" s="72"/>
      <c r="DD15" s="72"/>
      <c r="DE15" s="72"/>
      <c r="DL15" s="534"/>
      <c r="DM15" s="534"/>
      <c r="DN15" s="534"/>
      <c r="DO15" s="534"/>
      <c r="DP15" s="534"/>
      <c r="DQ15" s="534"/>
      <c r="DR15" s="570"/>
      <c r="DS15" s="534"/>
      <c r="DT15" s="534"/>
      <c r="DU15" s="534"/>
      <c r="DV15" s="534"/>
      <c r="DW15" s="534"/>
      <c r="DX15" s="534"/>
      <c r="DY15" s="534"/>
      <c r="EH15" s="75"/>
    </row>
    <row r="16" spans="1:147" s="76" customFormat="1" ht="13.5" customHeight="1" thickTop="1" x14ac:dyDescent="0.15">
      <c r="A16" s="110"/>
      <c r="D16" s="105"/>
      <c r="AC16" s="119"/>
      <c r="AD16" s="119"/>
      <c r="AE16" s="119"/>
      <c r="AF16" s="549" t="str">
        <f>IF(AF26=AL26,"",IF(AF26&gt;AL26,N28,BD28))</f>
        <v/>
      </c>
      <c r="AG16" s="549"/>
      <c r="AH16" s="549"/>
      <c r="AI16" s="549"/>
      <c r="AJ16" s="529"/>
      <c r="BP16" s="500"/>
      <c r="BQ16" s="500"/>
      <c r="BR16" s="500"/>
      <c r="BS16" s="500"/>
      <c r="BT16" s="485"/>
      <c r="BU16" s="485"/>
      <c r="BV16" s="498"/>
      <c r="BW16" s="498"/>
      <c r="BX16" s="498"/>
      <c r="BY16" s="498"/>
      <c r="DB16" s="530"/>
      <c r="DC16" s="548" t="str">
        <f>IF(CW26=DC26,"",IF(CW26&gt;DC26,CH28,DU28))</f>
        <v/>
      </c>
      <c r="DD16" s="548"/>
      <c r="DE16" s="548"/>
      <c r="DF16" s="548"/>
      <c r="DK16" s="545"/>
      <c r="DN16" s="500"/>
      <c r="DO16" s="500"/>
      <c r="DP16" s="500"/>
      <c r="DQ16" s="500"/>
      <c r="DR16" s="501"/>
      <c r="DS16" s="501"/>
      <c r="DT16" s="498"/>
      <c r="DU16" s="498"/>
      <c r="DV16" s="498"/>
      <c r="DW16" s="498"/>
      <c r="DZ16" s="553"/>
      <c r="EH16" s="75"/>
      <c r="EJ16" s="80" t="s">
        <v>625</v>
      </c>
    </row>
    <row r="17" spans="1:140" s="76" customFormat="1" ht="13.5" customHeight="1" x14ac:dyDescent="0.15">
      <c r="A17" s="110"/>
      <c r="D17" s="105"/>
      <c r="AC17" s="119"/>
      <c r="AD17" s="119"/>
      <c r="AE17" s="119"/>
      <c r="AF17" s="549"/>
      <c r="AG17" s="549"/>
      <c r="AH17" s="549"/>
      <c r="AI17" s="549"/>
      <c r="AJ17" s="529"/>
      <c r="AK17" s="530" t="s">
        <v>605</v>
      </c>
      <c r="AL17" s="485"/>
      <c r="AM17" s="485"/>
      <c r="AN17" s="485"/>
      <c r="AO17" s="485"/>
      <c r="AP17" s="485"/>
      <c r="AQ17" s="485"/>
      <c r="AR17" s="485"/>
      <c r="AS17" s="485"/>
      <c r="AT17" s="485"/>
      <c r="AU17" s="485"/>
      <c r="AV17" s="485"/>
      <c r="AW17" s="485"/>
      <c r="AX17" s="485"/>
      <c r="AY17" s="485"/>
      <c r="AZ17" s="485"/>
      <c r="BA17" s="485"/>
      <c r="BB17" s="485"/>
      <c r="BC17" s="485"/>
      <c r="BD17" s="485"/>
      <c r="BE17" s="485"/>
      <c r="BF17" s="485"/>
      <c r="BG17" s="485"/>
      <c r="BH17" s="485"/>
      <c r="BI17" s="485"/>
      <c r="BJ17" s="485"/>
      <c r="BK17" s="485"/>
      <c r="BL17" s="485"/>
      <c r="BM17" s="485"/>
      <c r="BN17" s="485"/>
      <c r="BO17" s="485"/>
      <c r="BP17" s="485"/>
      <c r="BQ17" s="485"/>
      <c r="BR17" s="485"/>
      <c r="BS17" s="485"/>
      <c r="BT17" s="485"/>
      <c r="BU17" s="485"/>
      <c r="BV17" s="485"/>
      <c r="BW17" s="485"/>
      <c r="BX17" s="485"/>
      <c r="BY17" s="485"/>
      <c r="BZ17" s="485"/>
      <c r="CA17" s="485"/>
      <c r="CB17" s="485"/>
      <c r="CC17" s="485"/>
      <c r="CD17" s="485"/>
      <c r="CE17" s="485"/>
      <c r="CF17" s="485"/>
      <c r="CG17" s="485"/>
      <c r="CH17" s="485"/>
      <c r="CI17" s="485"/>
      <c r="CJ17" s="485"/>
      <c r="CK17" s="485"/>
      <c r="CL17" s="485"/>
      <c r="CM17" s="485"/>
      <c r="CN17" s="485"/>
      <c r="CO17" s="485"/>
      <c r="CP17" s="485"/>
      <c r="CQ17" s="485"/>
      <c r="CR17" s="485"/>
      <c r="CS17" s="485"/>
      <c r="CT17" s="485"/>
      <c r="CU17" s="485"/>
      <c r="CV17" s="485"/>
      <c r="CW17" s="485"/>
      <c r="CX17" s="485"/>
      <c r="CY17" s="485"/>
      <c r="CZ17" s="485"/>
      <c r="DA17" s="529"/>
      <c r="DB17" s="530"/>
      <c r="DC17" s="548"/>
      <c r="DD17" s="548"/>
      <c r="DE17" s="548"/>
      <c r="DF17" s="548"/>
      <c r="DK17" s="545"/>
      <c r="DL17" s="553" t="s">
        <v>86</v>
      </c>
      <c r="DM17" s="485"/>
      <c r="DN17" s="485"/>
      <c r="DO17" s="485"/>
      <c r="DP17" s="485"/>
      <c r="DQ17" s="485"/>
      <c r="DR17" s="485"/>
      <c r="DS17" s="485"/>
      <c r="DT17" s="485"/>
      <c r="DU17" s="485"/>
      <c r="DV17" s="485"/>
      <c r="DW17" s="485"/>
      <c r="DX17" s="485"/>
      <c r="DY17" s="545"/>
      <c r="DZ17" s="553"/>
      <c r="EH17" s="75"/>
      <c r="EJ17" s="419"/>
    </row>
    <row r="18" spans="1:140" s="76" customFormat="1" ht="13.5" customHeight="1" x14ac:dyDescent="0.15">
      <c r="A18" s="110"/>
      <c r="D18" s="105"/>
      <c r="AC18" s="119"/>
      <c r="AD18" s="119"/>
      <c r="AE18" s="119"/>
      <c r="AF18" s="549"/>
      <c r="AG18" s="549"/>
      <c r="AH18" s="549"/>
      <c r="AI18" s="549"/>
      <c r="AJ18" s="529"/>
      <c r="BP18" s="500"/>
      <c r="BQ18" s="500"/>
      <c r="BR18" s="500"/>
      <c r="BS18" s="500"/>
      <c r="BT18" s="501"/>
      <c r="BU18" s="501"/>
      <c r="BV18" s="498"/>
      <c r="BW18" s="498"/>
      <c r="BX18" s="498"/>
      <c r="BY18" s="498"/>
      <c r="DB18" s="530"/>
      <c r="DC18" s="548"/>
      <c r="DD18" s="548"/>
      <c r="DE18" s="548"/>
      <c r="DF18" s="548"/>
      <c r="DK18" s="545"/>
      <c r="DN18" s="500"/>
      <c r="DO18" s="500"/>
      <c r="DP18" s="500"/>
      <c r="DQ18" s="500"/>
      <c r="DR18" s="501"/>
      <c r="DS18" s="501"/>
      <c r="DT18" s="498"/>
      <c r="DU18" s="498"/>
      <c r="DV18" s="498"/>
      <c r="DW18" s="498"/>
      <c r="DZ18" s="553"/>
      <c r="EH18" s="75"/>
      <c r="EJ18" s="80" t="s">
        <v>605</v>
      </c>
    </row>
    <row r="19" spans="1:140" s="76" customFormat="1" ht="13.5" customHeight="1" x14ac:dyDescent="0.15">
      <c r="A19" s="110"/>
      <c r="D19" s="105"/>
      <c r="AC19" s="119"/>
      <c r="AD19" s="119"/>
      <c r="AE19" s="119"/>
      <c r="AF19" s="549"/>
      <c r="AG19" s="549"/>
      <c r="AH19" s="549"/>
      <c r="AI19" s="549"/>
      <c r="AJ19" s="529"/>
      <c r="AK19" s="596">
        <v>0.58333333333333337</v>
      </c>
      <c r="AL19" s="485"/>
      <c r="AM19" s="485"/>
      <c r="AN19" s="485"/>
      <c r="AO19" s="485"/>
      <c r="AP19" s="485"/>
      <c r="AQ19" s="485"/>
      <c r="AR19" s="485"/>
      <c r="AS19" s="485"/>
      <c r="AT19" s="485"/>
      <c r="AU19" s="485"/>
      <c r="AV19" s="485"/>
      <c r="AW19" s="485"/>
      <c r="AX19" s="485"/>
      <c r="AY19" s="485"/>
      <c r="AZ19" s="485"/>
      <c r="BA19" s="485"/>
      <c r="BB19" s="485"/>
      <c r="BC19" s="485"/>
      <c r="BD19" s="485"/>
      <c r="BE19" s="485"/>
      <c r="BF19" s="485"/>
      <c r="BG19" s="485"/>
      <c r="BH19" s="485"/>
      <c r="BI19" s="485"/>
      <c r="BJ19" s="485"/>
      <c r="BK19" s="485"/>
      <c r="BL19" s="485"/>
      <c r="BM19" s="485"/>
      <c r="BN19" s="485"/>
      <c r="BO19" s="485"/>
      <c r="BP19" s="485"/>
      <c r="BQ19" s="485"/>
      <c r="BR19" s="485"/>
      <c r="BS19" s="485"/>
      <c r="BT19" s="485"/>
      <c r="BU19" s="485"/>
      <c r="BV19" s="485"/>
      <c r="BW19" s="485"/>
      <c r="BX19" s="485"/>
      <c r="BY19" s="485"/>
      <c r="BZ19" s="485"/>
      <c r="CA19" s="485"/>
      <c r="CB19" s="485"/>
      <c r="CC19" s="485"/>
      <c r="CD19" s="485"/>
      <c r="CE19" s="485"/>
      <c r="CF19" s="485"/>
      <c r="CG19" s="485"/>
      <c r="CH19" s="485"/>
      <c r="CI19" s="485"/>
      <c r="CJ19" s="485"/>
      <c r="CK19" s="485"/>
      <c r="CL19" s="485"/>
      <c r="CM19" s="485"/>
      <c r="CN19" s="485"/>
      <c r="CO19" s="485"/>
      <c r="CP19" s="485"/>
      <c r="CQ19" s="485"/>
      <c r="CR19" s="485"/>
      <c r="CS19" s="485"/>
      <c r="CT19" s="485"/>
      <c r="CU19" s="485"/>
      <c r="CV19" s="485"/>
      <c r="CW19" s="485"/>
      <c r="CX19" s="485"/>
      <c r="CY19" s="485"/>
      <c r="CZ19" s="485"/>
      <c r="DA19" s="529"/>
      <c r="DB19" s="530"/>
      <c r="DC19" s="548"/>
      <c r="DD19" s="548"/>
      <c r="DE19" s="548"/>
      <c r="DF19" s="548"/>
      <c r="DK19" s="545"/>
      <c r="DL19" s="605">
        <v>0.5</v>
      </c>
      <c r="DM19" s="606"/>
      <c r="DN19" s="606"/>
      <c r="DO19" s="606"/>
      <c r="DP19" s="606"/>
      <c r="DQ19" s="606"/>
      <c r="DR19" s="606"/>
      <c r="DS19" s="606"/>
      <c r="DT19" s="606"/>
      <c r="DU19" s="606"/>
      <c r="DV19" s="606"/>
      <c r="DW19" s="606"/>
      <c r="DX19" s="606"/>
      <c r="DY19" s="607"/>
      <c r="DZ19" s="553"/>
      <c r="EH19" s="75"/>
      <c r="EJ19" s="80" t="s">
        <v>592</v>
      </c>
    </row>
    <row r="20" spans="1:140" s="76" customFormat="1" ht="13.5" customHeight="1" x14ac:dyDescent="0.2">
      <c r="A20" s="110"/>
      <c r="D20" s="105"/>
      <c r="AC20" s="119"/>
      <c r="AD20" s="119"/>
      <c r="AE20" s="119"/>
      <c r="AF20" s="549"/>
      <c r="AG20" s="549"/>
      <c r="AH20" s="549"/>
      <c r="AI20" s="549"/>
      <c r="AJ20" s="529"/>
      <c r="BP20" s="72"/>
      <c r="BQ20" s="72"/>
      <c r="BR20" s="72"/>
      <c r="BS20" s="499"/>
      <c r="BT20" s="499"/>
      <c r="BU20" s="499"/>
      <c r="BV20" s="499"/>
      <c r="BW20" s="72"/>
      <c r="BX20" s="72"/>
      <c r="BY20" s="72"/>
      <c r="DB20" s="530"/>
      <c r="DC20" s="548"/>
      <c r="DD20" s="548"/>
      <c r="DE20" s="548"/>
      <c r="DF20" s="548"/>
      <c r="DK20" s="545"/>
      <c r="DN20" s="72"/>
      <c r="DO20" s="72"/>
      <c r="DP20" s="72"/>
      <c r="DQ20" s="499"/>
      <c r="DR20" s="499"/>
      <c r="DS20" s="499"/>
      <c r="DT20" s="499"/>
      <c r="DU20" s="72"/>
      <c r="DV20" s="72"/>
      <c r="DW20" s="72"/>
      <c r="DZ20" s="553"/>
      <c r="EH20" s="75"/>
      <c r="EJ20" s="80" t="s">
        <v>626</v>
      </c>
    </row>
    <row r="21" spans="1:140" s="76" customFormat="1" ht="13.5" customHeight="1" x14ac:dyDescent="0.15">
      <c r="B21" s="58" t="str">
        <f>B44+2&amp;"日(月)"</f>
        <v>23日(月)</v>
      </c>
      <c r="D21" s="105"/>
      <c r="AF21" s="549"/>
      <c r="AG21" s="549"/>
      <c r="AH21" s="549"/>
      <c r="AI21" s="549"/>
      <c r="AJ21" s="529"/>
      <c r="AX21" s="566"/>
      <c r="AY21" s="566"/>
      <c r="BP21" s="500"/>
      <c r="BQ21" s="500"/>
      <c r="BR21" s="500"/>
      <c r="BS21" s="500"/>
      <c r="BT21" s="501"/>
      <c r="BU21" s="501"/>
      <c r="BV21" s="498"/>
      <c r="BW21" s="498"/>
      <c r="BX21" s="498"/>
      <c r="BY21" s="498"/>
      <c r="DB21" s="530"/>
      <c r="DC21" s="548"/>
      <c r="DD21" s="548"/>
      <c r="DE21" s="548"/>
      <c r="DF21" s="548"/>
      <c r="DK21" s="545"/>
      <c r="DN21" s="500"/>
      <c r="DO21" s="500"/>
      <c r="DP21" s="500"/>
      <c r="DQ21" s="500"/>
      <c r="DR21" s="501"/>
      <c r="DS21" s="501"/>
      <c r="DT21" s="498"/>
      <c r="DU21" s="498"/>
      <c r="DV21" s="498"/>
      <c r="DW21" s="498"/>
      <c r="DZ21" s="553"/>
      <c r="EH21" s="75"/>
      <c r="EJ21" s="105"/>
    </row>
    <row r="22" spans="1:140" s="123" customFormat="1" ht="13.5" customHeight="1" x14ac:dyDescent="0.2">
      <c r="A22" s="122"/>
      <c r="D22" s="124"/>
      <c r="AJ22" s="529"/>
      <c r="AX22" s="566"/>
      <c r="AY22" s="566"/>
      <c r="DB22" s="530"/>
      <c r="DE22" s="76"/>
      <c r="DK22" s="545"/>
      <c r="DM22" s="499"/>
      <c r="DN22" s="499"/>
      <c r="DO22" s="499"/>
      <c r="DP22" s="499"/>
      <c r="DQ22" s="499"/>
      <c r="DR22" s="499"/>
      <c r="DS22" s="499"/>
      <c r="DT22" s="499"/>
      <c r="DU22" s="499"/>
      <c r="DV22" s="499"/>
      <c r="DW22" s="499"/>
      <c r="DX22" s="499"/>
      <c r="DZ22" s="553"/>
      <c r="EH22" s="120"/>
      <c r="EJ22" s="105"/>
    </row>
    <row r="23" spans="1:140" s="76" customFormat="1" ht="13.5" customHeight="1" x14ac:dyDescent="0.15">
      <c r="A23" s="110"/>
      <c r="D23" s="105"/>
      <c r="AJ23" s="529"/>
      <c r="BP23" s="58"/>
      <c r="BQ23" s="303"/>
      <c r="BR23" s="303"/>
      <c r="BS23" s="303"/>
      <c r="BT23" s="303"/>
      <c r="BU23" s="303"/>
      <c r="BV23" s="303"/>
      <c r="BW23" s="303"/>
      <c r="BX23" s="303"/>
      <c r="BY23" s="303"/>
      <c r="DB23" s="530"/>
      <c r="DG23" s="485" t="str">
        <f>IF(AL26=AF26,"",IF(AL26&lt;AF26,BD28,N28))</f>
        <v/>
      </c>
      <c r="DH23" s="485"/>
      <c r="DI23" s="485"/>
      <c r="DJ23" s="485"/>
      <c r="DK23" s="485"/>
      <c r="DL23" s="485"/>
      <c r="DM23" s="485"/>
      <c r="DN23" s="485"/>
      <c r="DO23" s="485"/>
      <c r="DP23" s="485"/>
      <c r="DU23" s="485" t="str">
        <f>IF(CW26=DC26,"",IF(CW26&gt;DC26,DU28,CH28))</f>
        <v/>
      </c>
      <c r="DV23" s="485"/>
      <c r="DW23" s="485"/>
      <c r="DX23" s="485"/>
      <c r="DY23" s="485"/>
      <c r="DZ23" s="485"/>
      <c r="EA23" s="485"/>
      <c r="EB23" s="485"/>
      <c r="EC23" s="485"/>
      <c r="ED23" s="485"/>
      <c r="EH23" s="75"/>
      <c r="EJ23" s="105"/>
    </row>
    <row r="24" spans="1:140" s="126" customFormat="1" ht="13.5" customHeight="1" x14ac:dyDescent="0.15">
      <c r="A24" s="125"/>
      <c r="D24" s="127"/>
      <c r="AJ24" s="529"/>
      <c r="BP24" s="127"/>
      <c r="BQ24" s="303"/>
      <c r="BR24" s="303"/>
      <c r="BS24" s="303"/>
      <c r="BT24" s="303"/>
      <c r="BU24" s="303"/>
      <c r="BV24" s="303"/>
      <c r="BW24" s="303"/>
      <c r="BX24" s="303"/>
      <c r="BY24" s="303"/>
      <c r="DB24" s="530"/>
      <c r="DE24" s="76"/>
      <c r="EH24" s="128"/>
      <c r="EJ24" s="127"/>
    </row>
    <row r="25" spans="1:140" s="76" customFormat="1" ht="13.5" customHeight="1" x14ac:dyDescent="0.15">
      <c r="A25" s="110"/>
      <c r="D25" s="105"/>
      <c r="AC25" s="75" t="str">
        <f>IF(AC28="","",SUM(AC28:AE31))</f>
        <v/>
      </c>
      <c r="AD25" s="75"/>
      <c r="AE25" s="75"/>
      <c r="AF25" s="538" t="str">
        <f>IF(AF28="","",SUM(AF28:AF31))</f>
        <v/>
      </c>
      <c r="AG25" s="538"/>
      <c r="AH25" s="538"/>
      <c r="AI25" s="538"/>
      <c r="AJ25" s="529"/>
      <c r="AL25" s="537" t="str">
        <f>IF(AL28="","",SUM(AL28:AL31))</f>
        <v/>
      </c>
      <c r="AM25" s="537"/>
      <c r="AN25" s="537"/>
      <c r="AO25" s="537"/>
      <c r="BP25" s="105"/>
      <c r="BQ25" s="303"/>
      <c r="BR25" s="303"/>
      <c r="BS25" s="303"/>
      <c r="BT25" s="303"/>
      <c r="BU25" s="303"/>
      <c r="BV25" s="303"/>
      <c r="BW25" s="303"/>
      <c r="BX25" s="303"/>
      <c r="BY25" s="303"/>
      <c r="CW25" s="565" t="str">
        <f>IF(CW28="","",SUM(CW28:CW31))</f>
        <v/>
      </c>
      <c r="CX25" s="565"/>
      <c r="CY25" s="565"/>
      <c r="CZ25" s="565"/>
      <c r="DA25" s="72"/>
      <c r="DB25" s="530"/>
      <c r="DC25" s="537" t="str">
        <f>IF(DC28="","",SUM(DC28:DC31))</f>
        <v/>
      </c>
      <c r="DD25" s="537"/>
      <c r="DE25" s="537"/>
      <c r="DF25" s="537"/>
      <c r="EH25" s="75"/>
      <c r="EJ25" s="105"/>
    </row>
    <row r="26" spans="1:140" s="114" customFormat="1" ht="13.5" hidden="1" customHeight="1" x14ac:dyDescent="0.15">
      <c r="A26" s="129"/>
      <c r="D26" s="115"/>
      <c r="AC26" s="116"/>
      <c r="AD26" s="116"/>
      <c r="AE26" s="116"/>
      <c r="AF26" s="539">
        <f>SUM(AF28:AF33)</f>
        <v>0</v>
      </c>
      <c r="AG26" s="539"/>
      <c r="AH26" s="539"/>
      <c r="AI26" s="539"/>
      <c r="AJ26" s="529"/>
      <c r="AL26" s="540">
        <f>SUM(AL28:AL33)</f>
        <v>0</v>
      </c>
      <c r="AM26" s="540"/>
      <c r="AN26" s="540"/>
      <c r="AO26" s="540"/>
      <c r="CW26" s="539">
        <f>SUM(CW28:CW33)</f>
        <v>0</v>
      </c>
      <c r="CX26" s="539"/>
      <c r="CY26" s="539"/>
      <c r="CZ26" s="539"/>
      <c r="DA26" s="130"/>
      <c r="DB26" s="530"/>
      <c r="DC26" s="540">
        <f>SUM(DC28:DC33)</f>
        <v>0</v>
      </c>
      <c r="DD26" s="540"/>
      <c r="DE26" s="540"/>
      <c r="DF26" s="540"/>
      <c r="EH26" s="116"/>
      <c r="EJ26" s="115"/>
    </row>
    <row r="27" spans="1:140" s="76" customFormat="1" ht="3.75" customHeight="1" thickBot="1" x14ac:dyDescent="0.2">
      <c r="A27" s="110"/>
      <c r="D27" s="105"/>
      <c r="S27" s="302"/>
      <c r="T27" s="302"/>
      <c r="U27" s="302"/>
      <c r="V27" s="302"/>
      <c r="W27" s="302"/>
      <c r="X27" s="302"/>
      <c r="Y27" s="302"/>
      <c r="Z27" s="302"/>
      <c r="AA27" s="302"/>
      <c r="AB27" s="302"/>
      <c r="AC27" s="302"/>
      <c r="AD27" s="302"/>
      <c r="AE27" s="302"/>
      <c r="AF27" s="302"/>
      <c r="AG27" s="302"/>
      <c r="AH27" s="302"/>
      <c r="AI27" s="302"/>
      <c r="AJ27" s="536"/>
      <c r="AK27" s="118"/>
      <c r="AL27" s="117"/>
      <c r="AM27" s="117"/>
      <c r="AN27" s="117"/>
      <c r="AO27" s="305"/>
      <c r="AP27" s="302"/>
      <c r="AQ27" s="302"/>
      <c r="AR27" s="302"/>
      <c r="AS27" s="305"/>
      <c r="AT27" s="117"/>
      <c r="AU27" s="117"/>
      <c r="AV27" s="117"/>
      <c r="AW27" s="117"/>
      <c r="AX27" s="117"/>
      <c r="AY27" s="117"/>
      <c r="AZ27" s="117"/>
      <c r="BA27" s="117"/>
      <c r="BB27" s="117"/>
      <c r="CM27" s="534"/>
      <c r="CN27" s="534"/>
      <c r="CO27" s="534"/>
      <c r="CP27" s="534"/>
      <c r="CQ27" s="534"/>
      <c r="CR27" s="534"/>
      <c r="CS27" s="534"/>
      <c r="CT27" s="534"/>
      <c r="CU27" s="534"/>
      <c r="CV27" s="534"/>
      <c r="CW27" s="534"/>
      <c r="CX27" s="534"/>
      <c r="CY27" s="534"/>
      <c r="CZ27" s="534"/>
      <c r="DA27" s="536"/>
      <c r="DB27" s="535"/>
      <c r="DC27" s="556"/>
      <c r="DD27" s="556"/>
      <c r="DE27" s="556"/>
      <c r="DF27" s="556"/>
      <c r="DG27" s="556"/>
      <c r="DH27" s="556"/>
      <c r="DI27" s="556"/>
      <c r="DJ27" s="556"/>
      <c r="DK27" s="556"/>
      <c r="DL27" s="556"/>
      <c r="DM27" s="556"/>
      <c r="DN27" s="556"/>
      <c r="DO27" s="556"/>
      <c r="DP27" s="556"/>
      <c r="DQ27" s="556"/>
      <c r="DR27" s="556"/>
      <c r="DS27" s="556"/>
      <c r="EH27" s="75"/>
      <c r="EJ27" s="105"/>
    </row>
    <row r="28" spans="1:140" s="76" customFormat="1" ht="13.5" customHeight="1" thickTop="1" x14ac:dyDescent="0.15">
      <c r="A28" s="110"/>
      <c r="D28" s="105"/>
      <c r="N28" s="549" t="str">
        <f>IF(N36=T36,"",IF(N36&gt;T36,C38,AE38))</f>
        <v/>
      </c>
      <c r="O28" s="549"/>
      <c r="P28" s="549"/>
      <c r="Q28" s="549"/>
      <c r="R28" s="561"/>
      <c r="S28" s="147"/>
      <c r="T28" s="119"/>
      <c r="U28" s="119"/>
      <c r="V28" s="119"/>
      <c r="W28" s="119"/>
      <c r="X28" s="72"/>
      <c r="AC28" s="131"/>
      <c r="AD28" s="131"/>
      <c r="AE28" s="131"/>
      <c r="AF28" s="547"/>
      <c r="AG28" s="547"/>
      <c r="AH28" s="547"/>
      <c r="AI28" s="547"/>
      <c r="AJ28" s="531"/>
      <c r="AK28" s="531"/>
      <c r="AL28" s="498"/>
      <c r="AM28" s="498"/>
      <c r="AN28" s="498"/>
      <c r="AO28" s="498"/>
      <c r="BC28" s="530"/>
      <c r="BD28" s="548" t="str">
        <f>IF(AX36=BD36,"",IF(AX36&gt;BD36,AM38,BO38))</f>
        <v/>
      </c>
      <c r="BE28" s="548"/>
      <c r="BF28" s="548"/>
      <c r="BG28" s="548"/>
      <c r="CH28" s="549" t="str">
        <f>IF(CH36=CN36,"",IF(CH36&gt;CN36,BW38,CY38))</f>
        <v/>
      </c>
      <c r="CI28" s="549"/>
      <c r="CJ28" s="549"/>
      <c r="CK28" s="549"/>
      <c r="CL28" s="529"/>
      <c r="CW28" s="500"/>
      <c r="CX28" s="500"/>
      <c r="CY28" s="500"/>
      <c r="CZ28" s="500"/>
      <c r="DA28" s="485"/>
      <c r="DB28" s="485"/>
      <c r="DC28" s="498"/>
      <c r="DD28" s="498"/>
      <c r="DE28" s="498"/>
      <c r="DF28" s="498"/>
      <c r="DG28" s="72"/>
      <c r="DH28" s="72"/>
      <c r="DI28" s="72"/>
      <c r="DQ28" s="72"/>
      <c r="DR28" s="119"/>
      <c r="DS28" s="119"/>
      <c r="DT28" s="563"/>
      <c r="DU28" s="548" t="str">
        <f>IF(DO36=DU36,"",IF(DO36&gt;DU36,DF38,EC38))</f>
        <v/>
      </c>
      <c r="DV28" s="548"/>
      <c r="DW28" s="548"/>
      <c r="DX28" s="548"/>
      <c r="EH28" s="75"/>
      <c r="EJ28" s="105"/>
    </row>
    <row r="29" spans="1:140" s="76" customFormat="1" ht="13.5" customHeight="1" x14ac:dyDescent="0.15">
      <c r="A29" s="110"/>
      <c r="D29" s="105"/>
      <c r="N29" s="549"/>
      <c r="O29" s="549"/>
      <c r="P29" s="549"/>
      <c r="Q29" s="549"/>
      <c r="R29" s="561"/>
      <c r="S29" s="530" t="s">
        <v>605</v>
      </c>
      <c r="T29" s="485"/>
      <c r="U29" s="485"/>
      <c r="V29" s="485"/>
      <c r="W29" s="485"/>
      <c r="X29" s="485"/>
      <c r="Y29" s="485"/>
      <c r="Z29" s="485"/>
      <c r="AA29" s="485"/>
      <c r="AB29" s="485"/>
      <c r="AC29" s="485"/>
      <c r="AD29" s="485"/>
      <c r="AE29" s="485"/>
      <c r="AF29" s="485"/>
      <c r="AG29" s="485"/>
      <c r="AH29" s="485"/>
      <c r="AI29" s="485"/>
      <c r="AJ29" s="485"/>
      <c r="AK29" s="485"/>
      <c r="AL29" s="485"/>
      <c r="AM29" s="485"/>
      <c r="AN29" s="485"/>
      <c r="AO29" s="485"/>
      <c r="AP29" s="485"/>
      <c r="AQ29" s="485"/>
      <c r="AR29" s="485"/>
      <c r="AS29" s="485"/>
      <c r="AT29" s="485"/>
      <c r="AU29" s="485"/>
      <c r="AV29" s="485"/>
      <c r="AW29" s="485"/>
      <c r="AX29" s="485"/>
      <c r="AY29" s="485"/>
      <c r="AZ29" s="485"/>
      <c r="BA29" s="485"/>
      <c r="BB29" s="529"/>
      <c r="BC29" s="530"/>
      <c r="BD29" s="548"/>
      <c r="BE29" s="548"/>
      <c r="BF29" s="548"/>
      <c r="BG29" s="548"/>
      <c r="CH29" s="549"/>
      <c r="CI29" s="549"/>
      <c r="CJ29" s="549"/>
      <c r="CK29" s="549"/>
      <c r="CL29" s="529"/>
      <c r="CM29" s="530" t="s">
        <v>605</v>
      </c>
      <c r="CN29" s="485"/>
      <c r="CO29" s="485"/>
      <c r="CP29" s="485"/>
      <c r="CQ29" s="485"/>
      <c r="CR29" s="485"/>
      <c r="CS29" s="485"/>
      <c r="CT29" s="485"/>
      <c r="CU29" s="485"/>
      <c r="CV29" s="485"/>
      <c r="CW29" s="485"/>
      <c r="CX29" s="485"/>
      <c r="CY29" s="485"/>
      <c r="CZ29" s="485"/>
      <c r="DA29" s="485"/>
      <c r="DB29" s="485"/>
      <c r="DC29" s="485"/>
      <c r="DD29" s="485"/>
      <c r="DE29" s="485"/>
      <c r="DF29" s="485"/>
      <c r="DG29" s="485"/>
      <c r="DH29" s="485"/>
      <c r="DI29" s="485"/>
      <c r="DJ29" s="485"/>
      <c r="DK29" s="485"/>
      <c r="DL29" s="485"/>
      <c r="DM29" s="485"/>
      <c r="DN29" s="485"/>
      <c r="DO29" s="485"/>
      <c r="DP29" s="485"/>
      <c r="DQ29" s="485"/>
      <c r="DR29" s="485"/>
      <c r="DS29" s="529"/>
      <c r="DT29" s="563"/>
      <c r="DU29" s="548"/>
      <c r="DV29" s="548"/>
      <c r="DW29" s="548"/>
      <c r="DX29" s="548"/>
      <c r="EH29" s="75"/>
      <c r="EJ29" s="105"/>
    </row>
    <row r="30" spans="1:140" s="76" customFormat="1" ht="13.5" customHeight="1" x14ac:dyDescent="0.15">
      <c r="A30" s="110"/>
      <c r="D30" s="105"/>
      <c r="N30" s="549"/>
      <c r="O30" s="549"/>
      <c r="P30" s="549"/>
      <c r="Q30" s="549"/>
      <c r="R30" s="561"/>
      <c r="S30" s="149"/>
      <c r="T30" s="149"/>
      <c r="U30" s="149"/>
      <c r="V30" s="149"/>
      <c r="W30" s="149"/>
      <c r="X30" s="72"/>
      <c r="AC30" s="131"/>
      <c r="AD30" s="131"/>
      <c r="AE30" s="131"/>
      <c r="AF30" s="500"/>
      <c r="AG30" s="500"/>
      <c r="AH30" s="500"/>
      <c r="AI30" s="500"/>
      <c r="AJ30" s="501"/>
      <c r="AK30" s="501"/>
      <c r="AL30" s="498"/>
      <c r="AM30" s="498"/>
      <c r="AN30" s="498"/>
      <c r="AO30" s="498"/>
      <c r="BC30" s="530"/>
      <c r="BD30" s="548"/>
      <c r="BE30" s="548"/>
      <c r="BF30" s="548"/>
      <c r="BG30" s="548"/>
      <c r="CH30" s="549"/>
      <c r="CI30" s="549"/>
      <c r="CJ30" s="549"/>
      <c r="CK30" s="549"/>
      <c r="CL30" s="529"/>
      <c r="CW30" s="500"/>
      <c r="CX30" s="500"/>
      <c r="CY30" s="500"/>
      <c r="CZ30" s="500"/>
      <c r="DA30" s="501"/>
      <c r="DB30" s="501"/>
      <c r="DC30" s="498"/>
      <c r="DD30" s="498"/>
      <c r="DE30" s="498"/>
      <c r="DF30" s="498"/>
      <c r="DG30" s="72"/>
      <c r="DH30" s="72"/>
      <c r="DI30" s="72"/>
      <c r="DQ30" s="72"/>
      <c r="DR30" s="119"/>
      <c r="DS30" s="119"/>
      <c r="DT30" s="563"/>
      <c r="DU30" s="548"/>
      <c r="DV30" s="548"/>
      <c r="DW30" s="548"/>
      <c r="DX30" s="548"/>
      <c r="EH30" s="75"/>
      <c r="EJ30" s="105"/>
    </row>
    <row r="31" spans="1:140" s="76" customFormat="1" ht="13.5" customHeight="1" x14ac:dyDescent="0.15">
      <c r="A31" s="110"/>
      <c r="D31" s="105"/>
      <c r="N31" s="549"/>
      <c r="O31" s="549"/>
      <c r="P31" s="549"/>
      <c r="Q31" s="549"/>
      <c r="R31" s="561"/>
      <c r="S31" s="596">
        <v>0.375</v>
      </c>
      <c r="T31" s="485"/>
      <c r="U31" s="485"/>
      <c r="V31" s="485"/>
      <c r="W31" s="485"/>
      <c r="X31" s="485"/>
      <c r="Y31" s="485"/>
      <c r="Z31" s="485"/>
      <c r="AA31" s="485"/>
      <c r="AB31" s="485"/>
      <c r="AC31" s="485"/>
      <c r="AD31" s="485"/>
      <c r="AE31" s="485"/>
      <c r="AF31" s="485"/>
      <c r="AG31" s="485"/>
      <c r="AH31" s="485"/>
      <c r="AI31" s="485"/>
      <c r="AJ31" s="485"/>
      <c r="AK31" s="485"/>
      <c r="AL31" s="485"/>
      <c r="AM31" s="485"/>
      <c r="AN31" s="485"/>
      <c r="AO31" s="485"/>
      <c r="AP31" s="485"/>
      <c r="AQ31" s="485"/>
      <c r="AR31" s="485"/>
      <c r="AS31" s="485"/>
      <c r="AT31" s="485"/>
      <c r="AU31" s="485"/>
      <c r="AV31" s="485"/>
      <c r="AW31" s="485"/>
      <c r="AX31" s="485"/>
      <c r="AY31" s="485"/>
      <c r="AZ31" s="485"/>
      <c r="BA31" s="485"/>
      <c r="BB31" s="529"/>
      <c r="BC31" s="530"/>
      <c r="BD31" s="548"/>
      <c r="BE31" s="548"/>
      <c r="BF31" s="548"/>
      <c r="BG31" s="548"/>
      <c r="CH31" s="549"/>
      <c r="CI31" s="549"/>
      <c r="CJ31" s="549"/>
      <c r="CK31" s="549"/>
      <c r="CL31" s="529"/>
      <c r="CM31" s="596">
        <v>0.4375</v>
      </c>
      <c r="CN31" s="485"/>
      <c r="CO31" s="485"/>
      <c r="CP31" s="485"/>
      <c r="CQ31" s="485"/>
      <c r="CR31" s="485"/>
      <c r="CS31" s="485"/>
      <c r="CT31" s="485"/>
      <c r="CU31" s="485"/>
      <c r="CV31" s="485"/>
      <c r="CW31" s="485"/>
      <c r="CX31" s="485"/>
      <c r="CY31" s="485"/>
      <c r="CZ31" s="485"/>
      <c r="DA31" s="485"/>
      <c r="DB31" s="485"/>
      <c r="DC31" s="485"/>
      <c r="DD31" s="485"/>
      <c r="DE31" s="485"/>
      <c r="DF31" s="485"/>
      <c r="DG31" s="485"/>
      <c r="DH31" s="485"/>
      <c r="DI31" s="485"/>
      <c r="DJ31" s="485"/>
      <c r="DK31" s="485"/>
      <c r="DL31" s="485"/>
      <c r="DM31" s="485"/>
      <c r="DN31" s="485"/>
      <c r="DO31" s="485"/>
      <c r="DP31" s="485"/>
      <c r="DQ31" s="485"/>
      <c r="DR31" s="485"/>
      <c r="DS31" s="529"/>
      <c r="DT31" s="563"/>
      <c r="DU31" s="548"/>
      <c r="DV31" s="548"/>
      <c r="DW31" s="548"/>
      <c r="DX31" s="548"/>
      <c r="EH31" s="75"/>
      <c r="EJ31" s="105"/>
    </row>
    <row r="32" spans="1:140" s="123" customFormat="1" ht="13.5" customHeight="1" x14ac:dyDescent="0.2">
      <c r="A32" s="122"/>
      <c r="D32" s="124"/>
      <c r="N32" s="549"/>
      <c r="O32" s="549"/>
      <c r="P32" s="549"/>
      <c r="Q32" s="549"/>
      <c r="R32" s="561"/>
      <c r="S32" s="119"/>
      <c r="T32" s="119"/>
      <c r="U32" s="119"/>
      <c r="V32" s="119"/>
      <c r="W32" s="119"/>
      <c r="X32" s="72"/>
      <c r="AC32" s="120"/>
      <c r="AD32" s="120"/>
      <c r="AE32" s="120"/>
      <c r="AF32" s="120"/>
      <c r="AG32" s="120"/>
      <c r="AH32" s="120"/>
      <c r="AI32" s="499"/>
      <c r="AJ32" s="499"/>
      <c r="AK32" s="499"/>
      <c r="AL32" s="499"/>
      <c r="AM32" s="121"/>
      <c r="AN32" s="121"/>
      <c r="AO32" s="121"/>
      <c r="BC32" s="530"/>
      <c r="BD32" s="548"/>
      <c r="BE32" s="548"/>
      <c r="BF32" s="548"/>
      <c r="BG32" s="548"/>
      <c r="CH32" s="549"/>
      <c r="CI32" s="549"/>
      <c r="CJ32" s="549"/>
      <c r="CK32" s="549"/>
      <c r="CL32" s="529"/>
      <c r="CW32" s="120"/>
      <c r="CX32" s="120"/>
      <c r="CY32" s="120"/>
      <c r="CZ32" s="499"/>
      <c r="DA32" s="499"/>
      <c r="DB32" s="499"/>
      <c r="DC32" s="499"/>
      <c r="DD32" s="121"/>
      <c r="DE32" s="121"/>
      <c r="DF32" s="121"/>
      <c r="DQ32" s="72"/>
      <c r="DR32" s="119"/>
      <c r="DS32" s="119"/>
      <c r="DT32" s="563"/>
      <c r="DU32" s="548"/>
      <c r="DV32" s="548"/>
      <c r="DW32" s="548"/>
      <c r="DX32" s="548"/>
      <c r="EH32" s="120"/>
      <c r="EJ32" s="124"/>
    </row>
    <row r="33" spans="1:140" s="76" customFormat="1" ht="13.5" customHeight="1" x14ac:dyDescent="0.15">
      <c r="A33" s="110"/>
      <c r="D33" s="105"/>
      <c r="N33" s="549"/>
      <c r="O33" s="549"/>
      <c r="P33" s="549"/>
      <c r="Q33" s="549"/>
      <c r="R33" s="561"/>
      <c r="S33" s="119"/>
      <c r="T33" s="119"/>
      <c r="U33" s="119"/>
      <c r="V33" s="119"/>
      <c r="W33" s="119"/>
      <c r="X33" s="72"/>
      <c r="AC33" s="131"/>
      <c r="AD33" s="131"/>
      <c r="AE33" s="131"/>
      <c r="AF33" s="500"/>
      <c r="AG33" s="500"/>
      <c r="AH33" s="500"/>
      <c r="AI33" s="500"/>
      <c r="AJ33" s="501"/>
      <c r="AK33" s="501"/>
      <c r="AL33" s="498"/>
      <c r="AM33" s="498"/>
      <c r="AN33" s="498"/>
      <c r="AO33" s="498"/>
      <c r="BC33" s="530"/>
      <c r="BD33" s="548"/>
      <c r="BE33" s="548"/>
      <c r="BF33" s="548"/>
      <c r="BG33" s="548"/>
      <c r="CH33" s="549"/>
      <c r="CI33" s="549"/>
      <c r="CJ33" s="549"/>
      <c r="CK33" s="549"/>
      <c r="CL33" s="529"/>
      <c r="CW33" s="500"/>
      <c r="CX33" s="500"/>
      <c r="CY33" s="500"/>
      <c r="CZ33" s="500"/>
      <c r="DA33" s="501"/>
      <c r="DB33" s="501"/>
      <c r="DC33" s="498"/>
      <c r="DD33" s="498"/>
      <c r="DE33" s="498"/>
      <c r="DF33" s="498"/>
      <c r="DG33" s="72"/>
      <c r="DH33" s="72"/>
      <c r="DI33" s="72"/>
      <c r="DQ33" s="72"/>
      <c r="DR33" s="119"/>
      <c r="DS33" s="119"/>
      <c r="DT33" s="563"/>
      <c r="DU33" s="548"/>
      <c r="DV33" s="548"/>
      <c r="DW33" s="548"/>
      <c r="DX33" s="548"/>
      <c r="EH33" s="75"/>
      <c r="EJ33" s="105"/>
    </row>
    <row r="34" spans="1:140" s="126" customFormat="1" ht="13.5" customHeight="1" x14ac:dyDescent="0.15">
      <c r="A34" s="125"/>
      <c r="B34" s="58" t="str">
        <f>B44+1&amp;"日(日)"</f>
        <v>22日(日)</v>
      </c>
      <c r="D34" s="127"/>
      <c r="R34" s="561"/>
      <c r="X34" s="72"/>
      <c r="AC34" s="131"/>
      <c r="AD34" s="131"/>
      <c r="AE34" s="131"/>
      <c r="BC34" s="530"/>
      <c r="CL34" s="529"/>
      <c r="CZ34" s="526"/>
      <c r="DA34" s="526"/>
      <c r="DB34" s="526"/>
      <c r="DC34" s="526"/>
      <c r="DG34" s="134"/>
      <c r="DH34" s="134"/>
      <c r="DI34" s="134"/>
      <c r="DQ34" s="72"/>
      <c r="DT34" s="563"/>
      <c r="EH34" s="128"/>
      <c r="EJ34" s="127"/>
    </row>
    <row r="35" spans="1:140" s="76" customFormat="1" ht="13.5" customHeight="1" x14ac:dyDescent="0.15">
      <c r="A35" s="110"/>
      <c r="D35" s="105"/>
      <c r="N35" s="538" t="str">
        <f>IF(N38="","",SUM(N38:N40))</f>
        <v/>
      </c>
      <c r="O35" s="538"/>
      <c r="P35" s="538"/>
      <c r="Q35" s="538"/>
      <c r="R35" s="561"/>
      <c r="S35" s="72"/>
      <c r="T35" s="537" t="str">
        <f>IF(T38="","",SUM(T38:T40))</f>
        <v/>
      </c>
      <c r="U35" s="537"/>
      <c r="V35" s="537"/>
      <c r="W35" s="537"/>
      <c r="X35" s="72"/>
      <c r="Y35" s="72"/>
      <c r="Z35" s="72"/>
      <c r="AA35" s="72"/>
      <c r="AB35" s="72"/>
      <c r="AC35" s="72"/>
      <c r="AX35" s="538" t="str">
        <f>IF(AX38="","",SUM(AX38:AX40))</f>
        <v/>
      </c>
      <c r="AY35" s="538"/>
      <c r="AZ35" s="538"/>
      <c r="BA35" s="538"/>
      <c r="BC35" s="530"/>
      <c r="BD35" s="537" t="str">
        <f>IF(BD38="","",SUM(BD38:BD40))</f>
        <v/>
      </c>
      <c r="BE35" s="537"/>
      <c r="BF35" s="537"/>
      <c r="BG35" s="537"/>
      <c r="CH35" s="538" t="str">
        <f>IF(CH38="","",SUM(CH38:CH40))</f>
        <v/>
      </c>
      <c r="CI35" s="538"/>
      <c r="CJ35" s="538"/>
      <c r="CK35" s="538"/>
      <c r="CL35" s="529"/>
      <c r="CN35" s="537" t="str">
        <f>IF(CN38="","",SUM(CN38:CN40))</f>
        <v/>
      </c>
      <c r="CO35" s="537"/>
      <c r="CP35" s="537"/>
      <c r="CQ35" s="537"/>
      <c r="DL35" s="72" t="str">
        <f>IF(DL38="","",SUM(DL38:DO40))</f>
        <v/>
      </c>
      <c r="DM35" s="72"/>
      <c r="DN35" s="72"/>
      <c r="DO35" s="538" t="str">
        <f>IF(DO38="","",SUM(DO38:DO40))</f>
        <v/>
      </c>
      <c r="DP35" s="538"/>
      <c r="DQ35" s="538"/>
      <c r="DR35" s="538"/>
      <c r="DS35" s="72"/>
      <c r="DT35" s="563"/>
      <c r="DU35" s="537" t="str">
        <f>IF(DU38="","",SUM(DU38:DU40))</f>
        <v/>
      </c>
      <c r="DV35" s="537"/>
      <c r="DW35" s="537"/>
      <c r="DX35" s="537"/>
      <c r="EH35" s="75"/>
      <c r="EJ35" s="105"/>
    </row>
    <row r="36" spans="1:140" s="114" customFormat="1" ht="13.5" hidden="1" customHeight="1" x14ac:dyDescent="0.15">
      <c r="A36" s="129"/>
      <c r="D36" s="115"/>
      <c r="N36" s="539">
        <f>SUM(N38:N43)</f>
        <v>0</v>
      </c>
      <c r="O36" s="539"/>
      <c r="P36" s="539"/>
      <c r="Q36" s="539"/>
      <c r="R36" s="561"/>
      <c r="S36" s="130"/>
      <c r="T36" s="540">
        <f>SUM(T38:T43)</f>
        <v>0</v>
      </c>
      <c r="U36" s="540"/>
      <c r="V36" s="540"/>
      <c r="W36" s="540"/>
      <c r="X36" s="142"/>
      <c r="Y36" s="142"/>
      <c r="Z36" s="142"/>
      <c r="AA36" s="130"/>
      <c r="AB36" s="130"/>
      <c r="AC36" s="130"/>
      <c r="AX36" s="539">
        <f>SUM(AX38:AX43)</f>
        <v>0</v>
      </c>
      <c r="AY36" s="539"/>
      <c r="AZ36" s="539"/>
      <c r="BA36" s="539"/>
      <c r="BC36" s="530"/>
      <c r="BD36" s="540">
        <f>SUM(BD38:BE43)</f>
        <v>0</v>
      </c>
      <c r="BE36" s="540"/>
      <c r="BF36" s="540"/>
      <c r="BG36" s="540"/>
      <c r="CH36" s="539">
        <f>SUM(CH38:CH43)</f>
        <v>0</v>
      </c>
      <c r="CI36" s="539"/>
      <c r="CJ36" s="539"/>
      <c r="CK36" s="539"/>
      <c r="CL36" s="529"/>
      <c r="CN36" s="540">
        <f>SUM(CN38:CO43)</f>
        <v>0</v>
      </c>
      <c r="CO36" s="540"/>
      <c r="CP36" s="540"/>
      <c r="CQ36" s="540"/>
      <c r="DL36" s="130"/>
      <c r="DM36" s="130"/>
      <c r="DN36" s="130"/>
      <c r="DO36" s="539">
        <f>SUM(DO38:DO43)</f>
        <v>0</v>
      </c>
      <c r="DP36" s="539"/>
      <c r="DQ36" s="539"/>
      <c r="DR36" s="539"/>
      <c r="DS36" s="130"/>
      <c r="DT36" s="563"/>
      <c r="DU36" s="540">
        <f>SUM(DU38:DU43)</f>
        <v>0</v>
      </c>
      <c r="DV36" s="540"/>
      <c r="DW36" s="540"/>
      <c r="DX36" s="540"/>
      <c r="EH36" s="116"/>
      <c r="EJ36" s="115"/>
    </row>
    <row r="37" spans="1:140" s="76" customFormat="1" ht="3.75" customHeight="1" thickBot="1" x14ac:dyDescent="0.2">
      <c r="A37" s="110"/>
      <c r="D37" s="105"/>
      <c r="H37" s="534"/>
      <c r="I37" s="534"/>
      <c r="J37" s="534"/>
      <c r="K37" s="534"/>
      <c r="L37" s="534"/>
      <c r="M37" s="534"/>
      <c r="N37" s="534"/>
      <c r="O37" s="534"/>
      <c r="P37" s="534"/>
      <c r="Q37" s="534"/>
      <c r="R37" s="562"/>
      <c r="S37" s="535"/>
      <c r="T37" s="534"/>
      <c r="U37" s="534"/>
      <c r="V37" s="534"/>
      <c r="W37" s="534"/>
      <c r="X37" s="534"/>
      <c r="Y37" s="534"/>
      <c r="Z37" s="534"/>
      <c r="AA37" s="534"/>
      <c r="AB37" s="534"/>
      <c r="AC37" s="534"/>
      <c r="AD37" s="72"/>
      <c r="AR37" s="534"/>
      <c r="AS37" s="534"/>
      <c r="AT37" s="534"/>
      <c r="AU37" s="534"/>
      <c r="AV37" s="534"/>
      <c r="AW37" s="534"/>
      <c r="AX37" s="534"/>
      <c r="AY37" s="534"/>
      <c r="AZ37" s="534"/>
      <c r="BA37" s="534"/>
      <c r="BB37" s="534"/>
      <c r="BC37" s="535"/>
      <c r="BD37" s="534"/>
      <c r="BE37" s="534"/>
      <c r="BF37" s="534"/>
      <c r="BG37" s="534"/>
      <c r="BH37" s="534"/>
      <c r="BI37" s="534"/>
      <c r="BJ37" s="534"/>
      <c r="BK37" s="534"/>
      <c r="BL37" s="534"/>
      <c r="BM37" s="534"/>
      <c r="CB37" s="534"/>
      <c r="CC37" s="534"/>
      <c r="CD37" s="534"/>
      <c r="CE37" s="534"/>
      <c r="CF37" s="534"/>
      <c r="CG37" s="534"/>
      <c r="CH37" s="534"/>
      <c r="CI37" s="534"/>
      <c r="CJ37" s="534"/>
      <c r="CK37" s="534"/>
      <c r="CL37" s="536"/>
      <c r="CM37" s="534"/>
      <c r="CN37" s="534"/>
      <c r="CO37" s="534"/>
      <c r="CP37" s="534"/>
      <c r="CQ37" s="534"/>
      <c r="CR37" s="534"/>
      <c r="CS37" s="534"/>
      <c r="CT37" s="534"/>
      <c r="CU37" s="534"/>
      <c r="CV37" s="534"/>
      <c r="CW37" s="534"/>
      <c r="DF37" s="72"/>
      <c r="DG37" s="72"/>
      <c r="DH37" s="72"/>
      <c r="DI37" s="72"/>
      <c r="DJ37" s="72"/>
      <c r="DK37" s="534"/>
      <c r="DL37" s="534"/>
      <c r="DM37" s="534"/>
      <c r="DN37" s="534"/>
      <c r="DO37" s="534"/>
      <c r="DP37" s="534"/>
      <c r="DQ37" s="534"/>
      <c r="DR37" s="534"/>
      <c r="DS37" s="536"/>
      <c r="DT37" s="564"/>
      <c r="DU37" s="534"/>
      <c r="DV37" s="534"/>
      <c r="DW37" s="534"/>
      <c r="DX37" s="534"/>
      <c r="DY37" s="534"/>
      <c r="DZ37" s="534"/>
      <c r="EA37" s="534"/>
      <c r="EH37" s="75"/>
      <c r="EJ37" s="105"/>
    </row>
    <row r="38" spans="1:140" s="76" customFormat="1" ht="6.75" customHeight="1" thickTop="1" x14ac:dyDescent="0.15">
      <c r="A38" s="110"/>
      <c r="C38" s="549" t="str">
        <f>IF(C46=I46,"",IF(C46&gt;I46,B66,N48))</f>
        <v/>
      </c>
      <c r="D38" s="549"/>
      <c r="E38" s="549"/>
      <c r="F38" s="549"/>
      <c r="G38" s="529"/>
      <c r="N38" s="510"/>
      <c r="O38" s="510"/>
      <c r="P38" s="510"/>
      <c r="Q38" s="510"/>
      <c r="R38" s="531"/>
      <c r="S38" s="531"/>
      <c r="T38" s="532"/>
      <c r="U38" s="532"/>
      <c r="V38" s="532"/>
      <c r="W38" s="532"/>
      <c r="X38" s="97"/>
      <c r="Y38" s="97"/>
      <c r="Z38" s="97"/>
      <c r="AA38" s="119"/>
      <c r="AB38" s="119"/>
      <c r="AD38" s="553"/>
      <c r="AE38" s="548"/>
      <c r="AF38" s="548"/>
      <c r="AG38" s="548"/>
      <c r="AH38" s="548"/>
      <c r="AM38" s="549"/>
      <c r="AN38" s="549"/>
      <c r="AO38" s="549"/>
      <c r="AP38" s="549"/>
      <c r="AQ38" s="529"/>
      <c r="AX38" s="510"/>
      <c r="AY38" s="510"/>
      <c r="AZ38" s="510"/>
      <c r="BA38" s="510"/>
      <c r="BB38" s="531"/>
      <c r="BC38" s="531"/>
      <c r="BD38" s="532"/>
      <c r="BE38" s="532"/>
      <c r="BF38" s="532"/>
      <c r="BG38" s="532"/>
      <c r="BN38" s="530"/>
      <c r="BO38" s="548"/>
      <c r="BP38" s="548"/>
      <c r="BQ38" s="548"/>
      <c r="BR38" s="548"/>
      <c r="BW38" s="549"/>
      <c r="BX38" s="549"/>
      <c r="BY38" s="549"/>
      <c r="BZ38" s="549"/>
      <c r="CA38" s="529"/>
      <c r="CH38" s="510"/>
      <c r="CI38" s="510"/>
      <c r="CJ38" s="510"/>
      <c r="CK38" s="510"/>
      <c r="CL38" s="531"/>
      <c r="CM38" s="531"/>
      <c r="CN38" s="532"/>
      <c r="CO38" s="532"/>
      <c r="CP38" s="532"/>
      <c r="CQ38" s="532"/>
      <c r="CX38" s="530"/>
      <c r="CY38" s="548"/>
      <c r="CZ38" s="548"/>
      <c r="DA38" s="548"/>
      <c r="DB38" s="548"/>
      <c r="DF38" s="549"/>
      <c r="DG38" s="549"/>
      <c r="DH38" s="549"/>
      <c r="DI38" s="549"/>
      <c r="DJ38" s="529"/>
      <c r="DK38" s="135"/>
      <c r="DL38" s="136"/>
      <c r="DM38" s="136"/>
      <c r="DN38" s="136"/>
      <c r="DO38" s="510"/>
      <c r="DP38" s="510"/>
      <c r="DQ38" s="510"/>
      <c r="DR38" s="510"/>
      <c r="DS38" s="531"/>
      <c r="DT38" s="531"/>
      <c r="DU38" s="532"/>
      <c r="DV38" s="532"/>
      <c r="DW38" s="532"/>
      <c r="DX38" s="532"/>
      <c r="DY38" s="135"/>
      <c r="DZ38" s="135"/>
      <c r="EA38" s="137"/>
      <c r="EB38" s="530"/>
      <c r="EC38" s="548" t="str">
        <f>IF(DW46=EC46,"",IF(DW46&gt;EC46,DR48,ED66))</f>
        <v/>
      </c>
      <c r="ED38" s="548"/>
      <c r="EE38" s="548"/>
      <c r="EF38" s="548"/>
      <c r="EH38" s="75"/>
      <c r="EJ38" s="105"/>
    </row>
    <row r="39" spans="1:140" s="76" customFormat="1" ht="19.5" customHeight="1" x14ac:dyDescent="0.15">
      <c r="A39" s="110"/>
      <c r="C39" s="549"/>
      <c r="D39" s="549"/>
      <c r="E39" s="549"/>
      <c r="F39" s="549"/>
      <c r="G39" s="529"/>
      <c r="H39" s="530" t="s">
        <v>82</v>
      </c>
      <c r="I39" s="485"/>
      <c r="J39" s="485"/>
      <c r="K39" s="485"/>
      <c r="L39" s="485"/>
      <c r="M39" s="485"/>
      <c r="N39" s="485"/>
      <c r="O39" s="485"/>
      <c r="P39" s="485"/>
      <c r="Q39" s="485"/>
      <c r="R39" s="485"/>
      <c r="S39" s="485"/>
      <c r="T39" s="485"/>
      <c r="U39" s="485"/>
      <c r="V39" s="485"/>
      <c r="W39" s="485"/>
      <c r="X39" s="485"/>
      <c r="Y39" s="485"/>
      <c r="Z39" s="485"/>
      <c r="AA39" s="485"/>
      <c r="AB39" s="485"/>
      <c r="AC39" s="545"/>
      <c r="AD39" s="553"/>
      <c r="AE39" s="548"/>
      <c r="AF39" s="548"/>
      <c r="AG39" s="548"/>
      <c r="AH39" s="548"/>
      <c r="AM39" s="549"/>
      <c r="AN39" s="549"/>
      <c r="AO39" s="549"/>
      <c r="AP39" s="549"/>
      <c r="AQ39" s="529"/>
      <c r="AR39" s="530" t="s">
        <v>83</v>
      </c>
      <c r="AS39" s="485"/>
      <c r="AT39" s="485"/>
      <c r="AU39" s="485"/>
      <c r="AV39" s="485"/>
      <c r="AW39" s="485"/>
      <c r="AX39" s="485"/>
      <c r="AY39" s="485"/>
      <c r="AZ39" s="485"/>
      <c r="BA39" s="485"/>
      <c r="BB39" s="485"/>
      <c r="BC39" s="485"/>
      <c r="BD39" s="485"/>
      <c r="BE39" s="485"/>
      <c r="BF39" s="485"/>
      <c r="BG39" s="485"/>
      <c r="BH39" s="485"/>
      <c r="BI39" s="485"/>
      <c r="BJ39" s="485"/>
      <c r="BK39" s="485"/>
      <c r="BL39" s="485"/>
      <c r="BM39" s="529"/>
      <c r="BN39" s="530"/>
      <c r="BO39" s="548"/>
      <c r="BP39" s="548"/>
      <c r="BQ39" s="548"/>
      <c r="BR39" s="548"/>
      <c r="BW39" s="549"/>
      <c r="BX39" s="549"/>
      <c r="BY39" s="549"/>
      <c r="BZ39" s="549"/>
      <c r="CA39" s="529"/>
      <c r="CB39" s="530" t="s">
        <v>84</v>
      </c>
      <c r="CC39" s="485"/>
      <c r="CD39" s="485"/>
      <c r="CE39" s="485"/>
      <c r="CF39" s="485"/>
      <c r="CG39" s="485"/>
      <c r="CH39" s="485"/>
      <c r="CI39" s="485"/>
      <c r="CJ39" s="485"/>
      <c r="CK39" s="485"/>
      <c r="CL39" s="485"/>
      <c r="CM39" s="485"/>
      <c r="CN39" s="485"/>
      <c r="CO39" s="485"/>
      <c r="CP39" s="485"/>
      <c r="CQ39" s="485"/>
      <c r="CR39" s="485"/>
      <c r="CS39" s="485"/>
      <c r="CT39" s="485"/>
      <c r="CU39" s="485"/>
      <c r="CV39" s="485"/>
      <c r="CW39" s="529"/>
      <c r="CX39" s="530"/>
      <c r="CY39" s="548"/>
      <c r="CZ39" s="548"/>
      <c r="DA39" s="548"/>
      <c r="DB39" s="548"/>
      <c r="DF39" s="549"/>
      <c r="DG39" s="549"/>
      <c r="DH39" s="549"/>
      <c r="DI39" s="549"/>
      <c r="DJ39" s="529"/>
      <c r="DK39" s="530" t="s">
        <v>85</v>
      </c>
      <c r="DL39" s="485"/>
      <c r="DM39" s="485"/>
      <c r="DN39" s="485"/>
      <c r="DO39" s="485"/>
      <c r="DP39" s="485"/>
      <c r="DQ39" s="485"/>
      <c r="DR39" s="485"/>
      <c r="DS39" s="485"/>
      <c r="DT39" s="485"/>
      <c r="DU39" s="485"/>
      <c r="DV39" s="485"/>
      <c r="DW39" s="485"/>
      <c r="DX39" s="485"/>
      <c r="DY39" s="485"/>
      <c r="DZ39" s="485"/>
      <c r="EA39" s="529"/>
      <c r="EB39" s="530"/>
      <c r="EC39" s="548"/>
      <c r="ED39" s="548"/>
      <c r="EE39" s="548"/>
      <c r="EF39" s="548"/>
      <c r="EH39" s="75"/>
      <c r="EJ39" s="105"/>
    </row>
    <row r="40" spans="1:140" s="76" customFormat="1" ht="13.5" customHeight="1" x14ac:dyDescent="0.15">
      <c r="A40" s="110"/>
      <c r="C40" s="549"/>
      <c r="D40" s="549"/>
      <c r="E40" s="549"/>
      <c r="F40" s="549"/>
      <c r="G40" s="529"/>
      <c r="H40" s="530" t="s">
        <v>81</v>
      </c>
      <c r="I40" s="485"/>
      <c r="J40" s="485"/>
      <c r="K40" s="485"/>
      <c r="L40" s="485"/>
      <c r="M40" s="485"/>
      <c r="N40" s="485"/>
      <c r="O40" s="485"/>
      <c r="P40" s="485"/>
      <c r="Q40" s="485"/>
      <c r="R40" s="485"/>
      <c r="S40" s="485"/>
      <c r="T40" s="485"/>
      <c r="U40" s="485"/>
      <c r="V40" s="485"/>
      <c r="W40" s="485"/>
      <c r="X40" s="485"/>
      <c r="Y40" s="485"/>
      <c r="Z40" s="485"/>
      <c r="AA40" s="485"/>
      <c r="AB40" s="485"/>
      <c r="AC40" s="545"/>
      <c r="AD40" s="553"/>
      <c r="AE40" s="548"/>
      <c r="AF40" s="548"/>
      <c r="AG40" s="548"/>
      <c r="AH40" s="548"/>
      <c r="AM40" s="549"/>
      <c r="AN40" s="549"/>
      <c r="AO40" s="549"/>
      <c r="AP40" s="549"/>
      <c r="AQ40" s="529"/>
      <c r="AR40" s="530" t="s">
        <v>592</v>
      </c>
      <c r="AS40" s="485"/>
      <c r="AT40" s="485"/>
      <c r="AU40" s="485"/>
      <c r="AV40" s="485"/>
      <c r="AW40" s="485"/>
      <c r="AX40" s="485"/>
      <c r="AY40" s="485"/>
      <c r="AZ40" s="485"/>
      <c r="BA40" s="485"/>
      <c r="BB40" s="485"/>
      <c r="BC40" s="485"/>
      <c r="BD40" s="485"/>
      <c r="BE40" s="485"/>
      <c r="BF40" s="485"/>
      <c r="BG40" s="485"/>
      <c r="BH40" s="485"/>
      <c r="BI40" s="485"/>
      <c r="BJ40" s="485"/>
      <c r="BK40" s="485"/>
      <c r="BL40" s="485"/>
      <c r="BM40" s="529"/>
      <c r="BN40" s="530"/>
      <c r="BO40" s="548"/>
      <c r="BP40" s="548"/>
      <c r="BQ40" s="548"/>
      <c r="BR40" s="548"/>
      <c r="BW40" s="549"/>
      <c r="BX40" s="549"/>
      <c r="BY40" s="549"/>
      <c r="BZ40" s="549"/>
      <c r="CA40" s="529"/>
      <c r="CB40" s="530" t="s">
        <v>592</v>
      </c>
      <c r="CC40" s="485"/>
      <c r="CD40" s="485"/>
      <c r="CE40" s="485"/>
      <c r="CF40" s="485"/>
      <c r="CG40" s="485"/>
      <c r="CH40" s="485"/>
      <c r="CI40" s="485"/>
      <c r="CJ40" s="485"/>
      <c r="CK40" s="485"/>
      <c r="CL40" s="485"/>
      <c r="CM40" s="485"/>
      <c r="CN40" s="485"/>
      <c r="CO40" s="485"/>
      <c r="CP40" s="485"/>
      <c r="CQ40" s="485"/>
      <c r="CR40" s="485"/>
      <c r="CS40" s="485"/>
      <c r="CT40" s="485"/>
      <c r="CU40" s="485"/>
      <c r="CV40" s="485"/>
      <c r="CW40" s="529"/>
      <c r="CX40" s="530"/>
      <c r="CY40" s="548"/>
      <c r="CZ40" s="548"/>
      <c r="DA40" s="548"/>
      <c r="DB40" s="548"/>
      <c r="DF40" s="549"/>
      <c r="DG40" s="549"/>
      <c r="DH40" s="549"/>
      <c r="DI40" s="549"/>
      <c r="DJ40" s="529"/>
      <c r="DK40" s="530" t="s">
        <v>81</v>
      </c>
      <c r="DL40" s="485"/>
      <c r="DM40" s="485"/>
      <c r="DN40" s="485"/>
      <c r="DO40" s="485"/>
      <c r="DP40" s="485"/>
      <c r="DQ40" s="485"/>
      <c r="DR40" s="485"/>
      <c r="DS40" s="485"/>
      <c r="DT40" s="485"/>
      <c r="DU40" s="485"/>
      <c r="DV40" s="485"/>
      <c r="DW40" s="485"/>
      <c r="DX40" s="485"/>
      <c r="DY40" s="485"/>
      <c r="DZ40" s="485"/>
      <c r="EA40" s="529"/>
      <c r="EB40" s="530"/>
      <c r="EC40" s="548"/>
      <c r="ED40" s="548"/>
      <c r="EE40" s="548"/>
      <c r="EF40" s="548"/>
      <c r="EH40" s="75"/>
      <c r="EJ40" s="105"/>
    </row>
    <row r="41" spans="1:140" s="76" customFormat="1" ht="27" customHeight="1" x14ac:dyDescent="0.15">
      <c r="A41" s="110"/>
      <c r="C41" s="549"/>
      <c r="D41" s="549"/>
      <c r="E41" s="549"/>
      <c r="F41" s="549"/>
      <c r="G41" s="529"/>
      <c r="H41" s="596">
        <v>0.39583333333333331</v>
      </c>
      <c r="I41" s="595"/>
      <c r="J41" s="595"/>
      <c r="K41" s="595"/>
      <c r="L41" s="595"/>
      <c r="M41" s="595"/>
      <c r="N41" s="595"/>
      <c r="O41" s="595"/>
      <c r="P41" s="595"/>
      <c r="Q41" s="595"/>
      <c r="R41" s="595"/>
      <c r="S41" s="595"/>
      <c r="T41" s="595"/>
      <c r="U41" s="595"/>
      <c r="V41" s="595"/>
      <c r="W41" s="595"/>
      <c r="X41" s="595"/>
      <c r="Y41" s="595"/>
      <c r="Z41" s="595"/>
      <c r="AA41" s="595"/>
      <c r="AB41" s="595"/>
      <c r="AC41" s="604"/>
      <c r="AD41" s="553"/>
      <c r="AE41" s="548"/>
      <c r="AF41" s="548"/>
      <c r="AG41" s="548"/>
      <c r="AH41" s="548"/>
      <c r="AM41" s="549"/>
      <c r="AN41" s="549"/>
      <c r="AO41" s="549"/>
      <c r="AP41" s="549"/>
      <c r="AQ41" s="529"/>
      <c r="AR41" s="596">
        <v>0.39583333333333331</v>
      </c>
      <c r="AS41" s="595"/>
      <c r="AT41" s="595"/>
      <c r="AU41" s="595"/>
      <c r="AV41" s="595"/>
      <c r="AW41" s="595"/>
      <c r="AX41" s="595"/>
      <c r="AY41" s="595"/>
      <c r="AZ41" s="595"/>
      <c r="BA41" s="595"/>
      <c r="BB41" s="595"/>
      <c r="BC41" s="595"/>
      <c r="BD41" s="595"/>
      <c r="BE41" s="595"/>
      <c r="BF41" s="595"/>
      <c r="BG41" s="595"/>
      <c r="BH41" s="595"/>
      <c r="BI41" s="595"/>
      <c r="BJ41" s="595"/>
      <c r="BK41" s="595"/>
      <c r="BL41" s="595"/>
      <c r="BM41" s="603"/>
      <c r="BN41" s="530"/>
      <c r="BO41" s="548"/>
      <c r="BP41" s="548"/>
      <c r="BQ41" s="548"/>
      <c r="BR41" s="548"/>
      <c r="BW41" s="549"/>
      <c r="BX41" s="549"/>
      <c r="BY41" s="549"/>
      <c r="BZ41" s="549"/>
      <c r="CA41" s="529"/>
      <c r="CB41" s="596">
        <v>0.4513888888888889</v>
      </c>
      <c r="CC41" s="595"/>
      <c r="CD41" s="595"/>
      <c r="CE41" s="595"/>
      <c r="CF41" s="595"/>
      <c r="CG41" s="595"/>
      <c r="CH41" s="595"/>
      <c r="CI41" s="595"/>
      <c r="CJ41" s="595"/>
      <c r="CK41" s="595"/>
      <c r="CL41" s="595"/>
      <c r="CM41" s="595"/>
      <c r="CN41" s="595"/>
      <c r="CO41" s="595"/>
      <c r="CP41" s="595"/>
      <c r="CQ41" s="595"/>
      <c r="CR41" s="595"/>
      <c r="CS41" s="595"/>
      <c r="CT41" s="595"/>
      <c r="CU41" s="595"/>
      <c r="CV41" s="595"/>
      <c r="CW41" s="603"/>
      <c r="CX41" s="530"/>
      <c r="CY41" s="548"/>
      <c r="CZ41" s="548"/>
      <c r="DA41" s="548"/>
      <c r="DB41" s="548"/>
      <c r="DF41" s="549"/>
      <c r="DG41" s="549"/>
      <c r="DH41" s="549"/>
      <c r="DI41" s="549"/>
      <c r="DJ41" s="529"/>
      <c r="DK41" s="596">
        <v>0.4513888888888889</v>
      </c>
      <c r="DL41" s="595"/>
      <c r="DM41" s="595"/>
      <c r="DN41" s="595"/>
      <c r="DO41" s="595"/>
      <c r="DP41" s="595"/>
      <c r="DQ41" s="595"/>
      <c r="DR41" s="595"/>
      <c r="DS41" s="595"/>
      <c r="DT41" s="595"/>
      <c r="DU41" s="595"/>
      <c r="DV41" s="595"/>
      <c r="DW41" s="595"/>
      <c r="DX41" s="595"/>
      <c r="DY41" s="595"/>
      <c r="DZ41" s="595"/>
      <c r="EA41" s="603"/>
      <c r="EB41" s="530"/>
      <c r="EC41" s="548"/>
      <c r="ED41" s="548"/>
      <c r="EE41" s="548"/>
      <c r="EF41" s="548"/>
      <c r="EH41" s="75"/>
      <c r="EJ41" s="105"/>
    </row>
    <row r="42" spans="1:140" s="123" customFormat="1" ht="6" customHeight="1" x14ac:dyDescent="0.2">
      <c r="A42" s="122"/>
      <c r="C42" s="549"/>
      <c r="D42" s="549"/>
      <c r="E42" s="549"/>
      <c r="F42" s="549"/>
      <c r="G42" s="529"/>
      <c r="N42" s="120"/>
      <c r="O42" s="120"/>
      <c r="P42" s="120"/>
      <c r="Q42" s="499"/>
      <c r="R42" s="499"/>
      <c r="S42" s="499"/>
      <c r="T42" s="499"/>
      <c r="X42" s="121"/>
      <c r="Y42" s="121"/>
      <c r="Z42" s="121"/>
      <c r="AA42" s="119"/>
      <c r="AB42" s="119"/>
      <c r="AD42" s="553"/>
      <c r="AE42" s="548"/>
      <c r="AF42" s="548"/>
      <c r="AG42" s="548"/>
      <c r="AH42" s="548"/>
      <c r="AM42" s="549"/>
      <c r="AN42" s="549"/>
      <c r="AO42" s="549"/>
      <c r="AP42" s="549"/>
      <c r="AQ42" s="529"/>
      <c r="AX42" s="120"/>
      <c r="AY42" s="120"/>
      <c r="AZ42" s="120"/>
      <c r="BA42" s="499"/>
      <c r="BB42" s="499"/>
      <c r="BC42" s="499"/>
      <c r="BD42" s="499"/>
      <c r="BE42" s="121"/>
      <c r="BF42" s="121"/>
      <c r="BG42" s="121"/>
      <c r="BN42" s="530"/>
      <c r="BO42" s="548"/>
      <c r="BP42" s="548"/>
      <c r="BQ42" s="548"/>
      <c r="BR42" s="548"/>
      <c r="BW42" s="549"/>
      <c r="BX42" s="549"/>
      <c r="BY42" s="549"/>
      <c r="BZ42" s="549"/>
      <c r="CA42" s="529"/>
      <c r="CH42" s="120"/>
      <c r="CI42" s="120"/>
      <c r="CJ42" s="120"/>
      <c r="CK42" s="499"/>
      <c r="CL42" s="499"/>
      <c r="CM42" s="499"/>
      <c r="CN42" s="499"/>
      <c r="CO42" s="121"/>
      <c r="CP42" s="121"/>
      <c r="CQ42" s="121"/>
      <c r="CX42" s="530"/>
      <c r="CY42" s="548"/>
      <c r="CZ42" s="548"/>
      <c r="DA42" s="548"/>
      <c r="DB42" s="548"/>
      <c r="DF42" s="549"/>
      <c r="DG42" s="549"/>
      <c r="DH42" s="549"/>
      <c r="DI42" s="549"/>
      <c r="DJ42" s="529"/>
      <c r="DL42" s="120"/>
      <c r="DM42" s="120"/>
      <c r="DN42" s="120"/>
      <c r="DO42" s="120"/>
      <c r="DP42" s="120"/>
      <c r="DQ42" s="120"/>
      <c r="DR42" s="499"/>
      <c r="DS42" s="499"/>
      <c r="DT42" s="499"/>
      <c r="DU42" s="499"/>
      <c r="DV42" s="121"/>
      <c r="DW42" s="121"/>
      <c r="DX42" s="121"/>
      <c r="EB42" s="530"/>
      <c r="EC42" s="548"/>
      <c r="ED42" s="548"/>
      <c r="EE42" s="548"/>
      <c r="EF42" s="548"/>
      <c r="EH42" s="120"/>
      <c r="EJ42" s="124"/>
    </row>
    <row r="43" spans="1:140" s="76" customFormat="1" ht="6" customHeight="1" x14ac:dyDescent="0.15">
      <c r="A43" s="110"/>
      <c r="C43" s="549"/>
      <c r="D43" s="549"/>
      <c r="E43" s="549"/>
      <c r="F43" s="549"/>
      <c r="G43" s="529"/>
      <c r="N43" s="96"/>
      <c r="O43" s="96"/>
      <c r="P43" s="96"/>
      <c r="Q43" s="96"/>
      <c r="R43" s="501"/>
      <c r="S43" s="501"/>
      <c r="T43" s="131"/>
      <c r="U43" s="131"/>
      <c r="V43" s="131"/>
      <c r="W43" s="131"/>
      <c r="X43" s="131"/>
      <c r="Y43" s="131"/>
      <c r="Z43" s="131"/>
      <c r="AA43" s="119"/>
      <c r="AB43" s="119"/>
      <c r="AD43" s="553"/>
      <c r="AE43" s="548"/>
      <c r="AF43" s="548"/>
      <c r="AG43" s="548"/>
      <c r="AH43" s="548"/>
      <c r="AM43" s="549"/>
      <c r="AN43" s="549"/>
      <c r="AO43" s="549"/>
      <c r="AP43" s="549"/>
      <c r="AQ43" s="529"/>
      <c r="AX43" s="500"/>
      <c r="AY43" s="500"/>
      <c r="AZ43" s="500"/>
      <c r="BA43" s="500"/>
      <c r="BB43" s="501"/>
      <c r="BC43" s="501"/>
      <c r="BD43" s="498"/>
      <c r="BE43" s="498"/>
      <c r="BF43" s="498"/>
      <c r="BG43" s="498"/>
      <c r="BN43" s="530"/>
      <c r="BO43" s="548"/>
      <c r="BP43" s="548"/>
      <c r="BQ43" s="548"/>
      <c r="BR43" s="548"/>
      <c r="BW43" s="549"/>
      <c r="BX43" s="549"/>
      <c r="BY43" s="549"/>
      <c r="BZ43" s="549"/>
      <c r="CA43" s="529"/>
      <c r="CH43" s="500"/>
      <c r="CI43" s="500"/>
      <c r="CJ43" s="500"/>
      <c r="CK43" s="500"/>
      <c r="CL43" s="501"/>
      <c r="CM43" s="501"/>
      <c r="CN43" s="498"/>
      <c r="CO43" s="498"/>
      <c r="CP43" s="498"/>
      <c r="CQ43" s="498"/>
      <c r="CX43" s="530"/>
      <c r="CY43" s="548"/>
      <c r="CZ43" s="548"/>
      <c r="DA43" s="548"/>
      <c r="DB43" s="548"/>
      <c r="DF43" s="549"/>
      <c r="DG43" s="549"/>
      <c r="DH43" s="549"/>
      <c r="DI43" s="549"/>
      <c r="DJ43" s="529"/>
      <c r="DL43" s="131"/>
      <c r="DM43" s="131"/>
      <c r="DN43" s="131"/>
      <c r="DO43" s="500"/>
      <c r="DP43" s="500"/>
      <c r="DQ43" s="500"/>
      <c r="DR43" s="500"/>
      <c r="DS43" s="501"/>
      <c r="DT43" s="501"/>
      <c r="DU43" s="498"/>
      <c r="DV43" s="498"/>
      <c r="DW43" s="498"/>
      <c r="DX43" s="498"/>
      <c r="EB43" s="530"/>
      <c r="EC43" s="548"/>
      <c r="ED43" s="548"/>
      <c r="EE43" s="548"/>
      <c r="EF43" s="548"/>
      <c r="EH43" s="75"/>
      <c r="EJ43" s="105"/>
    </row>
    <row r="44" spans="1:140" s="126" customFormat="1" ht="13.5" customHeight="1" x14ac:dyDescent="0.15">
      <c r="A44" s="125"/>
      <c r="B44" s="583">
        <f>EI5</f>
        <v>21</v>
      </c>
      <c r="C44" s="583"/>
      <c r="D44" s="583"/>
      <c r="E44" s="583"/>
      <c r="F44" s="583"/>
      <c r="G44" s="529"/>
      <c r="AD44" s="553"/>
      <c r="AQ44" s="529"/>
      <c r="BA44" s="526"/>
      <c r="BB44" s="526"/>
      <c r="BC44" s="526"/>
      <c r="BD44" s="526"/>
      <c r="BN44" s="530"/>
      <c r="CA44" s="529"/>
      <c r="CK44" s="526"/>
      <c r="CL44" s="526"/>
      <c r="CM44" s="526"/>
      <c r="CN44" s="526"/>
      <c r="CX44" s="530"/>
      <c r="DJ44" s="529"/>
      <c r="DR44" s="526"/>
      <c r="DS44" s="526"/>
      <c r="DT44" s="526"/>
      <c r="DU44" s="526"/>
      <c r="EB44" s="530"/>
      <c r="EH44" s="128"/>
      <c r="EJ44" s="127"/>
    </row>
    <row r="45" spans="1:140" s="76" customFormat="1" ht="13.5" customHeight="1" x14ac:dyDescent="0.15">
      <c r="A45" s="110"/>
      <c r="B45" s="58" t="s">
        <v>593</v>
      </c>
      <c r="C45" s="72"/>
      <c r="D45" s="72"/>
      <c r="E45" s="72"/>
      <c r="F45" s="72"/>
      <c r="G45" s="529"/>
      <c r="I45" s="537" t="str">
        <f>IF(I48="","",SUM(I48:I51))</f>
        <v/>
      </c>
      <c r="J45" s="537"/>
      <c r="K45" s="537"/>
      <c r="L45" s="537"/>
      <c r="Y45" s="538"/>
      <c r="Z45" s="538"/>
      <c r="AA45" s="538"/>
      <c r="AB45" s="538"/>
      <c r="AD45" s="553"/>
      <c r="AE45" s="537"/>
      <c r="AF45" s="537"/>
      <c r="AG45" s="537"/>
      <c r="AH45" s="537"/>
      <c r="AI45" s="72"/>
      <c r="AM45" s="538"/>
      <c r="AN45" s="538"/>
      <c r="AO45" s="538"/>
      <c r="AP45" s="538"/>
      <c r="AQ45" s="529"/>
      <c r="AS45" s="537"/>
      <c r="AT45" s="537"/>
      <c r="AU45" s="537"/>
      <c r="AV45" s="537"/>
      <c r="BI45" s="538"/>
      <c r="BJ45" s="538"/>
      <c r="BK45" s="538"/>
      <c r="BL45" s="538"/>
      <c r="BN45" s="530"/>
      <c r="BO45" s="537"/>
      <c r="BP45" s="537"/>
      <c r="BQ45" s="537"/>
      <c r="BR45" s="537"/>
      <c r="BW45" s="538"/>
      <c r="BX45" s="538"/>
      <c r="BY45" s="538"/>
      <c r="BZ45" s="538"/>
      <c r="CA45" s="529"/>
      <c r="CC45" s="537"/>
      <c r="CD45" s="537"/>
      <c r="CE45" s="537"/>
      <c r="CF45" s="537"/>
      <c r="CS45" s="538"/>
      <c r="CT45" s="538"/>
      <c r="CU45" s="538"/>
      <c r="CV45" s="538"/>
      <c r="CX45" s="530"/>
      <c r="CY45" s="537"/>
      <c r="CZ45" s="537"/>
      <c r="DA45" s="537"/>
      <c r="DB45" s="537"/>
      <c r="DF45" s="538"/>
      <c r="DG45" s="538"/>
      <c r="DH45" s="538"/>
      <c r="DI45" s="538"/>
      <c r="DJ45" s="529"/>
      <c r="DL45" s="537"/>
      <c r="DM45" s="537"/>
      <c r="DN45" s="537"/>
      <c r="DO45" s="537"/>
      <c r="DW45" s="538"/>
      <c r="DX45" s="538"/>
      <c r="DY45" s="538"/>
      <c r="DZ45" s="538"/>
      <c r="EB45" s="530"/>
      <c r="EC45" s="537" t="str">
        <f>IF(EC48="","",SUM(EC48:EC51))</f>
        <v/>
      </c>
      <c r="ED45" s="537"/>
      <c r="EE45" s="537"/>
      <c r="EF45" s="537"/>
      <c r="EH45" s="75"/>
      <c r="EJ45" s="105" t="s">
        <v>625</v>
      </c>
    </row>
    <row r="46" spans="1:140" s="114" customFormat="1" ht="13.5" hidden="1" customHeight="1" x14ac:dyDescent="0.15">
      <c r="A46" s="129"/>
      <c r="C46" s="539"/>
      <c r="D46" s="539"/>
      <c r="E46" s="539"/>
      <c r="F46" s="539"/>
      <c r="G46" s="529"/>
      <c r="I46" s="540"/>
      <c r="J46" s="540"/>
      <c r="K46" s="540"/>
      <c r="L46" s="540"/>
      <c r="Y46" s="539"/>
      <c r="Z46" s="539"/>
      <c r="AA46" s="539"/>
      <c r="AB46" s="539"/>
      <c r="AD46" s="553"/>
      <c r="AE46" s="540"/>
      <c r="AF46" s="540"/>
      <c r="AG46" s="540"/>
      <c r="AH46" s="540"/>
      <c r="AI46" s="130"/>
      <c r="AM46" s="539"/>
      <c r="AN46" s="539"/>
      <c r="AO46" s="539"/>
      <c r="AP46" s="539"/>
      <c r="AQ46" s="529"/>
      <c r="AS46" s="540"/>
      <c r="AT46" s="540"/>
      <c r="AU46" s="540"/>
      <c r="AV46" s="540"/>
      <c r="BI46" s="539"/>
      <c r="BJ46" s="539"/>
      <c r="BK46" s="539"/>
      <c r="BL46" s="539"/>
      <c r="BN46" s="530"/>
      <c r="BO46" s="540"/>
      <c r="BP46" s="540"/>
      <c r="BQ46" s="540"/>
      <c r="BR46" s="540"/>
      <c r="BW46" s="539"/>
      <c r="BX46" s="539"/>
      <c r="BY46" s="539"/>
      <c r="BZ46" s="539"/>
      <c r="CA46" s="529"/>
      <c r="CC46" s="540"/>
      <c r="CD46" s="540"/>
      <c r="CE46" s="540"/>
      <c r="CF46" s="540"/>
      <c r="CS46" s="539"/>
      <c r="CT46" s="539"/>
      <c r="CU46" s="539"/>
      <c r="CV46" s="539"/>
      <c r="CX46" s="530"/>
      <c r="CY46" s="540"/>
      <c r="CZ46" s="540"/>
      <c r="DA46" s="540"/>
      <c r="DB46" s="540"/>
      <c r="DF46" s="539"/>
      <c r="DG46" s="539"/>
      <c r="DH46" s="539"/>
      <c r="DI46" s="539"/>
      <c r="DJ46" s="529"/>
      <c r="DL46" s="540"/>
      <c r="DM46" s="540"/>
      <c r="DN46" s="540"/>
      <c r="DO46" s="540"/>
      <c r="DW46" s="539"/>
      <c r="DX46" s="539"/>
      <c r="DY46" s="539"/>
      <c r="DZ46" s="539"/>
      <c r="EB46" s="530"/>
      <c r="EC46" s="540"/>
      <c r="ED46" s="540"/>
      <c r="EE46" s="540"/>
      <c r="EF46" s="540"/>
      <c r="EH46" s="116"/>
      <c r="EJ46" s="115"/>
    </row>
    <row r="47" spans="1:140" s="76" customFormat="1" ht="3.75" customHeight="1" thickBot="1" x14ac:dyDescent="0.2">
      <c r="A47" s="110"/>
      <c r="D47" s="534"/>
      <c r="E47" s="534"/>
      <c r="F47" s="534"/>
      <c r="G47" s="536"/>
      <c r="H47" s="535"/>
      <c r="I47" s="534"/>
      <c r="J47" s="534"/>
      <c r="K47" s="534"/>
      <c r="L47" s="534"/>
      <c r="Y47" s="556"/>
      <c r="Z47" s="556"/>
      <c r="AA47" s="556"/>
      <c r="AB47" s="556"/>
      <c r="AC47" s="557"/>
      <c r="AD47" s="560"/>
      <c r="AE47" s="556"/>
      <c r="AF47" s="556"/>
      <c r="AG47" s="556"/>
      <c r="AN47" s="534"/>
      <c r="AO47" s="534"/>
      <c r="AP47" s="534"/>
      <c r="AQ47" s="536"/>
      <c r="AR47" s="535"/>
      <c r="AS47" s="534"/>
      <c r="AT47" s="534"/>
      <c r="AU47" s="534"/>
      <c r="AV47" s="534"/>
      <c r="BI47" s="534"/>
      <c r="BJ47" s="534"/>
      <c r="BK47" s="534"/>
      <c r="BL47" s="534"/>
      <c r="BM47" s="536"/>
      <c r="BN47" s="535"/>
      <c r="BO47" s="534"/>
      <c r="BP47" s="534"/>
      <c r="BQ47" s="534"/>
      <c r="BX47" s="534"/>
      <c r="BY47" s="534"/>
      <c r="BZ47" s="534"/>
      <c r="CA47" s="536"/>
      <c r="CB47" s="535"/>
      <c r="CC47" s="534"/>
      <c r="CD47" s="534"/>
      <c r="CE47" s="534"/>
      <c r="CF47" s="534"/>
      <c r="CS47" s="534"/>
      <c r="CT47" s="534"/>
      <c r="CU47" s="534"/>
      <c r="CV47" s="534"/>
      <c r="CW47" s="536"/>
      <c r="CX47" s="535"/>
      <c r="CY47" s="534"/>
      <c r="CZ47" s="534"/>
      <c r="DA47" s="534"/>
      <c r="DF47" s="72"/>
      <c r="DG47" s="72"/>
      <c r="DH47" s="556"/>
      <c r="DI47" s="556"/>
      <c r="DJ47" s="559"/>
      <c r="DK47" s="558"/>
      <c r="DL47" s="556"/>
      <c r="DM47" s="556"/>
      <c r="DW47" s="534"/>
      <c r="DX47" s="534"/>
      <c r="DY47" s="534"/>
      <c r="DZ47" s="534"/>
      <c r="EA47" s="536"/>
      <c r="EB47" s="535"/>
      <c r="EC47" s="534"/>
      <c r="ED47" s="534"/>
      <c r="EE47" s="534"/>
      <c r="EH47" s="75"/>
      <c r="EJ47" s="105"/>
    </row>
    <row r="48" spans="1:140" s="76" customFormat="1" ht="13.5" customHeight="1" thickTop="1" x14ac:dyDescent="0.15">
      <c r="A48" s="110"/>
      <c r="C48" s="529"/>
      <c r="D48" s="542"/>
      <c r="E48" s="542"/>
      <c r="F48" s="542"/>
      <c r="G48" s="485"/>
      <c r="H48" s="485"/>
      <c r="I48" s="498"/>
      <c r="J48" s="498"/>
      <c r="K48" s="498"/>
      <c r="L48" s="498"/>
      <c r="M48" s="530"/>
      <c r="N48" s="548"/>
      <c r="O48" s="548"/>
      <c r="P48" s="548"/>
      <c r="Q48" s="548"/>
      <c r="R48" s="139"/>
      <c r="S48" s="139"/>
      <c r="T48" s="549"/>
      <c r="U48" s="549"/>
      <c r="V48" s="549"/>
      <c r="W48" s="549"/>
      <c r="X48" s="529"/>
      <c r="Y48" s="500"/>
      <c r="Z48" s="500"/>
      <c r="AA48" s="500"/>
      <c r="AB48" s="500"/>
      <c r="AC48" s="485"/>
      <c r="AD48" s="485"/>
      <c r="AE48" s="498"/>
      <c r="AF48" s="498"/>
      <c r="AG48" s="498"/>
      <c r="AH48" s="530"/>
      <c r="AM48" s="529"/>
      <c r="AN48" s="542"/>
      <c r="AO48" s="542"/>
      <c r="AP48" s="542"/>
      <c r="AQ48" s="485"/>
      <c r="AR48" s="485"/>
      <c r="AS48" s="498"/>
      <c r="AT48" s="498"/>
      <c r="AU48" s="498"/>
      <c r="AV48" s="498"/>
      <c r="AW48" s="530"/>
      <c r="AX48" s="548"/>
      <c r="AY48" s="548"/>
      <c r="AZ48" s="548"/>
      <c r="BA48" s="548"/>
      <c r="BD48" s="549"/>
      <c r="BE48" s="549"/>
      <c r="BF48" s="549"/>
      <c r="BG48" s="549"/>
      <c r="BH48" s="529"/>
      <c r="BI48" s="500"/>
      <c r="BJ48" s="500"/>
      <c r="BK48" s="500"/>
      <c r="BL48" s="500"/>
      <c r="BM48" s="485"/>
      <c r="BN48" s="485"/>
      <c r="BO48" s="498"/>
      <c r="BP48" s="498"/>
      <c r="BQ48" s="498"/>
      <c r="BR48" s="530"/>
      <c r="BW48" s="529"/>
      <c r="BX48" s="542"/>
      <c r="BY48" s="542"/>
      <c r="BZ48" s="542"/>
      <c r="CA48" s="485"/>
      <c r="CB48" s="485"/>
      <c r="CC48" s="498"/>
      <c r="CD48" s="498"/>
      <c r="CE48" s="498"/>
      <c r="CF48" s="498"/>
      <c r="CG48" s="530"/>
      <c r="CH48" s="548"/>
      <c r="CI48" s="548"/>
      <c r="CJ48" s="548"/>
      <c r="CK48" s="548"/>
      <c r="CN48" s="549"/>
      <c r="CO48" s="549"/>
      <c r="CP48" s="549"/>
      <c r="CQ48" s="549"/>
      <c r="CR48" s="529"/>
      <c r="CS48" s="500"/>
      <c r="CT48" s="500"/>
      <c r="CU48" s="500"/>
      <c r="CV48" s="500"/>
      <c r="CW48" s="485"/>
      <c r="CX48" s="485"/>
      <c r="CY48" s="498"/>
      <c r="CZ48" s="498"/>
      <c r="DA48" s="498"/>
      <c r="DB48" s="530"/>
      <c r="DG48" s="545"/>
      <c r="DH48" s="500"/>
      <c r="DI48" s="500"/>
      <c r="DJ48" s="485"/>
      <c r="DK48" s="485"/>
      <c r="DL48" s="498"/>
      <c r="DM48" s="498"/>
      <c r="DN48" s="553"/>
      <c r="DO48" s="139"/>
      <c r="DR48" s="549"/>
      <c r="DS48" s="549"/>
      <c r="DT48" s="549"/>
      <c r="DU48" s="549"/>
      <c r="DV48" s="529"/>
      <c r="DW48" s="500"/>
      <c r="DX48" s="500"/>
      <c r="DY48" s="500"/>
      <c r="DZ48" s="500"/>
      <c r="EA48" s="485"/>
      <c r="EB48" s="485"/>
      <c r="EC48" s="498"/>
      <c r="ED48" s="498"/>
      <c r="EE48" s="498"/>
      <c r="EF48" s="530"/>
      <c r="EH48" s="75"/>
      <c r="EJ48" s="105" t="s">
        <v>86</v>
      </c>
    </row>
    <row r="49" spans="1:141" s="76" customFormat="1" ht="13.5" customHeight="1" x14ac:dyDescent="0.15">
      <c r="A49" s="110"/>
      <c r="C49" s="529"/>
      <c r="D49" s="584" t="s">
        <v>86</v>
      </c>
      <c r="E49" s="585"/>
      <c r="F49" s="585"/>
      <c r="G49" s="585"/>
      <c r="H49" s="585"/>
      <c r="I49" s="585"/>
      <c r="J49" s="585"/>
      <c r="K49" s="585"/>
      <c r="L49" s="586"/>
      <c r="M49" s="530"/>
      <c r="N49" s="548"/>
      <c r="O49" s="548"/>
      <c r="P49" s="548"/>
      <c r="Q49" s="548"/>
      <c r="R49" s="139"/>
      <c r="S49" s="139"/>
      <c r="T49" s="549"/>
      <c r="U49" s="549"/>
      <c r="V49" s="549"/>
      <c r="W49" s="549"/>
      <c r="X49" s="529"/>
      <c r="Y49" s="587" t="s">
        <v>55</v>
      </c>
      <c r="Z49" s="588"/>
      <c r="AA49" s="588"/>
      <c r="AB49" s="588"/>
      <c r="AC49" s="588"/>
      <c r="AD49" s="588"/>
      <c r="AE49" s="588"/>
      <c r="AF49" s="588"/>
      <c r="AG49" s="589"/>
      <c r="AH49" s="530"/>
      <c r="AM49" s="529"/>
      <c r="AN49" s="584" t="s">
        <v>55</v>
      </c>
      <c r="AO49" s="585"/>
      <c r="AP49" s="585"/>
      <c r="AQ49" s="585"/>
      <c r="AR49" s="585"/>
      <c r="AS49" s="585"/>
      <c r="AT49" s="585"/>
      <c r="AU49" s="585"/>
      <c r="AV49" s="586"/>
      <c r="AW49" s="530"/>
      <c r="AX49" s="548"/>
      <c r="AY49" s="548"/>
      <c r="AZ49" s="548"/>
      <c r="BA49" s="548"/>
      <c r="BD49" s="549"/>
      <c r="BE49" s="549"/>
      <c r="BF49" s="549"/>
      <c r="BG49" s="549"/>
      <c r="BH49" s="529"/>
      <c r="BI49" s="587" t="s">
        <v>604</v>
      </c>
      <c r="BJ49" s="588"/>
      <c r="BK49" s="588"/>
      <c r="BL49" s="588"/>
      <c r="BM49" s="588"/>
      <c r="BN49" s="588"/>
      <c r="BO49" s="588"/>
      <c r="BP49" s="588"/>
      <c r="BQ49" s="589"/>
      <c r="BR49" s="530"/>
      <c r="BW49" s="529"/>
      <c r="BX49" s="584" t="s">
        <v>604</v>
      </c>
      <c r="BY49" s="585"/>
      <c r="BZ49" s="585"/>
      <c r="CA49" s="585"/>
      <c r="CB49" s="585"/>
      <c r="CC49" s="585"/>
      <c r="CD49" s="585"/>
      <c r="CE49" s="585"/>
      <c r="CF49" s="586"/>
      <c r="CG49" s="530"/>
      <c r="CH49" s="548"/>
      <c r="CI49" s="548"/>
      <c r="CJ49" s="548"/>
      <c r="CK49" s="548"/>
      <c r="CN49" s="549"/>
      <c r="CO49" s="549"/>
      <c r="CP49" s="549"/>
      <c r="CQ49" s="549"/>
      <c r="CR49" s="529"/>
      <c r="CS49" s="587" t="s">
        <v>86</v>
      </c>
      <c r="CT49" s="588"/>
      <c r="CU49" s="588"/>
      <c r="CV49" s="588"/>
      <c r="CW49" s="588"/>
      <c r="CX49" s="588"/>
      <c r="CY49" s="588"/>
      <c r="CZ49" s="588"/>
      <c r="DA49" s="589"/>
      <c r="DB49" s="530"/>
      <c r="DG49" s="545"/>
      <c r="DH49" s="590" t="s">
        <v>55</v>
      </c>
      <c r="DI49" s="588"/>
      <c r="DJ49" s="588"/>
      <c r="DK49" s="588"/>
      <c r="DL49" s="588"/>
      <c r="DM49" s="591"/>
      <c r="DN49" s="553"/>
      <c r="DO49" s="139"/>
      <c r="DR49" s="549"/>
      <c r="DS49" s="549"/>
      <c r="DT49" s="549"/>
      <c r="DU49" s="549"/>
      <c r="DV49" s="529"/>
      <c r="DW49" s="587" t="s">
        <v>604</v>
      </c>
      <c r="DX49" s="588"/>
      <c r="DY49" s="588"/>
      <c r="DZ49" s="588"/>
      <c r="EA49" s="588"/>
      <c r="EB49" s="588"/>
      <c r="EC49" s="588"/>
      <c r="ED49" s="588"/>
      <c r="EE49" s="589"/>
      <c r="EF49" s="530"/>
      <c r="EH49" s="75"/>
      <c r="EJ49" s="105" t="s">
        <v>604</v>
      </c>
    </row>
    <row r="50" spans="1:141" s="76" customFormat="1" ht="13.5" customHeight="1" x14ac:dyDescent="0.2">
      <c r="A50" s="110"/>
      <c r="C50" s="529"/>
      <c r="D50" s="141"/>
      <c r="E50" s="141"/>
      <c r="F50" s="499"/>
      <c r="G50" s="499"/>
      <c r="H50" s="499"/>
      <c r="I50" s="499"/>
      <c r="J50" s="121"/>
      <c r="K50" s="121"/>
      <c r="L50" s="121"/>
      <c r="M50" s="530"/>
      <c r="N50" s="548"/>
      <c r="O50" s="548"/>
      <c r="P50" s="548"/>
      <c r="Q50" s="548"/>
      <c r="R50" s="139"/>
      <c r="S50" s="139"/>
      <c r="T50" s="549"/>
      <c r="U50" s="549"/>
      <c r="V50" s="549"/>
      <c r="W50" s="549"/>
      <c r="X50" s="529"/>
      <c r="Y50" s="120"/>
      <c r="Z50" s="120"/>
      <c r="AA50" s="120"/>
      <c r="AB50" s="499"/>
      <c r="AC50" s="499"/>
      <c r="AD50" s="499"/>
      <c r="AE50" s="499"/>
      <c r="AF50" s="121"/>
      <c r="AG50" s="121"/>
      <c r="AH50" s="530"/>
      <c r="AM50" s="529"/>
      <c r="AN50" s="141"/>
      <c r="AO50" s="141"/>
      <c r="AP50" s="499"/>
      <c r="AQ50" s="499"/>
      <c r="AR50" s="499"/>
      <c r="AS50" s="499"/>
      <c r="AT50" s="121"/>
      <c r="AU50" s="121"/>
      <c r="AV50" s="121"/>
      <c r="AW50" s="530"/>
      <c r="AX50" s="548"/>
      <c r="AY50" s="548"/>
      <c r="AZ50" s="548"/>
      <c r="BA50" s="548"/>
      <c r="BD50" s="549"/>
      <c r="BE50" s="549"/>
      <c r="BF50" s="549"/>
      <c r="BG50" s="549"/>
      <c r="BH50" s="529"/>
      <c r="BI50" s="120"/>
      <c r="BJ50" s="120"/>
      <c r="BK50" s="120"/>
      <c r="BL50" s="499"/>
      <c r="BM50" s="499"/>
      <c r="BN50" s="499"/>
      <c r="BO50" s="499"/>
      <c r="BP50" s="121"/>
      <c r="BQ50" s="121"/>
      <c r="BR50" s="530"/>
      <c r="BW50" s="529"/>
      <c r="BX50" s="141"/>
      <c r="BY50" s="141"/>
      <c r="BZ50" s="499"/>
      <c r="CA50" s="499"/>
      <c r="CB50" s="499"/>
      <c r="CC50" s="499"/>
      <c r="CD50" s="121"/>
      <c r="CE50" s="121"/>
      <c r="CF50" s="121"/>
      <c r="CG50" s="530"/>
      <c r="CH50" s="548"/>
      <c r="CI50" s="548"/>
      <c r="CJ50" s="548"/>
      <c r="CK50" s="548"/>
      <c r="CN50" s="549"/>
      <c r="CO50" s="549"/>
      <c r="CP50" s="549"/>
      <c r="CQ50" s="549"/>
      <c r="CR50" s="529"/>
      <c r="CS50" s="120"/>
      <c r="CT50" s="120"/>
      <c r="CU50" s="120"/>
      <c r="CV50" s="499"/>
      <c r="CW50" s="499"/>
      <c r="CX50" s="499"/>
      <c r="CY50" s="499"/>
      <c r="CZ50" s="121"/>
      <c r="DA50" s="121"/>
      <c r="DB50" s="530"/>
      <c r="DF50" s="140"/>
      <c r="DG50" s="545"/>
      <c r="DH50" s="120"/>
      <c r="DI50" s="499"/>
      <c r="DJ50" s="499"/>
      <c r="DK50" s="499"/>
      <c r="DL50" s="499"/>
      <c r="DM50" s="121"/>
      <c r="DN50" s="553"/>
      <c r="DO50" s="139"/>
      <c r="DR50" s="549"/>
      <c r="DS50" s="549"/>
      <c r="DT50" s="549"/>
      <c r="DU50" s="549"/>
      <c r="DV50" s="529"/>
      <c r="DW50" s="120"/>
      <c r="DX50" s="120"/>
      <c r="DY50" s="120"/>
      <c r="DZ50" s="499"/>
      <c r="EA50" s="499"/>
      <c r="EB50" s="499"/>
      <c r="EC50" s="499"/>
      <c r="ED50" s="121"/>
      <c r="EE50" s="121"/>
      <c r="EF50" s="530"/>
      <c r="EH50" s="75"/>
      <c r="EJ50" s="105" t="s">
        <v>55</v>
      </c>
    </row>
    <row r="51" spans="1:141" s="76" customFormat="1" ht="13.5" customHeight="1" x14ac:dyDescent="0.15">
      <c r="A51" s="110"/>
      <c r="C51" s="529"/>
      <c r="D51" s="597">
        <v>0.54166666666666663</v>
      </c>
      <c r="E51" s="585"/>
      <c r="F51" s="585"/>
      <c r="G51" s="585"/>
      <c r="H51" s="585"/>
      <c r="I51" s="585"/>
      <c r="J51" s="585"/>
      <c r="K51" s="585"/>
      <c r="L51" s="586"/>
      <c r="M51" s="530"/>
      <c r="N51" s="548"/>
      <c r="O51" s="548"/>
      <c r="P51" s="548"/>
      <c r="Q51" s="548"/>
      <c r="R51" s="139"/>
      <c r="S51" s="139"/>
      <c r="T51" s="549"/>
      <c r="U51" s="549"/>
      <c r="V51" s="549"/>
      <c r="W51" s="549"/>
      <c r="X51" s="529"/>
      <c r="Y51" s="592">
        <v>0.59722222222222221</v>
      </c>
      <c r="Z51" s="588"/>
      <c r="AA51" s="588"/>
      <c r="AB51" s="588"/>
      <c r="AC51" s="588"/>
      <c r="AD51" s="588"/>
      <c r="AE51" s="588"/>
      <c r="AF51" s="588"/>
      <c r="AG51" s="589"/>
      <c r="AH51" s="530"/>
      <c r="AM51" s="529"/>
      <c r="AN51" s="597">
        <v>0.54166666666666663</v>
      </c>
      <c r="AO51" s="585"/>
      <c r="AP51" s="585"/>
      <c r="AQ51" s="585"/>
      <c r="AR51" s="585"/>
      <c r="AS51" s="585"/>
      <c r="AT51" s="585"/>
      <c r="AU51" s="585"/>
      <c r="AV51" s="586"/>
      <c r="AW51" s="530"/>
      <c r="AX51" s="548"/>
      <c r="AY51" s="548"/>
      <c r="AZ51" s="548"/>
      <c r="BA51" s="548"/>
      <c r="BD51" s="549"/>
      <c r="BE51" s="549"/>
      <c r="BF51" s="549"/>
      <c r="BG51" s="549"/>
      <c r="BH51" s="529"/>
      <c r="BI51" s="592">
        <v>0.58333333333333337</v>
      </c>
      <c r="BJ51" s="588"/>
      <c r="BK51" s="588"/>
      <c r="BL51" s="588"/>
      <c r="BM51" s="588"/>
      <c r="BN51" s="588"/>
      <c r="BO51" s="588"/>
      <c r="BP51" s="588"/>
      <c r="BQ51" s="589"/>
      <c r="BR51" s="530"/>
      <c r="BW51" s="529"/>
      <c r="BX51" s="597">
        <v>0.52777777777777779</v>
      </c>
      <c r="BY51" s="585"/>
      <c r="BZ51" s="585"/>
      <c r="CA51" s="585"/>
      <c r="CB51" s="585"/>
      <c r="CC51" s="585"/>
      <c r="CD51" s="585"/>
      <c r="CE51" s="585"/>
      <c r="CF51" s="586"/>
      <c r="CG51" s="530"/>
      <c r="CH51" s="548"/>
      <c r="CI51" s="548"/>
      <c r="CJ51" s="548"/>
      <c r="CK51" s="548"/>
      <c r="CN51" s="549"/>
      <c r="CO51" s="549"/>
      <c r="CP51" s="549"/>
      <c r="CQ51" s="549"/>
      <c r="CR51" s="529"/>
      <c r="CS51" s="592">
        <v>0.59722222222222221</v>
      </c>
      <c r="CT51" s="588"/>
      <c r="CU51" s="588"/>
      <c r="CV51" s="588"/>
      <c r="CW51" s="588"/>
      <c r="CX51" s="588"/>
      <c r="CY51" s="588"/>
      <c r="CZ51" s="588"/>
      <c r="DA51" s="589"/>
      <c r="DB51" s="530"/>
      <c r="DF51" s="140"/>
      <c r="DG51" s="545"/>
      <c r="DH51" s="602">
        <v>0.4861111111111111</v>
      </c>
      <c r="DI51" s="588"/>
      <c r="DJ51" s="588"/>
      <c r="DK51" s="588"/>
      <c r="DL51" s="588"/>
      <c r="DM51" s="591"/>
      <c r="DN51" s="553"/>
      <c r="DO51" s="139"/>
      <c r="DR51" s="549"/>
      <c r="DS51" s="549"/>
      <c r="DT51" s="549"/>
      <c r="DU51" s="549"/>
      <c r="DV51" s="529"/>
      <c r="DW51" s="592">
        <v>0.63888888888888884</v>
      </c>
      <c r="DX51" s="588"/>
      <c r="DY51" s="588"/>
      <c r="DZ51" s="588"/>
      <c r="EA51" s="588"/>
      <c r="EB51" s="588"/>
      <c r="EC51" s="588"/>
      <c r="ED51" s="588"/>
      <c r="EE51" s="589"/>
      <c r="EF51" s="530"/>
      <c r="EH51" s="75"/>
      <c r="EJ51" s="105"/>
    </row>
    <row r="52" spans="1:141" s="123" customFormat="1" ht="13.5" customHeight="1" x14ac:dyDescent="0.2">
      <c r="A52" s="122"/>
      <c r="C52" s="529"/>
      <c r="D52" s="141"/>
      <c r="E52" s="141"/>
      <c r="F52" s="499"/>
      <c r="G52" s="499"/>
      <c r="H52" s="499"/>
      <c r="I52" s="499"/>
      <c r="J52" s="121"/>
      <c r="K52" s="121"/>
      <c r="L52" s="121"/>
      <c r="M52" s="530"/>
      <c r="N52" s="548"/>
      <c r="O52" s="548"/>
      <c r="P52" s="548"/>
      <c r="Q52" s="548"/>
      <c r="R52" s="139"/>
      <c r="S52" s="139"/>
      <c r="T52" s="549"/>
      <c r="U52" s="549"/>
      <c r="V52" s="549"/>
      <c r="W52" s="549"/>
      <c r="X52" s="529"/>
      <c r="Y52" s="120"/>
      <c r="Z52" s="120"/>
      <c r="AA52" s="120"/>
      <c r="AB52" s="499"/>
      <c r="AC52" s="499"/>
      <c r="AD52" s="499"/>
      <c r="AE52" s="499"/>
      <c r="AF52" s="121"/>
      <c r="AG52" s="121"/>
      <c r="AH52" s="530"/>
      <c r="AM52" s="529"/>
      <c r="AN52" s="141"/>
      <c r="AO52" s="141"/>
      <c r="AP52" s="499"/>
      <c r="AQ52" s="499"/>
      <c r="AR52" s="499"/>
      <c r="AS52" s="499"/>
      <c r="AT52" s="121"/>
      <c r="AU52" s="121"/>
      <c r="AV52" s="121"/>
      <c r="AW52" s="530"/>
      <c r="AX52" s="548"/>
      <c r="AY52" s="548"/>
      <c r="AZ52" s="548"/>
      <c r="BA52" s="548"/>
      <c r="BD52" s="549"/>
      <c r="BE52" s="549"/>
      <c r="BF52" s="549"/>
      <c r="BG52" s="549"/>
      <c r="BH52" s="529"/>
      <c r="BI52" s="120"/>
      <c r="BJ52" s="120"/>
      <c r="BK52" s="120"/>
      <c r="BL52" s="499"/>
      <c r="BM52" s="499"/>
      <c r="BN52" s="499"/>
      <c r="BO52" s="499"/>
      <c r="BP52" s="121"/>
      <c r="BQ52" s="121"/>
      <c r="BR52" s="530"/>
      <c r="BW52" s="529"/>
      <c r="BX52" s="141"/>
      <c r="BY52" s="141"/>
      <c r="BZ52" s="499"/>
      <c r="CA52" s="499"/>
      <c r="CB52" s="499"/>
      <c r="CC52" s="499"/>
      <c r="CD52" s="121"/>
      <c r="CE52" s="121"/>
      <c r="CF52" s="121"/>
      <c r="CG52" s="530"/>
      <c r="CH52" s="548"/>
      <c r="CI52" s="548"/>
      <c r="CJ52" s="548"/>
      <c r="CK52" s="548"/>
      <c r="CN52" s="549"/>
      <c r="CO52" s="549"/>
      <c r="CP52" s="549"/>
      <c r="CQ52" s="549"/>
      <c r="CR52" s="529"/>
      <c r="CS52" s="120"/>
      <c r="CT52" s="120"/>
      <c r="CU52" s="120"/>
      <c r="CV52" s="499"/>
      <c r="CW52" s="499"/>
      <c r="CX52" s="499"/>
      <c r="CY52" s="499"/>
      <c r="CZ52" s="121"/>
      <c r="DA52" s="121"/>
      <c r="DB52" s="530"/>
      <c r="DG52" s="545"/>
      <c r="DH52" s="120"/>
      <c r="DI52" s="499"/>
      <c r="DJ52" s="499"/>
      <c r="DK52" s="499"/>
      <c r="DL52" s="499"/>
      <c r="DM52" s="121"/>
      <c r="DN52" s="553"/>
      <c r="DO52" s="139"/>
      <c r="DR52" s="549"/>
      <c r="DS52" s="549"/>
      <c r="DT52" s="549"/>
      <c r="DU52" s="549"/>
      <c r="DV52" s="529"/>
      <c r="DW52" s="120"/>
      <c r="DX52" s="120"/>
      <c r="DY52" s="120"/>
      <c r="DZ52" s="499"/>
      <c r="EA52" s="499"/>
      <c r="EB52" s="499"/>
      <c r="EC52" s="499"/>
      <c r="ED52" s="121"/>
      <c r="EE52" s="121"/>
      <c r="EF52" s="530"/>
      <c r="EH52" s="120"/>
      <c r="EJ52" s="124"/>
    </row>
    <row r="53" spans="1:141" s="76" customFormat="1" ht="13.5" customHeight="1" x14ac:dyDescent="0.15">
      <c r="A53" s="110"/>
      <c r="C53" s="529"/>
      <c r="D53" s="597"/>
      <c r="E53" s="585"/>
      <c r="F53" s="585"/>
      <c r="G53" s="585"/>
      <c r="H53" s="585"/>
      <c r="I53" s="585"/>
      <c r="J53" s="585"/>
      <c r="K53" s="585"/>
      <c r="L53" s="586"/>
      <c r="M53" s="530"/>
      <c r="N53" s="548"/>
      <c r="O53" s="548"/>
      <c r="P53" s="548"/>
      <c r="Q53" s="548"/>
      <c r="R53" s="139"/>
      <c r="S53" s="139"/>
      <c r="T53" s="549"/>
      <c r="U53" s="549"/>
      <c r="V53" s="549"/>
      <c r="W53" s="549"/>
      <c r="X53" s="529"/>
      <c r="Y53" s="592"/>
      <c r="Z53" s="588"/>
      <c r="AA53" s="588"/>
      <c r="AB53" s="588"/>
      <c r="AC53" s="588"/>
      <c r="AD53" s="588"/>
      <c r="AE53" s="588"/>
      <c r="AF53" s="588"/>
      <c r="AG53" s="589"/>
      <c r="AH53" s="530"/>
      <c r="AM53" s="529"/>
      <c r="AN53" s="597"/>
      <c r="AO53" s="585"/>
      <c r="AP53" s="585"/>
      <c r="AQ53" s="585"/>
      <c r="AR53" s="585"/>
      <c r="AS53" s="585"/>
      <c r="AT53" s="585"/>
      <c r="AU53" s="585"/>
      <c r="AV53" s="586"/>
      <c r="AW53" s="530"/>
      <c r="AX53" s="548"/>
      <c r="AY53" s="548"/>
      <c r="AZ53" s="548"/>
      <c r="BA53" s="548"/>
      <c r="BD53" s="549"/>
      <c r="BE53" s="549"/>
      <c r="BF53" s="549"/>
      <c r="BG53" s="549"/>
      <c r="BH53" s="529"/>
      <c r="BI53" s="592"/>
      <c r="BJ53" s="588"/>
      <c r="BK53" s="588"/>
      <c r="BL53" s="588"/>
      <c r="BM53" s="588"/>
      <c r="BN53" s="588"/>
      <c r="BO53" s="588"/>
      <c r="BP53" s="588"/>
      <c r="BQ53" s="589"/>
      <c r="BR53" s="530"/>
      <c r="BW53" s="529"/>
      <c r="BX53" s="597"/>
      <c r="BY53" s="585"/>
      <c r="BZ53" s="585"/>
      <c r="CA53" s="585"/>
      <c r="CB53" s="585"/>
      <c r="CC53" s="585"/>
      <c r="CD53" s="585"/>
      <c r="CE53" s="585"/>
      <c r="CF53" s="586"/>
      <c r="CG53" s="530"/>
      <c r="CH53" s="548"/>
      <c r="CI53" s="548"/>
      <c r="CJ53" s="548"/>
      <c r="CK53" s="548"/>
      <c r="CN53" s="549"/>
      <c r="CO53" s="549"/>
      <c r="CP53" s="549"/>
      <c r="CQ53" s="549"/>
      <c r="CR53" s="529"/>
      <c r="CS53" s="592"/>
      <c r="CT53" s="588"/>
      <c r="CU53" s="588"/>
      <c r="CV53" s="588"/>
      <c r="CW53" s="588"/>
      <c r="CX53" s="588"/>
      <c r="CY53" s="588"/>
      <c r="CZ53" s="588"/>
      <c r="DA53" s="589"/>
      <c r="DB53" s="530"/>
      <c r="DF53" s="140"/>
      <c r="DG53" s="545"/>
      <c r="DH53" s="602"/>
      <c r="DI53" s="588"/>
      <c r="DJ53" s="588"/>
      <c r="DK53" s="588"/>
      <c r="DL53" s="588"/>
      <c r="DM53" s="591"/>
      <c r="DN53" s="553"/>
      <c r="DO53" s="139"/>
      <c r="DR53" s="549"/>
      <c r="DS53" s="549"/>
      <c r="DT53" s="549"/>
      <c r="DU53" s="549"/>
      <c r="DV53" s="529"/>
      <c r="DW53" s="592"/>
      <c r="DX53" s="588"/>
      <c r="DY53" s="588"/>
      <c r="DZ53" s="588"/>
      <c r="EA53" s="588"/>
      <c r="EB53" s="588"/>
      <c r="EC53" s="588"/>
      <c r="ED53" s="588"/>
      <c r="EE53" s="589"/>
      <c r="EF53" s="530"/>
      <c r="EH53" s="75"/>
      <c r="EJ53" s="105"/>
    </row>
    <row r="54" spans="1:141" s="126" customFormat="1" ht="13.5" customHeight="1" x14ac:dyDescent="0.15">
      <c r="A54" s="125"/>
      <c r="C54" s="529"/>
      <c r="D54" s="127"/>
      <c r="F54" s="526"/>
      <c r="G54" s="526"/>
      <c r="H54" s="526"/>
      <c r="I54" s="526"/>
      <c r="M54" s="530"/>
      <c r="X54" s="529"/>
      <c r="AB54" s="526"/>
      <c r="AC54" s="526"/>
      <c r="AD54" s="526"/>
      <c r="AE54" s="526"/>
      <c r="AH54" s="530"/>
      <c r="AM54" s="529"/>
      <c r="AN54" s="127"/>
      <c r="AP54" s="526"/>
      <c r="AQ54" s="526"/>
      <c r="AR54" s="526"/>
      <c r="AS54" s="526"/>
      <c r="AW54" s="530"/>
      <c r="BH54" s="529"/>
      <c r="BL54" s="526"/>
      <c r="BM54" s="526"/>
      <c r="BN54" s="526"/>
      <c r="BO54" s="526"/>
      <c r="BR54" s="530"/>
      <c r="BW54" s="529"/>
      <c r="BX54" s="127"/>
      <c r="BZ54" s="526"/>
      <c r="CA54" s="526"/>
      <c r="CB54" s="526"/>
      <c r="CC54" s="526"/>
      <c r="CG54" s="530"/>
      <c r="CR54" s="529"/>
      <c r="CV54" s="526"/>
      <c r="CW54" s="526"/>
      <c r="CX54" s="526"/>
      <c r="CY54" s="526"/>
      <c r="DB54" s="530"/>
      <c r="DG54" s="545"/>
      <c r="DI54" s="526"/>
      <c r="DJ54" s="526"/>
      <c r="DK54" s="526"/>
      <c r="DL54" s="526"/>
      <c r="DN54" s="553"/>
      <c r="DV54" s="529"/>
      <c r="DZ54" s="526"/>
      <c r="EA54" s="526"/>
      <c r="EB54" s="526"/>
      <c r="EC54" s="526"/>
      <c r="EF54" s="530"/>
      <c r="EH54" s="128"/>
    </row>
    <row r="55" spans="1:141" s="76" customFormat="1" ht="13.5" customHeight="1" x14ac:dyDescent="0.15">
      <c r="A55" s="110"/>
      <c r="C55" s="529"/>
      <c r="D55" s="105"/>
      <c r="H55" s="538"/>
      <c r="I55" s="538"/>
      <c r="J55" s="538"/>
      <c r="K55" s="538"/>
      <c r="M55" s="530"/>
      <c r="N55" s="537"/>
      <c r="O55" s="537"/>
      <c r="P55" s="537"/>
      <c r="Q55" s="537"/>
      <c r="R55" s="77"/>
      <c r="S55" s="77"/>
      <c r="T55" s="538"/>
      <c r="U55" s="538"/>
      <c r="V55" s="538"/>
      <c r="W55" s="538"/>
      <c r="X55" s="529"/>
      <c r="Z55" s="537"/>
      <c r="AA55" s="537"/>
      <c r="AB55" s="537"/>
      <c r="AC55" s="537"/>
      <c r="AH55" s="530"/>
      <c r="AM55" s="529"/>
      <c r="AN55" s="105"/>
      <c r="AR55" s="538"/>
      <c r="AS55" s="538"/>
      <c r="AT55" s="538"/>
      <c r="AU55" s="538"/>
      <c r="AW55" s="530"/>
      <c r="AX55" s="537"/>
      <c r="AY55" s="537"/>
      <c r="AZ55" s="537"/>
      <c r="BA55" s="537"/>
      <c r="BD55" s="538"/>
      <c r="BE55" s="538"/>
      <c r="BF55" s="538"/>
      <c r="BG55" s="538"/>
      <c r="BH55" s="529"/>
      <c r="BJ55" s="537"/>
      <c r="BK55" s="537"/>
      <c r="BL55" s="537"/>
      <c r="BM55" s="537"/>
      <c r="BR55" s="530"/>
      <c r="BW55" s="529"/>
      <c r="BX55" s="105"/>
      <c r="CB55" s="538"/>
      <c r="CC55" s="538"/>
      <c r="CD55" s="538"/>
      <c r="CE55" s="538"/>
      <c r="CG55" s="530"/>
      <c r="CH55" s="537"/>
      <c r="CI55" s="537"/>
      <c r="CJ55" s="537"/>
      <c r="CK55" s="537"/>
      <c r="CN55" s="538"/>
      <c r="CO55" s="538"/>
      <c r="CP55" s="538"/>
      <c r="CQ55" s="538"/>
      <c r="CR55" s="529"/>
      <c r="CT55" s="537"/>
      <c r="CU55" s="537"/>
      <c r="CV55" s="537"/>
      <c r="CW55" s="537"/>
      <c r="DB55" s="530"/>
      <c r="DF55" s="75"/>
      <c r="DG55" s="545"/>
      <c r="DH55" s="75"/>
      <c r="DI55" s="75"/>
      <c r="DL55" s="77"/>
      <c r="DM55" s="77"/>
      <c r="DN55" s="553"/>
      <c r="DO55" s="77"/>
      <c r="DR55" s="538"/>
      <c r="DS55" s="538"/>
      <c r="DT55" s="538"/>
      <c r="DU55" s="538"/>
      <c r="DV55" s="529"/>
      <c r="DX55" s="537"/>
      <c r="DY55" s="537"/>
      <c r="DZ55" s="537"/>
      <c r="EA55" s="537"/>
      <c r="EF55" s="530"/>
      <c r="EH55" s="75"/>
      <c r="EJ55" s="76" t="s">
        <v>664</v>
      </c>
      <c r="EK55" s="76" t="s">
        <v>665</v>
      </c>
    </row>
    <row r="56" spans="1:141" s="114" customFormat="1" ht="13.5" hidden="1" customHeight="1" x14ac:dyDescent="0.15">
      <c r="A56" s="129"/>
      <c r="C56" s="529"/>
      <c r="D56" s="115"/>
      <c r="H56" s="539"/>
      <c r="I56" s="539"/>
      <c r="J56" s="539"/>
      <c r="K56" s="539"/>
      <c r="M56" s="530"/>
      <c r="N56" s="540"/>
      <c r="O56" s="540"/>
      <c r="P56" s="540"/>
      <c r="Q56" s="540"/>
      <c r="R56" s="142"/>
      <c r="S56" s="142"/>
      <c r="T56" s="539"/>
      <c r="U56" s="539"/>
      <c r="V56" s="539"/>
      <c r="W56" s="539"/>
      <c r="X56" s="529"/>
      <c r="Z56" s="540"/>
      <c r="AA56" s="540"/>
      <c r="AB56" s="540"/>
      <c r="AC56" s="540"/>
      <c r="AH56" s="530"/>
      <c r="AM56" s="529"/>
      <c r="AN56" s="115"/>
      <c r="AR56" s="539"/>
      <c r="AS56" s="539"/>
      <c r="AT56" s="539"/>
      <c r="AU56" s="539"/>
      <c r="AW56" s="530"/>
      <c r="AX56" s="540"/>
      <c r="AY56" s="540"/>
      <c r="AZ56" s="540"/>
      <c r="BA56" s="540"/>
      <c r="BD56" s="539"/>
      <c r="BE56" s="539"/>
      <c r="BF56" s="539"/>
      <c r="BG56" s="539"/>
      <c r="BH56" s="529"/>
      <c r="BJ56" s="540"/>
      <c r="BK56" s="540"/>
      <c r="BL56" s="540"/>
      <c r="BM56" s="540"/>
      <c r="BR56" s="530"/>
      <c r="BW56" s="529"/>
      <c r="BX56" s="115"/>
      <c r="CB56" s="539"/>
      <c r="CC56" s="539"/>
      <c r="CD56" s="539"/>
      <c r="CE56" s="539"/>
      <c r="CG56" s="530"/>
      <c r="CH56" s="540"/>
      <c r="CI56" s="540"/>
      <c r="CJ56" s="540"/>
      <c r="CK56" s="540"/>
      <c r="CN56" s="539"/>
      <c r="CO56" s="539"/>
      <c r="CP56" s="539"/>
      <c r="CQ56" s="539"/>
      <c r="CR56" s="529"/>
      <c r="CT56" s="540"/>
      <c r="CU56" s="540"/>
      <c r="CV56" s="540"/>
      <c r="CW56" s="540"/>
      <c r="DB56" s="530"/>
      <c r="DF56" s="116"/>
      <c r="DG56" s="545"/>
      <c r="DH56" s="116"/>
      <c r="DI56" s="116"/>
      <c r="DK56" s="76"/>
      <c r="DL56" s="142"/>
      <c r="DM56" s="142"/>
      <c r="DN56" s="553"/>
      <c r="DO56" s="142"/>
      <c r="DR56" s="539"/>
      <c r="DS56" s="539"/>
      <c r="DT56" s="539"/>
      <c r="DU56" s="539"/>
      <c r="DV56" s="529"/>
      <c r="DX56" s="540"/>
      <c r="DY56" s="540"/>
      <c r="DZ56" s="540"/>
      <c r="EA56" s="540"/>
      <c r="EF56" s="530"/>
      <c r="EH56" s="116"/>
    </row>
    <row r="57" spans="1:141" s="76" customFormat="1" ht="3.75" customHeight="1" thickBot="1" x14ac:dyDescent="0.2">
      <c r="A57" s="110"/>
      <c r="C57" s="529"/>
      <c r="D57" s="105"/>
      <c r="J57" s="534"/>
      <c r="K57" s="534"/>
      <c r="L57" s="534"/>
      <c r="M57" s="535"/>
      <c r="N57" s="534"/>
      <c r="O57" s="534"/>
      <c r="V57" s="534"/>
      <c r="W57" s="534"/>
      <c r="X57" s="536"/>
      <c r="Y57" s="534"/>
      <c r="Z57" s="534"/>
      <c r="AA57" s="534"/>
      <c r="AH57" s="530"/>
      <c r="AM57" s="529"/>
      <c r="AN57" s="105"/>
      <c r="AT57" s="534"/>
      <c r="AU57" s="534"/>
      <c r="AV57" s="534"/>
      <c r="AW57" s="535"/>
      <c r="AX57" s="534"/>
      <c r="AY57" s="534"/>
      <c r="BF57" s="534"/>
      <c r="BG57" s="534"/>
      <c r="BH57" s="536"/>
      <c r="BI57" s="534"/>
      <c r="BJ57" s="534"/>
      <c r="BK57" s="534"/>
      <c r="BR57" s="530"/>
      <c r="BW57" s="529"/>
      <c r="BX57" s="105"/>
      <c r="CD57" s="534"/>
      <c r="CE57" s="534"/>
      <c r="CF57" s="534"/>
      <c r="CG57" s="535"/>
      <c r="CH57" s="534"/>
      <c r="CI57" s="534"/>
      <c r="CP57" s="534"/>
      <c r="CQ57" s="534"/>
      <c r="CR57" s="536"/>
      <c r="CS57" s="534"/>
      <c r="CT57" s="534"/>
      <c r="CU57" s="534"/>
      <c r="DB57" s="530"/>
      <c r="DG57" s="545"/>
      <c r="DN57" s="553"/>
      <c r="DT57" s="534"/>
      <c r="DU57" s="534"/>
      <c r="DV57" s="536"/>
      <c r="DW57" s="534"/>
      <c r="DX57" s="534"/>
      <c r="DY57" s="534"/>
      <c r="EF57" s="530"/>
      <c r="EH57" s="75"/>
    </row>
    <row r="58" spans="1:141" s="76" customFormat="1" ht="13.5" customHeight="1" thickTop="1" x14ac:dyDescent="0.15">
      <c r="A58" s="110"/>
      <c r="C58" s="529"/>
      <c r="D58" s="105"/>
      <c r="I58" s="529"/>
      <c r="J58" s="500"/>
      <c r="K58" s="500"/>
      <c r="L58" s="485"/>
      <c r="M58" s="485"/>
      <c r="N58" s="498"/>
      <c r="O58" s="498"/>
      <c r="P58" s="530"/>
      <c r="U58" s="529"/>
      <c r="V58" s="500"/>
      <c r="W58" s="500"/>
      <c r="X58" s="485"/>
      <c r="Y58" s="485"/>
      <c r="Z58" s="498"/>
      <c r="AA58" s="498"/>
      <c r="AB58" s="530"/>
      <c r="AH58" s="530"/>
      <c r="AM58" s="529"/>
      <c r="AS58" s="529"/>
      <c r="AT58" s="500"/>
      <c r="AU58" s="500"/>
      <c r="AV58" s="485"/>
      <c r="AW58" s="485"/>
      <c r="AX58" s="498"/>
      <c r="AY58" s="498"/>
      <c r="AZ58" s="530"/>
      <c r="BE58" s="529"/>
      <c r="BF58" s="500"/>
      <c r="BG58" s="500"/>
      <c r="BH58" s="485"/>
      <c r="BI58" s="485"/>
      <c r="BJ58" s="498"/>
      <c r="BK58" s="498"/>
      <c r="BL58" s="530"/>
      <c r="BR58" s="530"/>
      <c r="BW58" s="529"/>
      <c r="CC58" s="529"/>
      <c r="CD58" s="500"/>
      <c r="CE58" s="500"/>
      <c r="CF58" s="485"/>
      <c r="CG58" s="485"/>
      <c r="CH58" s="498"/>
      <c r="CI58" s="498"/>
      <c r="CJ58" s="530"/>
      <c r="CO58" s="529"/>
      <c r="CP58" s="500"/>
      <c r="CQ58" s="500"/>
      <c r="CR58" s="485"/>
      <c r="CS58" s="485"/>
      <c r="CT58" s="498"/>
      <c r="CU58" s="498"/>
      <c r="CV58" s="530"/>
      <c r="DB58" s="530"/>
      <c r="DG58" s="545"/>
      <c r="DH58" s="500"/>
      <c r="DI58" s="500"/>
      <c r="DJ58" s="485"/>
      <c r="DK58" s="485"/>
      <c r="DL58" s="498"/>
      <c r="DM58" s="498"/>
      <c r="DN58" s="553"/>
      <c r="DS58" s="529"/>
      <c r="DT58" s="500"/>
      <c r="DU58" s="500"/>
      <c r="DV58" s="485"/>
      <c r="DW58" s="485"/>
      <c r="DX58" s="498"/>
      <c r="DY58" s="498"/>
      <c r="DZ58" s="530"/>
      <c r="EF58" s="530"/>
      <c r="EH58" s="75"/>
      <c r="EJ58" s="421">
        <v>0.3611111111111111</v>
      </c>
      <c r="EK58" s="421">
        <v>0.375</v>
      </c>
    </row>
    <row r="59" spans="1:141" s="76" customFormat="1" ht="13.5" customHeight="1" x14ac:dyDescent="0.15">
      <c r="A59" s="110"/>
      <c r="C59" s="529"/>
      <c r="D59" s="105"/>
      <c r="I59" s="529"/>
      <c r="J59" s="592" t="s">
        <v>86</v>
      </c>
      <c r="K59" s="588"/>
      <c r="L59" s="588"/>
      <c r="M59" s="588"/>
      <c r="N59" s="588"/>
      <c r="O59" s="589"/>
      <c r="P59" s="530"/>
      <c r="U59" s="529"/>
      <c r="V59" s="587" t="s">
        <v>55</v>
      </c>
      <c r="W59" s="588"/>
      <c r="X59" s="588"/>
      <c r="Y59" s="588"/>
      <c r="Z59" s="588"/>
      <c r="AA59" s="589"/>
      <c r="AB59" s="530"/>
      <c r="AH59" s="530"/>
      <c r="AM59" s="529"/>
      <c r="AS59" s="529"/>
      <c r="AT59" s="587" t="s">
        <v>55</v>
      </c>
      <c r="AU59" s="588"/>
      <c r="AV59" s="588"/>
      <c r="AW59" s="588"/>
      <c r="AX59" s="588"/>
      <c r="AY59" s="589"/>
      <c r="AZ59" s="530"/>
      <c r="BE59" s="529"/>
      <c r="BF59" s="587" t="s">
        <v>604</v>
      </c>
      <c r="BG59" s="588"/>
      <c r="BH59" s="588"/>
      <c r="BI59" s="588"/>
      <c r="BJ59" s="588"/>
      <c r="BK59" s="589"/>
      <c r="BL59" s="530"/>
      <c r="BR59" s="530"/>
      <c r="BW59" s="529"/>
      <c r="CC59" s="529"/>
      <c r="CD59" s="587" t="s">
        <v>604</v>
      </c>
      <c r="CE59" s="588"/>
      <c r="CF59" s="588"/>
      <c r="CG59" s="588"/>
      <c r="CH59" s="588"/>
      <c r="CI59" s="589"/>
      <c r="CJ59" s="530"/>
      <c r="CO59" s="529"/>
      <c r="CP59" s="587" t="s">
        <v>86</v>
      </c>
      <c r="CQ59" s="588"/>
      <c r="CR59" s="588"/>
      <c r="CS59" s="588"/>
      <c r="CT59" s="588"/>
      <c r="CU59" s="589"/>
      <c r="CV59" s="530"/>
      <c r="DB59" s="530"/>
      <c r="DG59" s="545"/>
      <c r="DH59" s="500"/>
      <c r="DI59" s="500"/>
      <c r="DJ59" s="485"/>
      <c r="DK59" s="485"/>
      <c r="DL59" s="498"/>
      <c r="DM59" s="498"/>
      <c r="DN59" s="553"/>
      <c r="DS59" s="529"/>
      <c r="DT59" s="587" t="s">
        <v>604</v>
      </c>
      <c r="DU59" s="588"/>
      <c r="DV59" s="588"/>
      <c r="DW59" s="588"/>
      <c r="DX59" s="588"/>
      <c r="DY59" s="589"/>
      <c r="DZ59" s="530"/>
      <c r="EF59" s="530"/>
      <c r="EH59" s="75"/>
      <c r="EJ59" s="421">
        <v>0.375</v>
      </c>
      <c r="EK59" s="421">
        <v>0.39583333333333331</v>
      </c>
    </row>
    <row r="60" spans="1:141" s="76" customFormat="1" ht="13.5" customHeight="1" x14ac:dyDescent="0.15">
      <c r="A60" s="110"/>
      <c r="C60" s="529"/>
      <c r="D60" s="105"/>
      <c r="I60" s="529"/>
      <c r="J60" s="500"/>
      <c r="K60" s="500"/>
      <c r="L60" s="501"/>
      <c r="M60" s="501"/>
      <c r="N60" s="498"/>
      <c r="O60" s="498"/>
      <c r="P60" s="530"/>
      <c r="U60" s="529"/>
      <c r="V60" s="500"/>
      <c r="W60" s="500"/>
      <c r="X60" s="501"/>
      <c r="Y60" s="501"/>
      <c r="Z60" s="498"/>
      <c r="AA60" s="498"/>
      <c r="AB60" s="530"/>
      <c r="AH60" s="530"/>
      <c r="AM60" s="529"/>
      <c r="AS60" s="529"/>
      <c r="AT60" s="500"/>
      <c r="AU60" s="500"/>
      <c r="AV60" s="501"/>
      <c r="AW60" s="501"/>
      <c r="AX60" s="498"/>
      <c r="AY60" s="498"/>
      <c r="AZ60" s="530"/>
      <c r="BE60" s="529"/>
      <c r="BF60" s="500"/>
      <c r="BG60" s="500"/>
      <c r="BH60" s="501"/>
      <c r="BI60" s="501"/>
      <c r="BJ60" s="498"/>
      <c r="BK60" s="498"/>
      <c r="BL60" s="530"/>
      <c r="BR60" s="530"/>
      <c r="BW60" s="529"/>
      <c r="CC60" s="529"/>
      <c r="CD60" s="500"/>
      <c r="CE60" s="500"/>
      <c r="CF60" s="501"/>
      <c r="CG60" s="501"/>
      <c r="CH60" s="498"/>
      <c r="CI60" s="498"/>
      <c r="CJ60" s="530"/>
      <c r="CO60" s="529"/>
      <c r="CP60" s="500"/>
      <c r="CQ60" s="500"/>
      <c r="CR60" s="501"/>
      <c r="CS60" s="501"/>
      <c r="CT60" s="498"/>
      <c r="CU60" s="498"/>
      <c r="CV60" s="530"/>
      <c r="DB60" s="530"/>
      <c r="DG60" s="545"/>
      <c r="DH60" s="500"/>
      <c r="DI60" s="500"/>
      <c r="DJ60" s="501"/>
      <c r="DK60" s="501"/>
      <c r="DL60" s="498"/>
      <c r="DM60" s="498"/>
      <c r="DN60" s="553"/>
      <c r="DS60" s="529"/>
      <c r="DT60" s="500"/>
      <c r="DU60" s="500"/>
      <c r="DV60" s="501"/>
      <c r="DW60" s="501"/>
      <c r="DX60" s="498"/>
      <c r="DY60" s="498"/>
      <c r="DZ60" s="530"/>
      <c r="EF60" s="530"/>
      <c r="EH60" s="75"/>
      <c r="EJ60" s="421">
        <v>0.41666666666666669</v>
      </c>
      <c r="EK60" s="421">
        <v>0.4375</v>
      </c>
    </row>
    <row r="61" spans="1:141" s="76" customFormat="1" ht="13.5" customHeight="1" x14ac:dyDescent="0.15">
      <c r="A61" s="110"/>
      <c r="C61" s="529"/>
      <c r="D61" s="105"/>
      <c r="I61" s="529"/>
      <c r="J61" s="592">
        <v>0.375</v>
      </c>
      <c r="K61" s="588"/>
      <c r="L61" s="588"/>
      <c r="M61" s="588"/>
      <c r="N61" s="588"/>
      <c r="O61" s="589"/>
      <c r="P61" s="530"/>
      <c r="U61" s="529"/>
      <c r="V61" s="592">
        <v>0.43055555555555558</v>
      </c>
      <c r="W61" s="588"/>
      <c r="X61" s="588"/>
      <c r="Y61" s="588"/>
      <c r="Z61" s="588"/>
      <c r="AA61" s="589"/>
      <c r="AB61" s="530"/>
      <c r="AH61" s="530"/>
      <c r="AM61" s="529"/>
      <c r="AS61" s="529"/>
      <c r="AT61" s="592">
        <v>0.375</v>
      </c>
      <c r="AU61" s="588"/>
      <c r="AV61" s="588"/>
      <c r="AW61" s="588"/>
      <c r="AX61" s="588"/>
      <c r="AY61" s="589"/>
      <c r="AZ61" s="530"/>
      <c r="BE61" s="529"/>
      <c r="BF61" s="592">
        <v>0.41666666666666669</v>
      </c>
      <c r="BG61" s="588"/>
      <c r="BH61" s="588"/>
      <c r="BI61" s="588"/>
      <c r="BJ61" s="588"/>
      <c r="BK61" s="589"/>
      <c r="BL61" s="530"/>
      <c r="BR61" s="530"/>
      <c r="BW61" s="529"/>
      <c r="CC61" s="529"/>
      <c r="CD61" s="592">
        <v>0.3611111111111111</v>
      </c>
      <c r="CE61" s="588"/>
      <c r="CF61" s="588"/>
      <c r="CG61" s="588"/>
      <c r="CH61" s="588"/>
      <c r="CI61" s="589"/>
      <c r="CJ61" s="530"/>
      <c r="CO61" s="529"/>
      <c r="CP61" s="592">
        <v>0.43055555555555558</v>
      </c>
      <c r="CQ61" s="588"/>
      <c r="CR61" s="588"/>
      <c r="CS61" s="588"/>
      <c r="CT61" s="588"/>
      <c r="CU61" s="589"/>
      <c r="CV61" s="530"/>
      <c r="DB61" s="530"/>
      <c r="DG61" s="545"/>
      <c r="DH61" s="500"/>
      <c r="DI61" s="500"/>
      <c r="DJ61" s="501"/>
      <c r="DK61" s="501"/>
      <c r="DL61" s="498"/>
      <c r="DM61" s="498"/>
      <c r="DN61" s="553"/>
      <c r="DS61" s="529"/>
      <c r="DT61" s="592">
        <v>0.47222222222222221</v>
      </c>
      <c r="DU61" s="588"/>
      <c r="DV61" s="588"/>
      <c r="DW61" s="588"/>
      <c r="DX61" s="588"/>
      <c r="DY61" s="589"/>
      <c r="DZ61" s="530"/>
      <c r="EF61" s="530"/>
      <c r="EH61" s="75"/>
      <c r="EJ61" s="421">
        <v>0.43055555555555558</v>
      </c>
      <c r="EK61" s="421">
        <v>0.4513888888888889</v>
      </c>
    </row>
    <row r="62" spans="1:141" s="123" customFormat="1" ht="13.5" customHeight="1" x14ac:dyDescent="0.2">
      <c r="A62" s="122"/>
      <c r="C62" s="529"/>
      <c r="D62" s="124"/>
      <c r="I62" s="529"/>
      <c r="J62" s="120"/>
      <c r="K62" s="499"/>
      <c r="L62" s="499"/>
      <c r="M62" s="499"/>
      <c r="N62" s="499"/>
      <c r="O62" s="121"/>
      <c r="P62" s="530"/>
      <c r="U62" s="529"/>
      <c r="V62" s="120"/>
      <c r="W62" s="499"/>
      <c r="X62" s="499"/>
      <c r="Y62" s="499"/>
      <c r="Z62" s="499"/>
      <c r="AA62" s="121"/>
      <c r="AB62" s="530"/>
      <c r="AH62" s="530"/>
      <c r="AM62" s="529"/>
      <c r="AS62" s="529"/>
      <c r="AT62" s="120"/>
      <c r="AU62" s="499"/>
      <c r="AV62" s="499"/>
      <c r="AW62" s="499"/>
      <c r="AX62" s="499"/>
      <c r="AY62" s="121"/>
      <c r="AZ62" s="530"/>
      <c r="BE62" s="529"/>
      <c r="BF62" s="120"/>
      <c r="BG62" s="499"/>
      <c r="BH62" s="499"/>
      <c r="BI62" s="499"/>
      <c r="BJ62" s="499"/>
      <c r="BK62" s="121"/>
      <c r="BL62" s="530"/>
      <c r="BR62" s="530"/>
      <c r="BW62" s="529"/>
      <c r="CC62" s="529"/>
      <c r="CD62" s="120"/>
      <c r="CE62" s="499"/>
      <c r="CF62" s="499"/>
      <c r="CG62" s="499"/>
      <c r="CH62" s="499"/>
      <c r="CI62" s="121"/>
      <c r="CJ62" s="530"/>
      <c r="CO62" s="529"/>
      <c r="CP62" s="120"/>
      <c r="CQ62" s="499"/>
      <c r="CR62" s="499"/>
      <c r="CS62" s="499"/>
      <c r="CT62" s="499"/>
      <c r="CU62" s="121"/>
      <c r="CV62" s="530"/>
      <c r="DB62" s="530"/>
      <c r="DG62" s="545"/>
      <c r="DH62" s="120"/>
      <c r="DI62" s="499"/>
      <c r="DJ62" s="499"/>
      <c r="DK62" s="499"/>
      <c r="DL62" s="499"/>
      <c r="DM62" s="121"/>
      <c r="DN62" s="553"/>
      <c r="DS62" s="529"/>
      <c r="DT62" s="120"/>
      <c r="DU62" s="499"/>
      <c r="DV62" s="499"/>
      <c r="DW62" s="499"/>
      <c r="DX62" s="499"/>
      <c r="DY62" s="121"/>
      <c r="DZ62" s="530"/>
      <c r="EF62" s="530"/>
      <c r="EH62" s="120"/>
      <c r="EJ62" s="438">
        <v>0.4861111111111111</v>
      </c>
      <c r="EK62" s="421">
        <v>0.5</v>
      </c>
    </row>
    <row r="63" spans="1:141" s="76" customFormat="1" ht="13.5" customHeight="1" x14ac:dyDescent="0.15">
      <c r="A63" s="110"/>
      <c r="C63" s="529"/>
      <c r="D63" s="105"/>
      <c r="I63" s="529"/>
      <c r="J63" s="500"/>
      <c r="K63" s="500"/>
      <c r="L63" s="501"/>
      <c r="M63" s="501"/>
      <c r="N63" s="498"/>
      <c r="O63" s="498"/>
      <c r="P63" s="530"/>
      <c r="U63" s="529"/>
      <c r="V63" s="500"/>
      <c r="W63" s="500"/>
      <c r="X63" s="501"/>
      <c r="Y63" s="501"/>
      <c r="Z63" s="498"/>
      <c r="AA63" s="498"/>
      <c r="AB63" s="530"/>
      <c r="AH63" s="530"/>
      <c r="AM63" s="529"/>
      <c r="AS63" s="529"/>
      <c r="AT63" s="500"/>
      <c r="AU63" s="500"/>
      <c r="AV63" s="501"/>
      <c r="AW63" s="501"/>
      <c r="AX63" s="498"/>
      <c r="AY63" s="498"/>
      <c r="AZ63" s="530"/>
      <c r="BE63" s="529"/>
      <c r="BF63" s="500"/>
      <c r="BG63" s="500"/>
      <c r="BH63" s="501"/>
      <c r="BI63" s="501"/>
      <c r="BJ63" s="498"/>
      <c r="BK63" s="498"/>
      <c r="BL63" s="530"/>
      <c r="BR63" s="530"/>
      <c r="BW63" s="529"/>
      <c r="CC63" s="529"/>
      <c r="CD63" s="500"/>
      <c r="CE63" s="500"/>
      <c r="CF63" s="501"/>
      <c r="CG63" s="501"/>
      <c r="CH63" s="498"/>
      <c r="CI63" s="498"/>
      <c r="CJ63" s="530"/>
      <c r="CO63" s="529"/>
      <c r="CP63" s="500"/>
      <c r="CQ63" s="500"/>
      <c r="CR63" s="501"/>
      <c r="CS63" s="501"/>
      <c r="CT63" s="498"/>
      <c r="CU63" s="498"/>
      <c r="CV63" s="530"/>
      <c r="DB63" s="530"/>
      <c r="DG63" s="545"/>
      <c r="DH63" s="500"/>
      <c r="DI63" s="500"/>
      <c r="DJ63" s="501"/>
      <c r="DK63" s="501"/>
      <c r="DL63" s="498"/>
      <c r="DM63" s="498"/>
      <c r="DN63" s="553"/>
      <c r="DS63" s="529"/>
      <c r="DT63" s="500"/>
      <c r="DU63" s="500"/>
      <c r="DV63" s="501"/>
      <c r="DW63" s="501"/>
      <c r="DX63" s="498"/>
      <c r="DY63" s="498"/>
      <c r="DZ63" s="530"/>
      <c r="EF63" s="530"/>
      <c r="EH63" s="75"/>
      <c r="EJ63" s="421">
        <v>0.54166666666666663</v>
      </c>
      <c r="EK63" s="421">
        <v>0.58333333333333337</v>
      </c>
    </row>
    <row r="64" spans="1:141" s="126" customFormat="1" ht="13.5" customHeight="1" x14ac:dyDescent="0.15">
      <c r="A64" s="125"/>
      <c r="C64" s="529"/>
      <c r="D64" s="127"/>
      <c r="I64" s="529"/>
      <c r="K64" s="526"/>
      <c r="L64" s="526"/>
      <c r="M64" s="526"/>
      <c r="N64" s="526"/>
      <c r="P64" s="530"/>
      <c r="U64" s="529"/>
      <c r="W64" s="526"/>
      <c r="X64" s="526"/>
      <c r="Y64" s="526"/>
      <c r="Z64" s="526"/>
      <c r="AB64" s="530"/>
      <c r="AH64" s="530"/>
      <c r="AM64" s="529"/>
      <c r="AS64" s="529"/>
      <c r="AU64" s="526"/>
      <c r="AV64" s="526"/>
      <c r="AW64" s="526"/>
      <c r="AX64" s="526"/>
      <c r="AZ64" s="530"/>
      <c r="BE64" s="529"/>
      <c r="BG64" s="526"/>
      <c r="BH64" s="526"/>
      <c r="BI64" s="526"/>
      <c r="BJ64" s="526"/>
      <c r="BL64" s="530"/>
      <c r="BR64" s="530"/>
      <c r="BW64" s="529"/>
      <c r="CC64" s="529"/>
      <c r="CE64" s="526"/>
      <c r="CF64" s="526"/>
      <c r="CG64" s="526"/>
      <c r="CH64" s="526"/>
      <c r="CJ64" s="530"/>
      <c r="CO64" s="529"/>
      <c r="CQ64" s="526"/>
      <c r="CR64" s="526"/>
      <c r="CS64" s="526"/>
      <c r="CT64" s="526"/>
      <c r="CV64" s="530"/>
      <c r="DB64" s="530"/>
      <c r="DG64" s="545"/>
      <c r="DI64" s="526"/>
      <c r="DJ64" s="526"/>
      <c r="DK64" s="526"/>
      <c r="DL64" s="526"/>
      <c r="DN64" s="553"/>
      <c r="DS64" s="529"/>
      <c r="DU64" s="526"/>
      <c r="DV64" s="526"/>
      <c r="DW64" s="526"/>
      <c r="DX64" s="526"/>
      <c r="DZ64" s="530"/>
      <c r="EF64" s="530"/>
      <c r="EH64" s="128"/>
      <c r="EJ64" s="421">
        <v>0.58333333333333337</v>
      </c>
    </row>
    <row r="65" spans="2:148" s="140" customFormat="1" ht="13.5" customHeight="1" x14ac:dyDescent="0.15">
      <c r="B65" s="501">
        <f>1</f>
        <v>1</v>
      </c>
      <c r="C65" s="501"/>
      <c r="D65" s="501"/>
      <c r="E65" s="501"/>
      <c r="H65" s="501">
        <f>B65+1</f>
        <v>2</v>
      </c>
      <c r="I65" s="501"/>
      <c r="J65" s="501"/>
      <c r="K65" s="501"/>
      <c r="N65" s="501">
        <f>H65+1</f>
        <v>3</v>
      </c>
      <c r="O65" s="501"/>
      <c r="P65" s="501"/>
      <c r="Q65" s="501"/>
      <c r="T65" s="501">
        <f>N65+1</f>
        <v>4</v>
      </c>
      <c r="U65" s="501"/>
      <c r="V65" s="501"/>
      <c r="W65" s="501"/>
      <c r="Z65" s="501">
        <f>T65+1</f>
        <v>5</v>
      </c>
      <c r="AA65" s="501"/>
      <c r="AB65" s="501"/>
      <c r="AC65" s="501"/>
      <c r="AF65" s="501">
        <f>Z65+1</f>
        <v>6</v>
      </c>
      <c r="AG65" s="501"/>
      <c r="AH65" s="501"/>
      <c r="AI65" s="501"/>
      <c r="AL65" s="501">
        <f>AF65+1</f>
        <v>7</v>
      </c>
      <c r="AM65" s="501"/>
      <c r="AN65" s="501"/>
      <c r="AO65" s="501"/>
      <c r="AR65" s="501">
        <f>AL65+1</f>
        <v>8</v>
      </c>
      <c r="AS65" s="501"/>
      <c r="AT65" s="501"/>
      <c r="AU65" s="501"/>
      <c r="AX65" s="501">
        <f>AR65+1</f>
        <v>9</v>
      </c>
      <c r="AY65" s="501"/>
      <c r="AZ65" s="501"/>
      <c r="BA65" s="501"/>
      <c r="BD65" s="501">
        <f>AX65+1</f>
        <v>10</v>
      </c>
      <c r="BE65" s="501"/>
      <c r="BF65" s="501"/>
      <c r="BG65" s="501"/>
      <c r="BJ65" s="501">
        <f>BD65+1</f>
        <v>11</v>
      </c>
      <c r="BK65" s="501"/>
      <c r="BL65" s="501"/>
      <c r="BM65" s="501"/>
      <c r="BP65" s="501">
        <f>BJ65+1</f>
        <v>12</v>
      </c>
      <c r="BQ65" s="501"/>
      <c r="BR65" s="501"/>
      <c r="BS65" s="501"/>
      <c r="BV65" s="501">
        <f>BP65+1</f>
        <v>13</v>
      </c>
      <c r="BW65" s="501"/>
      <c r="BX65" s="501"/>
      <c r="BY65" s="501"/>
      <c r="CB65" s="501">
        <f>BV65+1</f>
        <v>14</v>
      </c>
      <c r="CC65" s="501"/>
      <c r="CD65" s="501"/>
      <c r="CE65" s="501"/>
      <c r="CH65" s="501">
        <f>CB65+1</f>
        <v>15</v>
      </c>
      <c r="CI65" s="501"/>
      <c r="CJ65" s="501"/>
      <c r="CK65" s="501"/>
      <c r="CN65" s="501">
        <f>CH65+1</f>
        <v>16</v>
      </c>
      <c r="CO65" s="501"/>
      <c r="CP65" s="501"/>
      <c r="CQ65" s="501"/>
      <c r="CT65" s="501">
        <f>CN65+1</f>
        <v>17</v>
      </c>
      <c r="CU65" s="501"/>
      <c r="CV65" s="501"/>
      <c r="CW65" s="501"/>
      <c r="CZ65" s="501">
        <f>CT65+1</f>
        <v>18</v>
      </c>
      <c r="DA65" s="501"/>
      <c r="DB65" s="501"/>
      <c r="DC65" s="501"/>
      <c r="DF65" s="501">
        <f>CZ65+1</f>
        <v>19</v>
      </c>
      <c r="DG65" s="501"/>
      <c r="DH65" s="501"/>
      <c r="DI65" s="501"/>
      <c r="DL65" s="501">
        <f>DF65+1</f>
        <v>20</v>
      </c>
      <c r="DM65" s="501"/>
      <c r="DN65" s="501"/>
      <c r="DO65" s="501"/>
      <c r="DR65" s="501">
        <f>DL65+1</f>
        <v>21</v>
      </c>
      <c r="DS65" s="501"/>
      <c r="DT65" s="501"/>
      <c r="DU65" s="501"/>
      <c r="DX65" s="501">
        <f>DR65+1</f>
        <v>22</v>
      </c>
      <c r="DY65" s="501"/>
      <c r="DZ65" s="501"/>
      <c r="EA65" s="501"/>
      <c r="ED65" s="501">
        <f>DX65+1</f>
        <v>23</v>
      </c>
      <c r="EE65" s="501"/>
      <c r="EF65" s="501"/>
      <c r="EG65" s="501"/>
      <c r="EH65" s="143"/>
      <c r="EJ65" s="421">
        <v>0.59722222222222221</v>
      </c>
    </row>
    <row r="66" spans="2:148" s="409" customFormat="1" ht="105" customHeight="1" x14ac:dyDescent="0.15">
      <c r="B66" s="598" t="str">
        <f>IF(ISERROR(MATCH(B65,予選学校名!$B$3:$B$32,0))=TRUE,B65,INDEX(予選学校名!$B$3:$F$32,MATCH(B65,予選学校名!$B$3:$B$32,0),2))</f>
        <v>星稜</v>
      </c>
      <c r="C66" s="600"/>
      <c r="D66" s="600"/>
      <c r="E66" s="601"/>
      <c r="F66" s="408"/>
      <c r="G66" s="408"/>
      <c r="H66" s="598" t="str">
        <f>IF(ISERROR(MATCH(H65,予選学校名!$B$3:$B$32,0))=TRUE,H65,INDEX(予選学校名!$B$3:$F$32,MATCH(H65,予選学校名!$B$3:$B$32,0),2))</f>
        <v>港</v>
      </c>
      <c r="I66" s="600"/>
      <c r="J66" s="600"/>
      <c r="K66" s="601"/>
      <c r="L66" s="408"/>
      <c r="M66" s="408"/>
      <c r="N66" s="598" t="str">
        <f>IF(ISERROR(MATCH(N65,予選学校名!$B$3:$B$32,0))=TRUE,N65,INDEX(予選学校名!$B$3:$F$32,MATCH(N65,予選学校名!$B$3:$B$32,0),2))</f>
        <v>津幡</v>
      </c>
      <c r="O66" s="600"/>
      <c r="P66" s="600"/>
      <c r="Q66" s="601"/>
      <c r="T66" s="598" t="str">
        <f>IF(ISERROR(MATCH(T65,予選学校名!$B$3:$B$32,0))=TRUE,T65,INDEX(予選学校名!$B$3:$F$32,MATCH(T65,予選学校名!$B$3:$B$32,0),2))</f>
        <v>長田</v>
      </c>
      <c r="U66" s="600"/>
      <c r="V66" s="600"/>
      <c r="W66" s="601"/>
      <c r="X66" s="408"/>
      <c r="Y66" s="408"/>
      <c r="Z66" s="598" t="str">
        <f>IF(ISERROR(MATCH(Z65,予選学校名!$B$3:$B$32,0))=TRUE,Z65,INDEX(予選学校名!$B$3:$F$32,MATCH(Z65,予選学校名!$B$3:$B$32,0),2))</f>
        <v>野田</v>
      </c>
      <c r="AA66" s="600"/>
      <c r="AB66" s="600"/>
      <c r="AC66" s="601"/>
      <c r="AD66" s="408"/>
      <c r="AE66" s="408"/>
      <c r="AF66" s="598" t="str">
        <f>IF(ISERROR(MATCH(AF65,予選学校名!$B$3:$B$32,0))=TRUE,AF65,INDEX(予選学校名!$B$3:$F$32,MATCH(AF65,予選学校名!$B$3:$B$32,0),2))</f>
        <v>兼六</v>
      </c>
      <c r="AG66" s="600"/>
      <c r="AH66" s="600"/>
      <c r="AI66" s="601"/>
      <c r="AJ66" s="408"/>
      <c r="AK66" s="408"/>
      <c r="AL66" s="598" t="str">
        <f>IF(ISERROR(MATCH(AL65,予選学校名!$B$3:$B$32,0))=TRUE,AL65,INDEX(予選学校名!$B$3:$F$32,MATCH(AL65,予選学校名!$B$3:$B$32,0),2))</f>
        <v>高岡</v>
      </c>
      <c r="AM66" s="600"/>
      <c r="AN66" s="600"/>
      <c r="AO66" s="601"/>
      <c r="AP66" s="408"/>
      <c r="AQ66" s="408"/>
      <c r="AR66" s="598" t="str">
        <f>IF(ISERROR(MATCH(AR65,予選学校名!$B$3:$B$32,0))=TRUE,AR65,INDEX(予選学校名!$B$3:$F$32,MATCH(AR65,予選学校名!$B$3:$B$32,0),2))</f>
        <v>森本</v>
      </c>
      <c r="AS66" s="600"/>
      <c r="AT66" s="600"/>
      <c r="AU66" s="601"/>
      <c r="AV66" s="408"/>
      <c r="AW66" s="408"/>
      <c r="AX66" s="598" t="str">
        <f>IF(ISERROR(MATCH(AX65,予選学校名!$B$3:$B$32,0))=TRUE,AX65,INDEX(予選学校名!$B$3:$F$32,MATCH(AX65,予選学校名!$B$3:$B$32,0),2))</f>
        <v>緑</v>
      </c>
      <c r="AY66" s="600"/>
      <c r="AZ66" s="600"/>
      <c r="BA66" s="601"/>
      <c r="BB66" s="408"/>
      <c r="BC66" s="408"/>
      <c r="BD66" s="598" t="str">
        <f>IF(ISERROR(MATCH(BD65,予選学校名!$B$3:$B$32,0))=TRUE,BD65,INDEX(予選学校名!$B$3:$F$32,MATCH(BD65,予選学校名!$B$3:$B$32,0),2))</f>
        <v>城南</v>
      </c>
      <c r="BE66" s="600"/>
      <c r="BF66" s="600"/>
      <c r="BG66" s="601"/>
      <c r="BH66" s="408"/>
      <c r="BI66" s="408"/>
      <c r="BJ66" s="598" t="str">
        <f>IF(ISERROR(MATCH(BJ65,予選学校名!$B$3:$B$32,0))=TRUE,BJ65,INDEX(予選学校名!$B$3:$F$32,MATCH(BJ65,予選学校名!$B$3:$B$32,0),2))</f>
        <v>浅野川</v>
      </c>
      <c r="BK66" s="600"/>
      <c r="BL66" s="600"/>
      <c r="BM66" s="601"/>
      <c r="BN66" s="408"/>
      <c r="BO66" s="408"/>
      <c r="BP66" s="598" t="str">
        <f>IF(ISERROR(MATCH(BP65,予選学校名!$B$3:$B$32,0))=TRUE,BP65,INDEX(予選学校名!$B$3:$F$32,MATCH(BP65,予選学校名!$B$3:$B$32,0),2))</f>
        <v>学院附属</v>
      </c>
      <c r="BQ66" s="600"/>
      <c r="BR66" s="600"/>
      <c r="BS66" s="601"/>
      <c r="BT66" s="408"/>
      <c r="BU66" s="408"/>
      <c r="BV66" s="598" t="str">
        <f>IF(ISERROR(MATCH(BV65,予選学校名!$B$3:$B$32,0))=TRUE,BV65,INDEX(予選学校名!$B$3:$F$32,MATCH(BV65,予選学校名!$B$3:$B$32,0),2))</f>
        <v>大徳</v>
      </c>
      <c r="BW66" s="600"/>
      <c r="BX66" s="600"/>
      <c r="BY66" s="601"/>
      <c r="BZ66" s="408"/>
      <c r="CA66" s="408"/>
      <c r="CB66" s="598" t="str">
        <f>IF(ISERROR(MATCH(CB65,予選学校名!$B$3:$B$32,0))=TRUE,CB65,INDEX(予選学校名!$B$3:$F$32,MATCH(CB65,予選学校名!$B$3:$B$32,0),2))</f>
        <v>金沢錦丘</v>
      </c>
      <c r="CC66" s="600"/>
      <c r="CD66" s="600"/>
      <c r="CE66" s="601"/>
      <c r="CF66" s="408"/>
      <c r="CG66" s="408"/>
      <c r="CH66" s="598" t="str">
        <f>IF(ISERROR(MATCH(CH65,予選学校名!$B$3:$B$32,0))=TRUE,CH65,INDEX(予選学校名!$B$3:$F$32,MATCH(CH65,予選学校名!$B$3:$B$32,0),2))</f>
        <v>泉</v>
      </c>
      <c r="CI66" s="600"/>
      <c r="CJ66" s="600"/>
      <c r="CK66" s="601"/>
      <c r="CL66" s="408"/>
      <c r="CM66" s="408"/>
      <c r="CN66" s="598" t="str">
        <f>IF(ISERROR(MATCH(CN65,予選学校名!$B$3:$B$32,0))=TRUE,CN65,INDEX(予選学校名!$B$3:$F$32,MATCH(CN65,予選学校名!$B$3:$B$32,0),2))</f>
        <v>内灘</v>
      </c>
      <c r="CO66" s="600"/>
      <c r="CP66" s="600"/>
      <c r="CQ66" s="601"/>
      <c r="CR66" s="408"/>
      <c r="CS66" s="408"/>
      <c r="CT66" s="598" t="str">
        <f>IF(ISERROR(MATCH(CT65,予選学校名!$B$3:$B$32,0))=TRUE,CT65,INDEX(予選学校名!$B$3:$F$32,MATCH(CT65,予選学校名!$B$3:$B$32,0),2))</f>
        <v>清泉</v>
      </c>
      <c r="CU66" s="600"/>
      <c r="CV66" s="600"/>
      <c r="CW66" s="601"/>
      <c r="CX66" s="408"/>
      <c r="CY66" s="408"/>
      <c r="CZ66" s="598" t="str">
        <f>IF(ISERROR(MATCH(CZ65,予選学校名!$B$3:$B$32,0))=TRUE,CZ65,INDEX(予選学校名!$B$3:$F$32,MATCH(CZ65,予選学校名!$B$3:$B$32,0),2))</f>
        <v>西南部</v>
      </c>
      <c r="DA66" s="600"/>
      <c r="DB66" s="600"/>
      <c r="DC66" s="601"/>
      <c r="DD66" s="408"/>
      <c r="DE66" s="408"/>
      <c r="DF66" s="598" t="str">
        <f>IF(ISERROR(MATCH(DF65,予選学校名!$B$3:$B$32,0))=TRUE,DF65,INDEX(予選学校名!$B$3:$F$32,MATCH(DF65,予選学校名!$B$3:$B$32,0),2))</f>
        <v>金石</v>
      </c>
      <c r="DG66" s="599"/>
      <c r="DH66" s="599"/>
      <c r="DI66" s="599"/>
      <c r="DJ66" s="410"/>
      <c r="DK66" s="408"/>
      <c r="DL66" s="598" t="str">
        <f>IF(ISERROR(MATCH(DL65,予選学校名!$B$3:$B$32,0))=TRUE,DL65,INDEX(予選学校名!$B$3:$F$32,MATCH(DL65,予選学校名!$B$3:$B$32,0),2))</f>
        <v>紫錦台</v>
      </c>
      <c r="DM66" s="600"/>
      <c r="DN66" s="600"/>
      <c r="DO66" s="601"/>
      <c r="DP66" s="408"/>
      <c r="DQ66" s="408"/>
      <c r="DR66" s="598" t="str">
        <f>IF(ISERROR(MATCH(DR65,予選学校名!$B$3:$B$32,0))=TRUE,DR65,INDEX(予選学校名!$B$3:$F$32,MATCH(DR65,予選学校名!$B$3:$B$32,0),2))</f>
        <v>北鳴</v>
      </c>
      <c r="DS66" s="600"/>
      <c r="DT66" s="600"/>
      <c r="DU66" s="601"/>
      <c r="DX66" s="598" t="str">
        <f>IF(ISERROR(MATCH(DX65,予選学校名!$B$3:$B$32,0))=TRUE,DX65,INDEX(予選学校名!$B$3:$F$32,MATCH(DX65,予選学校名!$B$3:$B$32,0),2))</f>
        <v>津幡南</v>
      </c>
      <c r="DY66" s="600"/>
      <c r="DZ66" s="600"/>
      <c r="EA66" s="601"/>
      <c r="EB66" s="408"/>
      <c r="EC66" s="408"/>
      <c r="ED66" s="598" t="str">
        <f>IF(ISERROR(MATCH(ED65,予選学校名!$B$3:$B$32,0))=TRUE,ED65,INDEX(予選学校名!$B$3:$F$32,MATCH(ED65,予選学校名!$B$3:$B$32,0),2))</f>
        <v>高尾台</v>
      </c>
      <c r="EE66" s="600"/>
      <c r="EF66" s="600"/>
      <c r="EG66" s="601"/>
    </row>
    <row r="67" spans="2:148" ht="46.5" customHeight="1" x14ac:dyDescent="0.15"/>
    <row r="68" spans="2:148" ht="13.5" customHeight="1" x14ac:dyDescent="0.15">
      <c r="B68" s="489" t="s">
        <v>613</v>
      </c>
      <c r="C68" s="490"/>
      <c r="D68" s="490"/>
      <c r="E68" s="490"/>
      <c r="F68" s="490"/>
      <c r="G68" s="490"/>
      <c r="H68" s="490"/>
      <c r="I68" s="490"/>
      <c r="J68" s="490"/>
      <c r="K68" s="490"/>
      <c r="L68" s="490"/>
      <c r="M68" s="490"/>
      <c r="N68" s="490"/>
      <c r="O68" s="490"/>
      <c r="P68" s="490"/>
      <c r="Q68" s="490"/>
      <c r="R68" s="490"/>
      <c r="S68" s="490"/>
      <c r="T68" s="490"/>
      <c r="U68" s="490"/>
      <c r="V68" s="490"/>
      <c r="W68" s="490"/>
      <c r="X68" s="490"/>
      <c r="Y68" s="490"/>
      <c r="Z68" s="490"/>
      <c r="AA68" s="490"/>
      <c r="AB68" s="490"/>
      <c r="AC68" s="491"/>
      <c r="AH68" s="537" t="str">
        <f>B21</f>
        <v>23日(月)</v>
      </c>
      <c r="AI68" s="537"/>
      <c r="AJ68" s="537"/>
      <c r="AK68" s="537"/>
      <c r="AL68" s="537"/>
      <c r="AM68" s="537"/>
      <c r="AN68" s="537"/>
      <c r="AO68" s="537"/>
      <c r="AP68" s="537"/>
      <c r="EH68" s="105"/>
      <c r="ER68" s="62"/>
    </row>
    <row r="69" spans="2:148" s="76" customFormat="1" ht="13.5" customHeight="1" x14ac:dyDescent="0.15">
      <c r="B69" s="492"/>
      <c r="C69" s="493"/>
      <c r="D69" s="493"/>
      <c r="E69" s="493"/>
      <c r="F69" s="493"/>
      <c r="G69" s="493"/>
      <c r="H69" s="493"/>
      <c r="I69" s="493"/>
      <c r="J69" s="493"/>
      <c r="K69" s="493"/>
      <c r="L69" s="493"/>
      <c r="M69" s="493"/>
      <c r="N69" s="493"/>
      <c r="O69" s="493"/>
      <c r="P69" s="493"/>
      <c r="Q69" s="493"/>
      <c r="R69" s="493"/>
      <c r="S69" s="493"/>
      <c r="T69" s="493"/>
      <c r="U69" s="493"/>
      <c r="V69" s="493"/>
      <c r="W69" s="493"/>
      <c r="X69" s="493"/>
      <c r="Y69" s="493"/>
      <c r="Z69" s="493"/>
      <c r="AA69" s="493"/>
      <c r="AB69" s="493"/>
      <c r="AC69" s="494"/>
      <c r="AH69" s="537"/>
      <c r="AI69" s="537"/>
      <c r="AJ69" s="537"/>
      <c r="AK69" s="537"/>
      <c r="AL69" s="537"/>
      <c r="AM69" s="537"/>
      <c r="AN69" s="537"/>
      <c r="AO69" s="537"/>
      <c r="AP69" s="537"/>
      <c r="AZ69" s="521"/>
      <c r="BA69" s="521"/>
      <c r="BB69" s="521"/>
      <c r="BC69" s="521"/>
      <c r="BE69" s="144"/>
      <c r="BF69" s="144"/>
      <c r="BG69" s="144"/>
      <c r="BH69" s="144"/>
      <c r="BI69" s="144"/>
      <c r="BJ69" s="144"/>
      <c r="BK69" s="144"/>
      <c r="BL69" s="144"/>
      <c r="BM69" s="144"/>
      <c r="BN69" s="522"/>
      <c r="BO69" s="522"/>
      <c r="BP69" s="522"/>
      <c r="BQ69" s="522"/>
      <c r="BR69" s="522"/>
      <c r="BS69" s="522"/>
      <c r="BT69" s="522"/>
      <c r="BU69" s="522"/>
      <c r="BV69" s="522"/>
      <c r="BW69" s="522"/>
      <c r="BX69" s="522"/>
      <c r="BY69" s="522"/>
      <c r="BZ69" s="522"/>
      <c r="CA69" s="522"/>
      <c r="CB69" s="144"/>
      <c r="CC69" s="144"/>
      <c r="CD69" s="144"/>
      <c r="CE69" s="144"/>
      <c r="CF69" s="144"/>
      <c r="CG69" s="144"/>
      <c r="CH69" s="144"/>
      <c r="CI69" s="144"/>
      <c r="CJ69" s="144"/>
      <c r="CK69" s="144"/>
      <c r="CY69" s="72"/>
      <c r="CZ69" s="72"/>
      <c r="DA69" s="72"/>
      <c r="DB69" s="72"/>
      <c r="DC69" s="72"/>
      <c r="DD69" s="72"/>
      <c r="DE69" s="72"/>
      <c r="DF69" s="72"/>
      <c r="DG69" s="72"/>
      <c r="DH69" s="72"/>
      <c r="DI69" s="72"/>
      <c r="DJ69" s="72"/>
      <c r="DK69" s="72"/>
      <c r="DW69" s="105"/>
      <c r="DX69" s="72"/>
      <c r="DY69" s="72"/>
      <c r="DZ69" s="72"/>
      <c r="EA69" s="72"/>
      <c r="EB69" s="72"/>
      <c r="EC69" s="72"/>
      <c r="ED69" s="72"/>
      <c r="ER69" s="75"/>
    </row>
    <row r="70" spans="2:148" s="76" customFormat="1" ht="13.5" customHeight="1" x14ac:dyDescent="0.15">
      <c r="H70" s="495" t="str">
        <f>IF(Z73=Z80,"",IF(Z73&gt;Z80,"【第5代表】",IF(BC76&gt;CE76,"【第7代表】","")))</f>
        <v/>
      </c>
      <c r="I70" s="495"/>
      <c r="J70" s="495"/>
      <c r="K70" s="495"/>
      <c r="L70" s="495"/>
      <c r="M70" s="495"/>
      <c r="N70" s="495"/>
      <c r="O70" s="495"/>
      <c r="P70" s="495"/>
      <c r="Q70" s="495"/>
      <c r="R70" s="495"/>
      <c r="S70" s="495"/>
      <c r="T70" s="495"/>
      <c r="U70" s="495"/>
      <c r="V70" s="495"/>
      <c r="W70" s="495"/>
      <c r="X70" s="495"/>
      <c r="Y70" s="495"/>
      <c r="AZ70" s="521"/>
      <c r="BA70" s="521"/>
      <c r="BB70" s="521"/>
      <c r="BC70" s="521"/>
      <c r="BD70" s="144"/>
      <c r="BE70" s="144"/>
      <c r="BF70" s="144"/>
      <c r="BG70" s="144"/>
      <c r="BH70" s="144"/>
      <c r="BI70" s="144"/>
      <c r="BJ70" s="144"/>
      <c r="BK70" s="144"/>
      <c r="BL70" s="144"/>
      <c r="BM70" s="144"/>
      <c r="BN70" s="522"/>
      <c r="BO70" s="522"/>
      <c r="BP70" s="522"/>
      <c r="BQ70" s="522"/>
      <c r="BR70" s="522"/>
      <c r="BS70" s="522"/>
      <c r="BT70" s="522"/>
      <c r="BU70" s="522"/>
      <c r="BV70" s="522"/>
      <c r="BW70" s="522"/>
      <c r="BX70" s="522"/>
      <c r="BY70" s="522"/>
      <c r="BZ70" s="522"/>
      <c r="CA70" s="522"/>
      <c r="CB70" s="144"/>
      <c r="CC70" s="144"/>
      <c r="CD70" s="144"/>
      <c r="CE70" s="144"/>
      <c r="CF70" s="144"/>
      <c r="CG70" s="144"/>
      <c r="CH70" s="144"/>
      <c r="CI70" s="144"/>
      <c r="CJ70" s="144"/>
      <c r="CK70" s="144"/>
      <c r="DJ70" s="497" t="str">
        <f>IF(DH73=DH80,"",IF(DH73&gt;DH80,"【第5代表】",IF(BC76&lt;CE76,"【第7代表】","")))</f>
        <v/>
      </c>
      <c r="DK70" s="497"/>
      <c r="DL70" s="497"/>
      <c r="DM70" s="497"/>
      <c r="DN70" s="497"/>
      <c r="DO70" s="497"/>
      <c r="DP70" s="497"/>
      <c r="DQ70" s="497"/>
      <c r="DR70" s="497"/>
      <c r="DS70" s="497"/>
      <c r="DT70" s="497"/>
      <c r="DU70" s="497"/>
      <c r="DV70" s="497"/>
      <c r="DW70" s="497"/>
      <c r="DX70" s="497"/>
      <c r="DY70" s="497"/>
      <c r="DZ70" s="497"/>
      <c r="EA70" s="497"/>
      <c r="ER70" s="75"/>
    </row>
    <row r="71" spans="2:148" s="76" customFormat="1" ht="13.5" customHeight="1" x14ac:dyDescent="0.15">
      <c r="H71" s="495"/>
      <c r="I71" s="495"/>
      <c r="J71" s="495"/>
      <c r="K71" s="495"/>
      <c r="L71" s="495"/>
      <c r="M71" s="495"/>
      <c r="N71" s="495"/>
      <c r="O71" s="495"/>
      <c r="P71" s="495"/>
      <c r="Q71" s="495"/>
      <c r="R71" s="495"/>
      <c r="S71" s="495"/>
      <c r="T71" s="495"/>
      <c r="U71" s="495"/>
      <c r="V71" s="495"/>
      <c r="W71" s="495"/>
      <c r="X71" s="495"/>
      <c r="Y71" s="495"/>
      <c r="AZ71" s="88"/>
      <c r="BA71" s="88"/>
      <c r="BB71" s="88"/>
      <c r="BC71" s="88"/>
      <c r="BD71" s="144"/>
      <c r="BE71" s="144"/>
      <c r="BF71" s="144"/>
      <c r="BG71" s="144"/>
      <c r="BH71" s="144"/>
      <c r="BI71" s="144"/>
      <c r="BJ71" s="144"/>
      <c r="BK71" s="144"/>
      <c r="BL71" s="144"/>
      <c r="BM71" s="144"/>
      <c r="BN71" s="386"/>
      <c r="BO71" s="386"/>
      <c r="BP71" s="386"/>
      <c r="BQ71" s="386"/>
      <c r="BR71" s="386"/>
      <c r="BS71" s="386"/>
      <c r="BT71" s="386"/>
      <c r="BU71" s="386"/>
      <c r="BV71" s="386"/>
      <c r="BW71" s="386"/>
      <c r="BX71" s="386"/>
      <c r="BY71" s="386"/>
      <c r="BZ71" s="386"/>
      <c r="CA71" s="386"/>
      <c r="CB71" s="144"/>
      <c r="CC71" s="144"/>
      <c r="CD71" s="144"/>
      <c r="CE71" s="144"/>
      <c r="CF71" s="144"/>
      <c r="CG71" s="144"/>
      <c r="CH71" s="144"/>
      <c r="CI71" s="144"/>
      <c r="CJ71" s="144"/>
      <c r="CK71" s="144"/>
      <c r="DJ71" s="497"/>
      <c r="DK71" s="497"/>
      <c r="DL71" s="497"/>
      <c r="DM71" s="497"/>
      <c r="DN71" s="497"/>
      <c r="DO71" s="497"/>
      <c r="DP71" s="497"/>
      <c r="DQ71" s="497"/>
      <c r="DR71" s="497"/>
      <c r="DS71" s="497"/>
      <c r="DT71" s="497"/>
      <c r="DU71" s="497"/>
      <c r="DV71" s="497"/>
      <c r="DW71" s="497"/>
      <c r="DX71" s="497"/>
      <c r="DY71" s="497"/>
      <c r="DZ71" s="497"/>
      <c r="EA71" s="497"/>
      <c r="ER71" s="75"/>
    </row>
    <row r="72" spans="2:148" x14ac:dyDescent="0.15">
      <c r="H72" s="508" t="s">
        <v>620</v>
      </c>
      <c r="I72" s="508"/>
      <c r="J72" s="508"/>
      <c r="K72" s="508"/>
      <c r="L72" s="508"/>
      <c r="M72" s="508"/>
      <c r="N72" s="508"/>
      <c r="O72" s="508"/>
      <c r="P72" s="508"/>
      <c r="Q72" s="508"/>
      <c r="R72" s="508"/>
      <c r="S72" s="508"/>
      <c r="T72" s="508"/>
      <c r="U72" s="508"/>
      <c r="V72" s="508"/>
      <c r="W72" s="508"/>
      <c r="X72" s="508"/>
      <c r="Y72" s="508"/>
      <c r="Z72" s="504"/>
      <c r="AA72" s="504"/>
      <c r="AB72" s="504"/>
      <c r="AC72" s="504"/>
      <c r="AD72" s="504"/>
      <c r="AE72" s="504"/>
      <c r="AF72" s="504"/>
      <c r="AG72" s="504"/>
      <c r="AH72" s="504"/>
      <c r="AI72" s="504"/>
      <c r="AJ72" s="504"/>
      <c r="AK72" s="504"/>
      <c r="AL72" s="504"/>
      <c r="AM72" s="504"/>
      <c r="AN72" s="504"/>
      <c r="AO72" s="504"/>
      <c r="AP72" s="504"/>
      <c r="AQ72" s="504"/>
      <c r="AR72" s="504"/>
      <c r="AS72" s="504"/>
      <c r="AT72" s="504"/>
      <c r="AU72" s="504"/>
      <c r="AV72" s="504"/>
      <c r="AW72" s="504"/>
      <c r="AX72" s="504"/>
      <c r="AY72" s="504"/>
      <c r="AZ72" s="504"/>
      <c r="BA72" s="504"/>
      <c r="CH72" s="505"/>
      <c r="CI72" s="505"/>
      <c r="CJ72" s="505"/>
      <c r="CK72" s="505"/>
      <c r="CL72" s="505"/>
      <c r="CM72" s="505"/>
      <c r="CN72" s="505"/>
      <c r="CO72" s="505"/>
      <c r="CP72" s="505"/>
      <c r="CQ72" s="505"/>
      <c r="CR72" s="505"/>
      <c r="CS72" s="505"/>
      <c r="CT72" s="505"/>
      <c r="CU72" s="505"/>
      <c r="CV72" s="505"/>
      <c r="CW72" s="505"/>
      <c r="CX72" s="505"/>
      <c r="CY72" s="505"/>
      <c r="CZ72" s="505"/>
      <c r="DA72" s="505"/>
      <c r="DB72" s="505"/>
      <c r="DC72" s="505"/>
      <c r="DD72" s="505"/>
      <c r="DE72" s="505"/>
      <c r="DF72" s="505"/>
      <c r="DG72" s="505"/>
      <c r="DH72" s="505"/>
      <c r="DI72" s="505"/>
      <c r="DJ72" s="496" t="s">
        <v>622</v>
      </c>
      <c r="DK72" s="496"/>
      <c r="DL72" s="496"/>
      <c r="DM72" s="496"/>
      <c r="DN72" s="496"/>
      <c r="DO72" s="496"/>
      <c r="DP72" s="496"/>
      <c r="DQ72" s="496"/>
      <c r="DR72" s="496"/>
      <c r="DS72" s="496"/>
      <c r="DT72" s="496"/>
      <c r="DU72" s="496"/>
      <c r="DV72" s="496"/>
      <c r="DW72" s="496"/>
      <c r="DX72" s="496"/>
      <c r="DY72" s="496"/>
      <c r="DZ72" s="496"/>
      <c r="EA72" s="496"/>
    </row>
    <row r="73" spans="2:148" x14ac:dyDescent="0.15">
      <c r="H73" s="508"/>
      <c r="I73" s="508"/>
      <c r="J73" s="508"/>
      <c r="K73" s="508"/>
      <c r="L73" s="508"/>
      <c r="M73" s="508"/>
      <c r="N73" s="508"/>
      <c r="O73" s="508"/>
      <c r="P73" s="508"/>
      <c r="Q73" s="508"/>
      <c r="R73" s="508"/>
      <c r="S73" s="508"/>
      <c r="T73" s="508"/>
      <c r="U73" s="508"/>
      <c r="V73" s="508"/>
      <c r="W73" s="508"/>
      <c r="X73" s="508"/>
      <c r="Y73" s="508"/>
      <c r="Z73" s="411"/>
      <c r="AA73" s="411"/>
      <c r="AB73" s="414"/>
      <c r="AC73" s="414"/>
      <c r="AD73" s="414"/>
      <c r="AE73" s="414"/>
      <c r="AF73" s="414"/>
      <c r="AG73" s="414"/>
      <c r="AH73" s="414"/>
      <c r="AI73" s="414"/>
      <c r="AJ73" s="414"/>
      <c r="AK73" s="414"/>
      <c r="AL73" s="414"/>
      <c r="AM73" s="414"/>
      <c r="AN73" s="414"/>
      <c r="AO73" s="414"/>
      <c r="AP73" s="414"/>
      <c r="AQ73" s="414"/>
      <c r="AR73" s="414"/>
      <c r="AS73" s="414"/>
      <c r="AT73" s="414"/>
      <c r="AU73" s="414"/>
      <c r="AV73" s="414"/>
      <c r="AW73" s="414"/>
      <c r="AX73" s="414"/>
      <c r="AY73" s="414"/>
      <c r="AZ73" s="414"/>
      <c r="BA73" s="415"/>
      <c r="BB73" s="518"/>
      <c r="CG73" s="516"/>
      <c r="CH73" s="418"/>
      <c r="CI73" s="414"/>
      <c r="CJ73" s="414"/>
      <c r="CK73" s="414"/>
      <c r="CL73" s="414"/>
      <c r="CM73" s="414"/>
      <c r="CN73" s="414"/>
      <c r="CO73" s="414"/>
      <c r="CP73" s="414"/>
      <c r="CQ73" s="414"/>
      <c r="CR73" s="414"/>
      <c r="CS73" s="414"/>
      <c r="CT73" s="414"/>
      <c r="CU73" s="414"/>
      <c r="CV73" s="414"/>
      <c r="CW73" s="414"/>
      <c r="CX73" s="414"/>
      <c r="CY73" s="414"/>
      <c r="CZ73" s="414"/>
      <c r="DA73" s="414"/>
      <c r="DB73" s="414"/>
      <c r="DC73" s="414"/>
      <c r="DD73" s="414"/>
      <c r="DE73" s="414"/>
      <c r="DF73" s="414"/>
      <c r="DG73" s="414"/>
      <c r="DH73" s="411"/>
      <c r="DI73" s="411"/>
      <c r="DJ73" s="496"/>
      <c r="DK73" s="496"/>
      <c r="DL73" s="496"/>
      <c r="DM73" s="496"/>
      <c r="DN73" s="496"/>
      <c r="DO73" s="496"/>
      <c r="DP73" s="496"/>
      <c r="DQ73" s="496"/>
      <c r="DR73" s="496"/>
      <c r="DS73" s="496"/>
      <c r="DT73" s="496"/>
      <c r="DU73" s="496"/>
      <c r="DV73" s="496"/>
      <c r="DW73" s="496"/>
      <c r="DX73" s="496"/>
      <c r="DY73" s="496"/>
      <c r="DZ73" s="496"/>
      <c r="EA73" s="496"/>
    </row>
    <row r="74" spans="2:148" x14ac:dyDescent="0.15">
      <c r="Z74" s="416"/>
      <c r="AA74" s="416"/>
      <c r="AB74" s="306"/>
      <c r="AC74" s="306"/>
      <c r="AD74" s="306"/>
      <c r="AE74" s="306"/>
      <c r="AF74" s="306"/>
      <c r="AG74" s="306"/>
      <c r="AH74" s="306"/>
      <c r="AI74" s="306"/>
      <c r="AJ74" s="306"/>
      <c r="AK74" s="306"/>
      <c r="AQ74" s="131"/>
      <c r="AR74" s="131"/>
      <c r="AS74" s="131"/>
      <c r="AT74" s="131"/>
      <c r="AU74" s="72"/>
      <c r="AV74" s="72"/>
      <c r="AW74" s="131"/>
      <c r="AX74" s="131"/>
      <c r="AY74" s="131"/>
      <c r="AZ74" s="131"/>
      <c r="BA74" s="398"/>
      <c r="BB74" s="519"/>
      <c r="BC74" s="502"/>
      <c r="BD74" s="502"/>
      <c r="BE74" s="502"/>
      <c r="BF74" s="502"/>
      <c r="BG74" s="502"/>
      <c r="BH74" s="502"/>
      <c r="BI74" s="502"/>
      <c r="BJ74" s="502"/>
      <c r="BK74" s="502"/>
      <c r="BL74" s="502"/>
      <c r="BM74" s="502"/>
      <c r="BN74" s="502"/>
      <c r="BO74" s="502"/>
      <c r="BP74" s="502"/>
      <c r="BQ74" s="502"/>
      <c r="BR74" s="502"/>
      <c r="BS74" s="502"/>
      <c r="BT74" s="502"/>
      <c r="BU74" s="502"/>
      <c r="BV74" s="502"/>
      <c r="BW74" s="502"/>
      <c r="BX74" s="502"/>
      <c r="BY74" s="502"/>
      <c r="BZ74" s="502"/>
      <c r="CA74" s="502"/>
      <c r="CB74" s="502"/>
      <c r="CC74" s="502"/>
      <c r="CD74" s="502"/>
      <c r="CE74" s="502"/>
      <c r="CF74" s="502"/>
      <c r="CG74" s="517"/>
      <c r="CH74" s="400"/>
      <c r="CI74" s="131"/>
      <c r="CJ74" s="131"/>
      <c r="CK74" s="131"/>
      <c r="CL74" s="131"/>
      <c r="CM74" s="72"/>
      <c r="CN74" s="72"/>
      <c r="CO74" s="131"/>
      <c r="CP74" s="131"/>
      <c r="CQ74" s="131"/>
      <c r="CR74" s="131"/>
      <c r="DH74" s="416"/>
      <c r="DI74" s="416"/>
      <c r="DJ74" s="496"/>
      <c r="DK74" s="496"/>
      <c r="DL74" s="496"/>
      <c r="DM74" s="496"/>
      <c r="DN74" s="496"/>
      <c r="DO74" s="496"/>
      <c r="DP74" s="496"/>
      <c r="DQ74" s="496"/>
      <c r="DR74" s="496"/>
      <c r="DS74" s="496"/>
      <c r="DT74" s="496"/>
      <c r="DU74" s="496"/>
      <c r="DV74" s="496"/>
      <c r="DW74" s="496"/>
      <c r="DX74" s="496"/>
      <c r="DY74" s="496"/>
      <c r="DZ74" s="496"/>
      <c r="EA74" s="496"/>
    </row>
    <row r="75" spans="2:148" x14ac:dyDescent="0.15">
      <c r="Z75" s="306"/>
      <c r="AA75" s="594" t="s">
        <v>624</v>
      </c>
      <c r="AB75" s="594"/>
      <c r="AC75" s="594"/>
      <c r="AD75" s="594"/>
      <c r="AE75" s="594"/>
      <c r="AF75" s="594"/>
      <c r="AG75" s="594"/>
      <c r="AH75" s="594"/>
      <c r="AI75" s="594"/>
      <c r="AJ75" s="594"/>
      <c r="AK75" s="594"/>
      <c r="AL75" s="594"/>
      <c r="AM75" s="594"/>
      <c r="AN75" s="594"/>
      <c r="AO75" s="594"/>
      <c r="AP75" s="594"/>
      <c r="AQ75" s="594"/>
      <c r="AR75" s="594"/>
      <c r="AS75" s="594"/>
      <c r="AT75" s="594"/>
      <c r="AU75" s="594"/>
      <c r="AV75" s="594"/>
      <c r="AW75" s="594"/>
      <c r="AX75" s="594"/>
      <c r="AY75" s="594"/>
      <c r="AZ75" s="131"/>
      <c r="BA75" s="398"/>
      <c r="BB75" s="520"/>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20"/>
      <c r="CH75" s="400"/>
      <c r="CI75" s="131"/>
      <c r="CJ75" s="588" t="s">
        <v>624</v>
      </c>
      <c r="CK75" s="588"/>
      <c r="CL75" s="588"/>
      <c r="CM75" s="588"/>
      <c r="CN75" s="588"/>
      <c r="CO75" s="588"/>
      <c r="CP75" s="588"/>
      <c r="CQ75" s="588"/>
      <c r="CR75" s="588"/>
      <c r="CS75" s="588"/>
      <c r="CT75" s="588"/>
      <c r="CU75" s="588"/>
      <c r="CV75" s="588"/>
      <c r="CW75" s="588"/>
      <c r="CX75" s="588"/>
      <c r="CY75" s="588"/>
      <c r="CZ75" s="588"/>
      <c r="DA75" s="588"/>
      <c r="DB75" s="588"/>
      <c r="DC75" s="588"/>
      <c r="DD75" s="588"/>
      <c r="DE75" s="588"/>
      <c r="DF75" s="588"/>
      <c r="DG75" s="588"/>
      <c r="DH75" s="588"/>
      <c r="DI75" s="306"/>
      <c r="DJ75" s="496"/>
      <c r="DK75" s="496"/>
      <c r="DL75" s="496"/>
      <c r="DM75" s="496"/>
      <c r="DN75" s="496"/>
      <c r="DO75" s="496"/>
      <c r="DP75" s="496"/>
      <c r="DQ75" s="496"/>
      <c r="DR75" s="496"/>
      <c r="DS75" s="496"/>
      <c r="DT75" s="496"/>
      <c r="DU75" s="496"/>
      <c r="DV75" s="496"/>
      <c r="DW75" s="496"/>
      <c r="DX75" s="496"/>
      <c r="DY75" s="496"/>
      <c r="DZ75" s="496"/>
      <c r="EA75" s="496"/>
    </row>
    <row r="76" spans="2:148" x14ac:dyDescent="0.15">
      <c r="V76" s="306"/>
      <c r="W76" s="306"/>
      <c r="X76" s="306"/>
      <c r="Y76" s="306"/>
      <c r="Z76" s="306"/>
      <c r="AA76" s="594"/>
      <c r="AB76" s="594"/>
      <c r="AC76" s="594"/>
      <c r="AD76" s="594"/>
      <c r="AE76" s="594"/>
      <c r="AF76" s="594"/>
      <c r="AG76" s="594"/>
      <c r="AH76" s="594"/>
      <c r="AI76" s="594"/>
      <c r="AJ76" s="594"/>
      <c r="AK76" s="594"/>
      <c r="AL76" s="594"/>
      <c r="AM76" s="594"/>
      <c r="AN76" s="594"/>
      <c r="AO76" s="594"/>
      <c r="AP76" s="594"/>
      <c r="AQ76" s="594"/>
      <c r="AR76" s="594"/>
      <c r="AS76" s="594"/>
      <c r="AT76" s="594"/>
      <c r="AU76" s="594"/>
      <c r="AV76" s="594"/>
      <c r="AW76" s="594"/>
      <c r="AX76" s="594"/>
      <c r="AY76" s="594"/>
      <c r="AZ76" s="131"/>
      <c r="BA76" s="398"/>
      <c r="BB76" s="520"/>
      <c r="BC76" s="520" t="s">
        <v>624</v>
      </c>
      <c r="BD76" s="520"/>
      <c r="BE76" s="520"/>
      <c r="BF76" s="520"/>
      <c r="BG76" s="520"/>
      <c r="BH76" s="520"/>
      <c r="BI76" s="520"/>
      <c r="BJ76" s="520"/>
      <c r="BK76" s="520"/>
      <c r="BL76" s="520"/>
      <c r="BM76" s="520"/>
      <c r="BN76" s="520"/>
      <c r="BO76" s="520"/>
      <c r="BP76" s="520"/>
      <c r="BQ76" s="520"/>
      <c r="BR76" s="520"/>
      <c r="BS76" s="520"/>
      <c r="BT76" s="520"/>
      <c r="BU76" s="520"/>
      <c r="BV76" s="520"/>
      <c r="BW76" s="520"/>
      <c r="BX76" s="520"/>
      <c r="BY76" s="520"/>
      <c r="BZ76" s="520"/>
      <c r="CA76" s="520"/>
      <c r="CB76" s="520"/>
      <c r="CC76" s="520"/>
      <c r="CD76" s="520"/>
      <c r="CE76" s="520"/>
      <c r="CF76" s="520"/>
      <c r="CG76" s="520"/>
      <c r="CH76" s="400"/>
      <c r="CI76" s="131"/>
      <c r="CJ76" s="588"/>
      <c r="CK76" s="588"/>
      <c r="CL76" s="588"/>
      <c r="CM76" s="588"/>
      <c r="CN76" s="588"/>
      <c r="CO76" s="588"/>
      <c r="CP76" s="588"/>
      <c r="CQ76" s="588"/>
      <c r="CR76" s="588"/>
      <c r="CS76" s="588"/>
      <c r="CT76" s="588"/>
      <c r="CU76" s="588"/>
      <c r="CV76" s="588"/>
      <c r="CW76" s="588"/>
      <c r="CX76" s="588"/>
      <c r="CY76" s="588"/>
      <c r="CZ76" s="588"/>
      <c r="DA76" s="588"/>
      <c r="DB76" s="588"/>
      <c r="DC76" s="588"/>
      <c r="DD76" s="588"/>
      <c r="DE76" s="588"/>
      <c r="DF76" s="588"/>
      <c r="DG76" s="588"/>
      <c r="DH76" s="588"/>
      <c r="DI76" s="306"/>
    </row>
    <row r="77" spans="2:148" x14ac:dyDescent="0.15">
      <c r="AA77" s="593">
        <v>0.375</v>
      </c>
      <c r="AB77" s="520"/>
      <c r="AC77" s="520"/>
      <c r="AD77" s="520"/>
      <c r="AE77" s="520"/>
      <c r="AF77" s="520"/>
      <c r="AG77" s="520"/>
      <c r="AH77" s="520"/>
      <c r="AI77" s="520"/>
      <c r="AJ77" s="520"/>
      <c r="AK77" s="520"/>
      <c r="AL77" s="520"/>
      <c r="AM77" s="520"/>
      <c r="AN77" s="520"/>
      <c r="AO77" s="520"/>
      <c r="AP77" s="520"/>
      <c r="AQ77" s="520"/>
      <c r="AR77" s="520"/>
      <c r="AS77" s="520"/>
      <c r="AT77" s="520"/>
      <c r="AU77" s="520"/>
      <c r="AV77" s="520"/>
      <c r="AW77" s="520"/>
      <c r="AX77" s="520"/>
      <c r="AY77" s="520"/>
      <c r="AZ77" s="131"/>
      <c r="BA77" s="398"/>
      <c r="BB77" s="520"/>
      <c r="BC77" s="520"/>
      <c r="BD77" s="520"/>
      <c r="BE77" s="520"/>
      <c r="BF77" s="520"/>
      <c r="BG77" s="520"/>
      <c r="BH77" s="520"/>
      <c r="BI77" s="520"/>
      <c r="BJ77" s="520"/>
      <c r="BK77" s="520"/>
      <c r="BL77" s="520"/>
      <c r="BM77" s="520"/>
      <c r="BN77" s="520"/>
      <c r="BO77" s="520"/>
      <c r="BP77" s="520"/>
      <c r="BQ77" s="520"/>
      <c r="BR77" s="520"/>
      <c r="BS77" s="520"/>
      <c r="BT77" s="520"/>
      <c r="BU77" s="520"/>
      <c r="BV77" s="520"/>
      <c r="BW77" s="520"/>
      <c r="BX77" s="520"/>
      <c r="BY77" s="520"/>
      <c r="BZ77" s="520"/>
      <c r="CA77" s="520"/>
      <c r="CB77" s="520"/>
      <c r="CC77" s="520"/>
      <c r="CD77" s="520"/>
      <c r="CE77" s="520"/>
      <c r="CF77" s="520"/>
      <c r="CG77" s="520"/>
      <c r="CH77" s="400"/>
      <c r="CI77" s="131"/>
      <c r="CJ77" s="595">
        <v>0.4375</v>
      </c>
      <c r="CK77" s="485"/>
      <c r="CL77" s="485"/>
      <c r="CM77" s="485"/>
      <c r="CN77" s="485"/>
      <c r="CO77" s="485"/>
      <c r="CP77" s="485"/>
      <c r="CQ77" s="485"/>
      <c r="CR77" s="485"/>
      <c r="CS77" s="485"/>
      <c r="CT77" s="485"/>
      <c r="CU77" s="485"/>
      <c r="CV77" s="485"/>
      <c r="CW77" s="485"/>
      <c r="CX77" s="485"/>
      <c r="CY77" s="485"/>
      <c r="CZ77" s="485"/>
      <c r="DA77" s="485"/>
      <c r="DB77" s="485"/>
      <c r="DC77" s="485"/>
      <c r="DD77" s="485"/>
      <c r="DE77" s="485"/>
      <c r="DF77" s="485"/>
      <c r="DG77" s="485"/>
      <c r="DH77" s="485"/>
    </row>
    <row r="78" spans="2:148" ht="14.25" customHeight="1" x14ac:dyDescent="0.15">
      <c r="H78" s="495" t="str">
        <f>IF(Z73=Z80,"",IF(Z73&lt;Z80,"【第5代表】",IF(BC76&gt;CE76,"【第7代表】","")))</f>
        <v/>
      </c>
      <c r="I78" s="495"/>
      <c r="J78" s="495"/>
      <c r="K78" s="495"/>
      <c r="L78" s="495"/>
      <c r="M78" s="495"/>
      <c r="N78" s="495"/>
      <c r="O78" s="495"/>
      <c r="P78" s="495"/>
      <c r="Q78" s="495"/>
      <c r="R78" s="495"/>
      <c r="S78" s="495"/>
      <c r="T78" s="495"/>
      <c r="U78" s="495"/>
      <c r="V78" s="495"/>
      <c r="W78" s="495"/>
      <c r="X78" s="495"/>
      <c r="Y78" s="495"/>
      <c r="AA78" s="593"/>
      <c r="AB78" s="520"/>
      <c r="AC78" s="520"/>
      <c r="AD78" s="520"/>
      <c r="AE78" s="520"/>
      <c r="AF78" s="520"/>
      <c r="AG78" s="520"/>
      <c r="AH78" s="520"/>
      <c r="AI78" s="520"/>
      <c r="AJ78" s="520"/>
      <c r="AK78" s="520"/>
      <c r="AL78" s="520"/>
      <c r="AM78" s="520"/>
      <c r="AN78" s="520"/>
      <c r="AO78" s="520"/>
      <c r="AP78" s="520"/>
      <c r="AQ78" s="520"/>
      <c r="AR78" s="520"/>
      <c r="AS78" s="520"/>
      <c r="AT78" s="520"/>
      <c r="AU78" s="520"/>
      <c r="AV78" s="520"/>
      <c r="AW78" s="520"/>
      <c r="AX78" s="520"/>
      <c r="AY78" s="520"/>
      <c r="AZ78" s="72"/>
      <c r="BA78" s="398"/>
      <c r="BB78" s="520"/>
      <c r="BC78" s="593">
        <v>0.58333333333333337</v>
      </c>
      <c r="BD78" s="520"/>
      <c r="BE78" s="520"/>
      <c r="BF78" s="520"/>
      <c r="BG78" s="520"/>
      <c r="BH78" s="520"/>
      <c r="BI78" s="520"/>
      <c r="BJ78" s="520"/>
      <c r="BK78" s="520"/>
      <c r="BL78" s="520"/>
      <c r="BM78" s="520"/>
      <c r="BN78" s="520"/>
      <c r="BO78" s="520"/>
      <c r="BP78" s="520"/>
      <c r="BQ78" s="520"/>
      <c r="BR78" s="520"/>
      <c r="BS78" s="520"/>
      <c r="BT78" s="520"/>
      <c r="BU78" s="520"/>
      <c r="BV78" s="520"/>
      <c r="BW78" s="520"/>
      <c r="BX78" s="520"/>
      <c r="BY78" s="520"/>
      <c r="BZ78" s="520"/>
      <c r="CA78" s="520"/>
      <c r="CB78" s="520"/>
      <c r="CC78" s="520"/>
      <c r="CD78" s="520"/>
      <c r="CE78" s="520"/>
      <c r="CF78" s="520"/>
      <c r="CG78" s="520"/>
      <c r="CH78" s="400"/>
      <c r="CI78" s="72"/>
      <c r="CJ78" s="595"/>
      <c r="CK78" s="485"/>
      <c r="CL78" s="485"/>
      <c r="CM78" s="485"/>
      <c r="CN78" s="485"/>
      <c r="CO78" s="485"/>
      <c r="CP78" s="485"/>
      <c r="CQ78" s="485"/>
      <c r="CR78" s="485"/>
      <c r="CS78" s="485"/>
      <c r="CT78" s="485"/>
      <c r="CU78" s="485"/>
      <c r="CV78" s="485"/>
      <c r="CW78" s="485"/>
      <c r="CX78" s="485"/>
      <c r="CY78" s="485"/>
      <c r="CZ78" s="485"/>
      <c r="DA78" s="485"/>
      <c r="DB78" s="485"/>
      <c r="DC78" s="485"/>
      <c r="DD78" s="485"/>
      <c r="DE78" s="485"/>
      <c r="DF78" s="485"/>
      <c r="DG78" s="485"/>
      <c r="DH78" s="485"/>
      <c r="DJ78" s="497" t="str">
        <f>IF(DH73=DH80,"",IF(DH73&lt;DH80,"【第5代表】",IF(BC76&lt;CE76,"【第7代表】","")))</f>
        <v/>
      </c>
      <c r="DK78" s="497"/>
      <c r="DL78" s="497"/>
      <c r="DM78" s="497"/>
      <c r="DN78" s="497"/>
      <c r="DO78" s="497"/>
      <c r="DP78" s="497"/>
      <c r="DQ78" s="497"/>
      <c r="DR78" s="497"/>
      <c r="DS78" s="497"/>
      <c r="DT78" s="497"/>
      <c r="DU78" s="497"/>
      <c r="DV78" s="497"/>
      <c r="DW78" s="497"/>
      <c r="DX78" s="497"/>
      <c r="DY78" s="497"/>
      <c r="DZ78" s="497"/>
      <c r="EA78" s="497"/>
    </row>
    <row r="79" spans="2:148" ht="14.25" customHeight="1" x14ac:dyDescent="0.15">
      <c r="H79" s="495"/>
      <c r="I79" s="495"/>
      <c r="J79" s="495"/>
      <c r="K79" s="495"/>
      <c r="L79" s="495"/>
      <c r="M79" s="495"/>
      <c r="N79" s="495"/>
      <c r="O79" s="495"/>
      <c r="P79" s="495"/>
      <c r="Q79" s="495"/>
      <c r="R79" s="495"/>
      <c r="S79" s="495"/>
      <c r="T79" s="495"/>
      <c r="U79" s="495"/>
      <c r="V79" s="495"/>
      <c r="W79" s="495"/>
      <c r="X79" s="495"/>
      <c r="Y79" s="495"/>
      <c r="AQ79" s="131"/>
      <c r="AR79" s="131"/>
      <c r="AS79" s="131"/>
      <c r="AT79" s="131"/>
      <c r="AU79" s="132"/>
      <c r="AV79" s="132"/>
      <c r="AW79" s="131"/>
      <c r="AX79" s="131"/>
      <c r="AY79" s="131"/>
      <c r="AZ79" s="131"/>
      <c r="BA79" s="398"/>
      <c r="BB79" s="520"/>
      <c r="BC79" s="593"/>
      <c r="BD79" s="520"/>
      <c r="BE79" s="520"/>
      <c r="BF79" s="520"/>
      <c r="BG79" s="520"/>
      <c r="BH79" s="520"/>
      <c r="BI79" s="520"/>
      <c r="BJ79" s="520"/>
      <c r="BK79" s="520"/>
      <c r="BL79" s="520"/>
      <c r="BM79" s="520"/>
      <c r="BN79" s="520"/>
      <c r="BO79" s="520"/>
      <c r="BP79" s="520"/>
      <c r="BQ79" s="520"/>
      <c r="BR79" s="520"/>
      <c r="BS79" s="520"/>
      <c r="BT79" s="520"/>
      <c r="BU79" s="520"/>
      <c r="BV79" s="520"/>
      <c r="BW79" s="520"/>
      <c r="BX79" s="520"/>
      <c r="BY79" s="520"/>
      <c r="BZ79" s="520"/>
      <c r="CA79" s="520"/>
      <c r="CB79" s="520"/>
      <c r="CC79" s="520"/>
      <c r="CD79" s="520"/>
      <c r="CE79" s="520"/>
      <c r="CF79" s="520"/>
      <c r="CG79" s="520"/>
      <c r="CH79" s="400"/>
      <c r="CI79" s="131"/>
      <c r="CJ79" s="131"/>
      <c r="CK79" s="131"/>
      <c r="CL79" s="131"/>
      <c r="CM79" s="132"/>
      <c r="CN79" s="132"/>
      <c r="CO79" s="131"/>
      <c r="CP79" s="131"/>
      <c r="CQ79" s="131"/>
      <c r="CR79" s="131"/>
      <c r="DJ79" s="497"/>
      <c r="DK79" s="497"/>
      <c r="DL79" s="497"/>
      <c r="DM79" s="497"/>
      <c r="DN79" s="497"/>
      <c r="DO79" s="497"/>
      <c r="DP79" s="497"/>
      <c r="DQ79" s="497"/>
      <c r="DR79" s="497"/>
      <c r="DS79" s="497"/>
      <c r="DT79" s="497"/>
      <c r="DU79" s="497"/>
      <c r="DV79" s="497"/>
      <c r="DW79" s="497"/>
      <c r="DX79" s="497"/>
      <c r="DY79" s="497"/>
      <c r="DZ79" s="497"/>
      <c r="EA79" s="497"/>
    </row>
    <row r="80" spans="2:148" x14ac:dyDescent="0.2">
      <c r="H80" s="508" t="s">
        <v>621</v>
      </c>
      <c r="I80" s="508"/>
      <c r="J80" s="508"/>
      <c r="K80" s="508"/>
      <c r="L80" s="508"/>
      <c r="M80" s="508"/>
      <c r="N80" s="508"/>
      <c r="O80" s="508"/>
      <c r="P80" s="508"/>
      <c r="Q80" s="508"/>
      <c r="R80" s="508"/>
      <c r="S80" s="508"/>
      <c r="T80" s="508"/>
      <c r="U80" s="508"/>
      <c r="V80" s="508"/>
      <c r="W80" s="508"/>
      <c r="X80" s="508"/>
      <c r="Y80" s="508"/>
      <c r="Z80" s="412"/>
      <c r="AA80" s="412"/>
      <c r="AB80" s="152"/>
      <c r="AC80" s="152"/>
      <c r="AD80" s="152"/>
      <c r="AE80" s="152"/>
      <c r="AF80" s="152"/>
      <c r="AG80" s="152"/>
      <c r="AH80" s="152"/>
      <c r="AI80" s="152"/>
      <c r="AJ80" s="152"/>
      <c r="AK80" s="152"/>
      <c r="AL80" s="152"/>
      <c r="AM80" s="152"/>
      <c r="AN80" s="152"/>
      <c r="AO80" s="152"/>
      <c r="AP80" s="152"/>
      <c r="AQ80" s="413"/>
      <c r="AR80" s="413"/>
      <c r="AS80" s="413"/>
      <c r="AT80" s="413"/>
      <c r="AU80" s="413"/>
      <c r="AV80" s="413"/>
      <c r="AW80" s="413"/>
      <c r="AX80" s="413"/>
      <c r="AY80" s="413"/>
      <c r="AZ80" s="413"/>
      <c r="BA80" s="399"/>
      <c r="BB80" s="520"/>
      <c r="BF80" s="417"/>
      <c r="BG80" s="417"/>
      <c r="BH80" s="417"/>
      <c r="BI80" s="417"/>
      <c r="BM80" s="72"/>
      <c r="BN80" s="72"/>
      <c r="BO80" s="72"/>
      <c r="BP80" s="133"/>
      <c r="BQ80" s="133"/>
      <c r="BR80" s="133"/>
      <c r="BS80" s="133"/>
      <c r="BT80" s="72"/>
      <c r="BU80" s="72"/>
      <c r="BV80" s="72"/>
      <c r="BZ80" s="417"/>
      <c r="CA80" s="417"/>
      <c r="CB80" s="417"/>
      <c r="CC80" s="417"/>
      <c r="CG80" s="520"/>
      <c r="CH80" s="401"/>
      <c r="CI80" s="413"/>
      <c r="CJ80" s="413"/>
      <c r="CK80" s="413"/>
      <c r="CL80" s="413"/>
      <c r="CM80" s="413"/>
      <c r="CN80" s="413"/>
      <c r="CO80" s="413"/>
      <c r="CP80" s="413"/>
      <c r="CQ80" s="413"/>
      <c r="CR80" s="413"/>
      <c r="CS80" s="152"/>
      <c r="CT80" s="152"/>
      <c r="CU80" s="152"/>
      <c r="CV80" s="152"/>
      <c r="CW80" s="152"/>
      <c r="CX80" s="152"/>
      <c r="CY80" s="152"/>
      <c r="CZ80" s="152"/>
      <c r="DA80" s="152"/>
      <c r="DB80" s="152"/>
      <c r="DC80" s="152"/>
      <c r="DD80" s="152"/>
      <c r="DE80" s="152"/>
      <c r="DF80" s="152"/>
      <c r="DG80" s="152"/>
      <c r="DH80" s="412"/>
      <c r="DI80" s="412"/>
      <c r="DJ80" s="496" t="s">
        <v>623</v>
      </c>
      <c r="DK80" s="496"/>
      <c r="DL80" s="496"/>
      <c r="DM80" s="496"/>
      <c r="DN80" s="496"/>
      <c r="DO80" s="496"/>
      <c r="DP80" s="496"/>
      <c r="DQ80" s="496"/>
      <c r="DR80" s="496"/>
      <c r="DS80" s="496"/>
      <c r="DT80" s="496"/>
      <c r="DU80" s="496"/>
      <c r="DV80" s="496"/>
      <c r="DW80" s="496"/>
      <c r="DX80" s="496"/>
      <c r="DY80" s="496"/>
      <c r="DZ80" s="496"/>
      <c r="EA80" s="496"/>
    </row>
    <row r="81" spans="8:131" x14ac:dyDescent="0.15">
      <c r="H81" s="508"/>
      <c r="I81" s="508"/>
      <c r="J81" s="508"/>
      <c r="K81" s="508"/>
      <c r="L81" s="508"/>
      <c r="M81" s="508"/>
      <c r="N81" s="508"/>
      <c r="O81" s="508"/>
      <c r="P81" s="508"/>
      <c r="Q81" s="508"/>
      <c r="R81" s="508"/>
      <c r="S81" s="508"/>
      <c r="T81" s="508"/>
      <c r="U81" s="508"/>
      <c r="V81" s="508"/>
      <c r="W81" s="508"/>
      <c r="X81" s="508"/>
      <c r="Y81" s="508"/>
      <c r="Z81" s="504"/>
      <c r="AA81" s="504"/>
      <c r="AB81" s="504"/>
      <c r="AC81" s="504"/>
      <c r="AD81" s="504"/>
      <c r="AE81" s="504"/>
      <c r="AF81" s="504"/>
      <c r="AG81" s="504"/>
      <c r="AH81" s="504"/>
      <c r="AI81" s="504"/>
      <c r="AJ81" s="504"/>
      <c r="AK81" s="504"/>
      <c r="AL81" s="504"/>
      <c r="AM81" s="504"/>
      <c r="AN81" s="504"/>
      <c r="AO81" s="504"/>
      <c r="AP81" s="504"/>
      <c r="AQ81" s="504"/>
      <c r="AR81" s="504"/>
      <c r="AS81" s="504"/>
      <c r="AT81" s="504"/>
      <c r="AU81" s="504"/>
      <c r="AV81" s="504"/>
      <c r="AW81" s="504"/>
      <c r="AX81" s="504"/>
      <c r="AY81" s="504"/>
      <c r="AZ81" s="504"/>
      <c r="BA81" s="504"/>
      <c r="BM81" s="500"/>
      <c r="BN81" s="500"/>
      <c r="BO81" s="500"/>
      <c r="BP81" s="500"/>
      <c r="BQ81" s="501"/>
      <c r="BR81" s="501"/>
      <c r="BS81" s="498"/>
      <c r="BT81" s="498"/>
      <c r="BU81" s="498"/>
      <c r="BV81" s="498"/>
      <c r="CH81" s="505"/>
      <c r="CI81" s="505"/>
      <c r="CJ81" s="505"/>
      <c r="CK81" s="505"/>
      <c r="CL81" s="505"/>
      <c r="CM81" s="505"/>
      <c r="CN81" s="505"/>
      <c r="CO81" s="505"/>
      <c r="CP81" s="505"/>
      <c r="CQ81" s="505"/>
      <c r="CR81" s="505"/>
      <c r="CS81" s="505"/>
      <c r="CT81" s="505"/>
      <c r="CU81" s="505"/>
      <c r="CV81" s="505"/>
      <c r="CW81" s="505"/>
      <c r="CX81" s="505"/>
      <c r="CY81" s="505"/>
      <c r="CZ81" s="505"/>
      <c r="DA81" s="505"/>
      <c r="DB81" s="505"/>
      <c r="DC81" s="505"/>
      <c r="DD81" s="505"/>
      <c r="DE81" s="505"/>
      <c r="DF81" s="505"/>
      <c r="DG81" s="505"/>
      <c r="DH81" s="505"/>
      <c r="DI81" s="505"/>
      <c r="DJ81" s="496"/>
      <c r="DK81" s="496"/>
      <c r="DL81" s="496"/>
      <c r="DM81" s="496"/>
      <c r="DN81" s="496"/>
      <c r="DO81" s="496"/>
      <c r="DP81" s="496"/>
      <c r="DQ81" s="496"/>
      <c r="DR81" s="496"/>
      <c r="DS81" s="496"/>
      <c r="DT81" s="496"/>
      <c r="DU81" s="496"/>
      <c r="DV81" s="496"/>
      <c r="DW81" s="496"/>
      <c r="DX81" s="496"/>
      <c r="DY81" s="496"/>
      <c r="DZ81" s="496"/>
      <c r="EA81" s="496"/>
    </row>
    <row r="83" spans="8:131" x14ac:dyDescent="0.15">
      <c r="V83" s="594"/>
      <c r="W83" s="594"/>
      <c r="X83" s="594"/>
      <c r="Y83" s="594"/>
      <c r="Z83" s="594"/>
      <c r="AA83" s="594"/>
      <c r="AB83" s="594"/>
      <c r="AC83" s="594"/>
      <c r="AD83" s="594"/>
      <c r="AE83" s="594"/>
      <c r="AF83" s="594"/>
      <c r="AG83" s="594"/>
      <c r="AH83" s="594"/>
      <c r="AI83" s="594"/>
      <c r="AJ83" s="594"/>
      <c r="AK83" s="594"/>
    </row>
    <row r="84" spans="8:131" x14ac:dyDescent="0.15">
      <c r="V84" s="594"/>
      <c r="W84" s="594"/>
      <c r="X84" s="594"/>
      <c r="Y84" s="594"/>
      <c r="Z84" s="594"/>
      <c r="AA84" s="594"/>
      <c r="AB84" s="594"/>
      <c r="AC84" s="594"/>
      <c r="AD84" s="594"/>
      <c r="AE84" s="594"/>
      <c r="AF84" s="594"/>
      <c r="AG84" s="594"/>
      <c r="AH84" s="594"/>
      <c r="AI84" s="594"/>
      <c r="AJ84" s="594"/>
      <c r="AK84" s="594"/>
    </row>
    <row r="85" spans="8:131" x14ac:dyDescent="0.15">
      <c r="V85" s="594"/>
      <c r="W85" s="594"/>
      <c r="X85" s="594"/>
      <c r="Y85" s="594"/>
      <c r="Z85" s="594"/>
      <c r="AA85" s="594"/>
      <c r="AB85" s="594"/>
      <c r="AC85" s="594"/>
      <c r="AD85" s="594"/>
      <c r="AE85" s="594"/>
      <c r="AF85" s="594"/>
      <c r="AG85" s="594"/>
      <c r="AH85" s="594"/>
      <c r="AI85" s="594"/>
      <c r="AJ85" s="594"/>
      <c r="AK85" s="594"/>
    </row>
  </sheetData>
  <mergeCells count="585">
    <mergeCell ref="AH68:AP69"/>
    <mergeCell ref="D3:J3"/>
    <mergeCell ref="L3:AU3"/>
    <mergeCell ref="AV3:BH3"/>
    <mergeCell ref="BK3:BS3"/>
    <mergeCell ref="BU3:CX3"/>
    <mergeCell ref="CY3:DK3"/>
    <mergeCell ref="D6:J6"/>
    <mergeCell ref="L6:AU6"/>
    <mergeCell ref="AV6:BH6"/>
    <mergeCell ref="D4:J4"/>
    <mergeCell ref="L4:AU4"/>
    <mergeCell ref="AV4:BH4"/>
    <mergeCell ref="BU4:CX4"/>
    <mergeCell ref="CY4:DK4"/>
    <mergeCell ref="D5:J5"/>
    <mergeCell ref="L5:AU5"/>
    <mergeCell ref="AV5:BH5"/>
    <mergeCell ref="BU5:CX5"/>
    <mergeCell ref="CY5:DK5"/>
    <mergeCell ref="BP14:BS14"/>
    <mergeCell ref="BV14:BY14"/>
    <mergeCell ref="CM27:DA27"/>
    <mergeCell ref="AF26:AI26"/>
    <mergeCell ref="DN14:DQ14"/>
    <mergeCell ref="DT14:DW14"/>
    <mergeCell ref="DL15:DQ15"/>
    <mergeCell ref="DS15:DY15"/>
    <mergeCell ref="AR9:AY10"/>
    <mergeCell ref="AZ9:CO10"/>
    <mergeCell ref="DG9:DT9"/>
    <mergeCell ref="DL10:DY11"/>
    <mergeCell ref="BT11:BT15"/>
    <mergeCell ref="BP13:BS13"/>
    <mergeCell ref="BV13:BY13"/>
    <mergeCell ref="DN13:DQ13"/>
    <mergeCell ref="DR13:DR15"/>
    <mergeCell ref="DT13:DW13"/>
    <mergeCell ref="DT21:DW21"/>
    <mergeCell ref="AK19:DA19"/>
    <mergeCell ref="AK17:DA17"/>
    <mergeCell ref="DL19:DY19"/>
    <mergeCell ref="DL17:DY17"/>
    <mergeCell ref="DT18:DW18"/>
    <mergeCell ref="DC16:DF21"/>
    <mergeCell ref="DK16:DK22"/>
    <mergeCell ref="DN16:DQ16"/>
    <mergeCell ref="DR16:DS16"/>
    <mergeCell ref="DT16:DW16"/>
    <mergeCell ref="DQ20:DT20"/>
    <mergeCell ref="AX21:AY22"/>
    <mergeCell ref="BP21:BS21"/>
    <mergeCell ref="BT21:BU21"/>
    <mergeCell ref="BV21:BY21"/>
    <mergeCell ref="DN21:DQ21"/>
    <mergeCell ref="BS20:BV20"/>
    <mergeCell ref="AL26:AO26"/>
    <mergeCell ref="CW26:CZ26"/>
    <mergeCell ref="DC26:DF26"/>
    <mergeCell ref="DM22:DX22"/>
    <mergeCell ref="DC27:DS27"/>
    <mergeCell ref="DG23:DP23"/>
    <mergeCell ref="DU23:ED23"/>
    <mergeCell ref="AF25:AI25"/>
    <mergeCell ref="AL25:AO25"/>
    <mergeCell ref="CW25:CZ25"/>
    <mergeCell ref="DC25:DF25"/>
    <mergeCell ref="DZ16:DZ22"/>
    <mergeCell ref="AF16:AI21"/>
    <mergeCell ref="AJ16:AJ27"/>
    <mergeCell ref="BP16:BS16"/>
    <mergeCell ref="BT16:BU16"/>
    <mergeCell ref="BV16:BY16"/>
    <mergeCell ref="DB16:DB27"/>
    <mergeCell ref="BP18:BS18"/>
    <mergeCell ref="BT18:BU18"/>
    <mergeCell ref="BV18:BY18"/>
    <mergeCell ref="DN18:DQ18"/>
    <mergeCell ref="DR18:DS18"/>
    <mergeCell ref="DR21:DS21"/>
    <mergeCell ref="CZ34:DC34"/>
    <mergeCell ref="N35:Q35"/>
    <mergeCell ref="T35:W35"/>
    <mergeCell ref="AX35:BA35"/>
    <mergeCell ref="BD35:BG35"/>
    <mergeCell ref="CH35:CK35"/>
    <mergeCell ref="CN35:CQ35"/>
    <mergeCell ref="AI32:AL32"/>
    <mergeCell ref="CZ32:DC32"/>
    <mergeCell ref="AF33:AI33"/>
    <mergeCell ref="AJ33:AK33"/>
    <mergeCell ref="AL33:AO33"/>
    <mergeCell ref="CW33:CZ33"/>
    <mergeCell ref="DA33:DB33"/>
    <mergeCell ref="DC33:DF33"/>
    <mergeCell ref="BD28:BG33"/>
    <mergeCell ref="CH28:CK33"/>
    <mergeCell ref="CL28:CL37"/>
    <mergeCell ref="CW28:CZ28"/>
    <mergeCell ref="DA28:DB28"/>
    <mergeCell ref="DC28:DF28"/>
    <mergeCell ref="CW30:CZ30"/>
    <mergeCell ref="DA30:DB30"/>
    <mergeCell ref="DC30:DF30"/>
    <mergeCell ref="DO35:DR35"/>
    <mergeCell ref="DU35:DX35"/>
    <mergeCell ref="CM37:CW37"/>
    <mergeCell ref="N36:Q36"/>
    <mergeCell ref="T36:W36"/>
    <mergeCell ref="AX36:BA36"/>
    <mergeCell ref="BD36:BG36"/>
    <mergeCell ref="CH36:CK36"/>
    <mergeCell ref="CN36:CQ36"/>
    <mergeCell ref="DO36:DR36"/>
    <mergeCell ref="DU36:DX36"/>
    <mergeCell ref="DT28:DT37"/>
    <mergeCell ref="DU28:DX33"/>
    <mergeCell ref="AF30:AI30"/>
    <mergeCell ref="AJ30:AK30"/>
    <mergeCell ref="N28:Q33"/>
    <mergeCell ref="R28:R37"/>
    <mergeCell ref="AF28:AI28"/>
    <mergeCell ref="AJ28:AK28"/>
    <mergeCell ref="AL28:AO28"/>
    <mergeCell ref="BC28:BC37"/>
    <mergeCell ref="AL30:AO30"/>
    <mergeCell ref="DK37:DS37"/>
    <mergeCell ref="DU37:EA37"/>
    <mergeCell ref="AR37:BB37"/>
    <mergeCell ref="BD37:BM37"/>
    <mergeCell ref="CB37:CK37"/>
    <mergeCell ref="C38:F43"/>
    <mergeCell ref="G38:G47"/>
    <mergeCell ref="N38:Q38"/>
    <mergeCell ref="R38:S38"/>
    <mergeCell ref="T38:W38"/>
    <mergeCell ref="AD38:AD47"/>
    <mergeCell ref="AE38:AH43"/>
    <mergeCell ref="AM38:AP43"/>
    <mergeCell ref="H37:Q37"/>
    <mergeCell ref="S37:AC37"/>
    <mergeCell ref="R43:S43"/>
    <mergeCell ref="H39:AC39"/>
    <mergeCell ref="H40:AC40"/>
    <mergeCell ref="H41:AC41"/>
    <mergeCell ref="Q42:T42"/>
    <mergeCell ref="AR41:BM41"/>
    <mergeCell ref="BB38:BC38"/>
    <mergeCell ref="BD38:BG38"/>
    <mergeCell ref="BN38:BN47"/>
    <mergeCell ref="BO38:BR43"/>
    <mergeCell ref="BI45:BL45"/>
    <mergeCell ref="BO45:BR45"/>
    <mergeCell ref="DW45:DZ45"/>
    <mergeCell ref="CA38:CA47"/>
    <mergeCell ref="CH38:CK38"/>
    <mergeCell ref="CL38:CM38"/>
    <mergeCell ref="DO43:DR43"/>
    <mergeCell ref="DS43:DT43"/>
    <mergeCell ref="DU43:DX43"/>
    <mergeCell ref="BA44:BD44"/>
    <mergeCell ref="CK44:CN44"/>
    <mergeCell ref="DR44:DU44"/>
    <mergeCell ref="AX43:BA43"/>
    <mergeCell ref="BB43:BC43"/>
    <mergeCell ref="BD43:BG43"/>
    <mergeCell ref="CH43:CK43"/>
    <mergeCell ref="CL43:CM43"/>
    <mergeCell ref="CX38:CX47"/>
    <mergeCell ref="CN43:CQ43"/>
    <mergeCell ref="BA42:BD42"/>
    <mergeCell ref="CK42:CN42"/>
    <mergeCell ref="DR42:DU42"/>
    <mergeCell ref="CY38:DB43"/>
    <mergeCell ref="DF38:DI43"/>
    <mergeCell ref="DJ38:DJ47"/>
    <mergeCell ref="DO38:DR38"/>
    <mergeCell ref="DS38:DT38"/>
    <mergeCell ref="DU38:DX38"/>
    <mergeCell ref="BW38:BZ43"/>
    <mergeCell ref="DK41:EA41"/>
    <mergeCell ref="CB41:CW41"/>
    <mergeCell ref="EC45:EF45"/>
    <mergeCell ref="C46:F46"/>
    <mergeCell ref="I46:L46"/>
    <mergeCell ref="Y46:AB46"/>
    <mergeCell ref="AE46:AH46"/>
    <mergeCell ref="AM46:AP46"/>
    <mergeCell ref="AS46:AV46"/>
    <mergeCell ref="BI46:BL46"/>
    <mergeCell ref="BO46:BR46"/>
    <mergeCell ref="BW45:BZ45"/>
    <mergeCell ref="CC45:CF45"/>
    <mergeCell ref="CS45:CV45"/>
    <mergeCell ref="CY45:DB45"/>
    <mergeCell ref="DF45:DI45"/>
    <mergeCell ref="DL45:DO45"/>
    <mergeCell ref="I45:L45"/>
    <mergeCell ref="Y45:AB45"/>
    <mergeCell ref="AE45:AH45"/>
    <mergeCell ref="AM45:AP45"/>
    <mergeCell ref="AS45:AV45"/>
    <mergeCell ref="EB38:EB47"/>
    <mergeCell ref="EC38:EF43"/>
    <mergeCell ref="CN38:CQ38"/>
    <mergeCell ref="DW46:DZ46"/>
    <mergeCell ref="EC46:EF46"/>
    <mergeCell ref="D47:F47"/>
    <mergeCell ref="H47:L47"/>
    <mergeCell ref="Y47:AC47"/>
    <mergeCell ref="AE47:AG47"/>
    <mergeCell ref="AN47:AP47"/>
    <mergeCell ref="AR47:AV47"/>
    <mergeCell ref="BI47:BM47"/>
    <mergeCell ref="BO47:BQ47"/>
    <mergeCell ref="BW46:BZ46"/>
    <mergeCell ref="CC46:CF46"/>
    <mergeCell ref="CS46:CV46"/>
    <mergeCell ref="CY46:DB46"/>
    <mergeCell ref="DF46:DI46"/>
    <mergeCell ref="DL46:DO46"/>
    <mergeCell ref="DW47:EA47"/>
    <mergeCell ref="EC47:EE47"/>
    <mergeCell ref="CB47:CF47"/>
    <mergeCell ref="CY48:DA48"/>
    <mergeCell ref="DB48:DB64"/>
    <mergeCell ref="CS47:CW47"/>
    <mergeCell ref="CY47:DA47"/>
    <mergeCell ref="DH47:DI47"/>
    <mergeCell ref="DK47:DM47"/>
    <mergeCell ref="AQ38:AQ47"/>
    <mergeCell ref="AX38:BA38"/>
    <mergeCell ref="I48:L48"/>
    <mergeCell ref="M48:M57"/>
    <mergeCell ref="N48:Q53"/>
    <mergeCell ref="T48:W53"/>
    <mergeCell ref="X48:X57"/>
    <mergeCell ref="BX47:BZ47"/>
    <mergeCell ref="Y48:AB48"/>
    <mergeCell ref="AC48:AD48"/>
    <mergeCell ref="AE48:AG48"/>
    <mergeCell ref="AH48:AH64"/>
    <mergeCell ref="AM48:AM64"/>
    <mergeCell ref="AN48:AP48"/>
    <mergeCell ref="AN49:AV49"/>
    <mergeCell ref="Y49:AG49"/>
    <mergeCell ref="AN53:AV53"/>
    <mergeCell ref="AN51:AV51"/>
    <mergeCell ref="DT57:DU57"/>
    <mergeCell ref="DW57:DY57"/>
    <mergeCell ref="BR48:BR64"/>
    <mergeCell ref="BW48:BW64"/>
    <mergeCell ref="BX48:BZ48"/>
    <mergeCell ref="F54:I54"/>
    <mergeCell ref="AB54:AE54"/>
    <mergeCell ref="AP54:AS54"/>
    <mergeCell ref="EF48:EF64"/>
    <mergeCell ref="DJ48:DK48"/>
    <mergeCell ref="DL48:DM48"/>
    <mergeCell ref="DN48:DN64"/>
    <mergeCell ref="DR48:DU53"/>
    <mergeCell ref="DV48:DV57"/>
    <mergeCell ref="DW48:DZ48"/>
    <mergeCell ref="BX51:CF51"/>
    <mergeCell ref="BI51:BQ51"/>
    <mergeCell ref="DH51:DM51"/>
    <mergeCell ref="CS51:DA51"/>
    <mergeCell ref="CV52:CY52"/>
    <mergeCell ref="DI52:DL52"/>
    <mergeCell ref="EA48:EB48"/>
    <mergeCell ref="CS48:CV48"/>
    <mergeCell ref="CW48:CX48"/>
    <mergeCell ref="CR48:CR57"/>
    <mergeCell ref="CH55:CK55"/>
    <mergeCell ref="CN55:CQ55"/>
    <mergeCell ref="BI48:BL48"/>
    <mergeCell ref="CS57:CU57"/>
    <mergeCell ref="CT55:CW55"/>
    <mergeCell ref="BX53:CF53"/>
    <mergeCell ref="CH57:CI57"/>
    <mergeCell ref="CP57:CQ57"/>
    <mergeCell ref="BM48:BN48"/>
    <mergeCell ref="BO48:BQ48"/>
    <mergeCell ref="H56:K56"/>
    <mergeCell ref="N56:Q56"/>
    <mergeCell ref="T56:W56"/>
    <mergeCell ref="Z56:AC56"/>
    <mergeCell ref="AR56:AU56"/>
    <mergeCell ref="AX56:BA56"/>
    <mergeCell ref="BD56:BG56"/>
    <mergeCell ref="H55:K55"/>
    <mergeCell ref="N55:Q55"/>
    <mergeCell ref="T55:W55"/>
    <mergeCell ref="Z55:AC55"/>
    <mergeCell ref="AR55:AU55"/>
    <mergeCell ref="AX55:BA55"/>
    <mergeCell ref="BD55:BG55"/>
    <mergeCell ref="CV58:CV64"/>
    <mergeCell ref="AQ48:AR48"/>
    <mergeCell ref="AS48:AV48"/>
    <mergeCell ref="AW48:AW57"/>
    <mergeCell ref="AX48:BA53"/>
    <mergeCell ref="BD48:BG53"/>
    <mergeCell ref="BH48:BH57"/>
    <mergeCell ref="DR55:DU55"/>
    <mergeCell ref="DX55:EA55"/>
    <mergeCell ref="BJ55:BM55"/>
    <mergeCell ref="CB55:CE55"/>
    <mergeCell ref="DG48:DG64"/>
    <mergeCell ref="DH48:DI48"/>
    <mergeCell ref="DZ54:EC54"/>
    <mergeCell ref="BL54:BO54"/>
    <mergeCell ref="BZ54:CC54"/>
    <mergeCell ref="CV54:CY54"/>
    <mergeCell ref="DI54:DL54"/>
    <mergeCell ref="DH53:DM53"/>
    <mergeCell ref="CS53:DA53"/>
    <mergeCell ref="BI53:BQ53"/>
    <mergeCell ref="CG48:CG57"/>
    <mergeCell ref="CH48:CK53"/>
    <mergeCell ref="CN48:CQ53"/>
    <mergeCell ref="DH61:DI61"/>
    <mergeCell ref="I58:I64"/>
    <mergeCell ref="J58:K58"/>
    <mergeCell ref="L58:M58"/>
    <mergeCell ref="N58:O58"/>
    <mergeCell ref="P58:P64"/>
    <mergeCell ref="DX56:EA56"/>
    <mergeCell ref="J57:L57"/>
    <mergeCell ref="N57:O57"/>
    <mergeCell ref="V57:W57"/>
    <mergeCell ref="Y57:AA57"/>
    <mergeCell ref="AT57:AV57"/>
    <mergeCell ref="AX57:AY57"/>
    <mergeCell ref="BF57:BG57"/>
    <mergeCell ref="BI57:BK57"/>
    <mergeCell ref="CD57:CF57"/>
    <mergeCell ref="BJ56:BM56"/>
    <mergeCell ref="CB56:CE56"/>
    <mergeCell ref="CH56:CK56"/>
    <mergeCell ref="CN56:CQ56"/>
    <mergeCell ref="CT56:CW56"/>
    <mergeCell ref="DR56:DU56"/>
    <mergeCell ref="DX58:DY58"/>
    <mergeCell ref="DZ58:DZ64"/>
    <mergeCell ref="DJ63:DK63"/>
    <mergeCell ref="DL63:DM63"/>
    <mergeCell ref="DT63:DU63"/>
    <mergeCell ref="DV63:DW63"/>
    <mergeCell ref="DX63:DY63"/>
    <mergeCell ref="DU64:DX64"/>
    <mergeCell ref="DV58:DW58"/>
    <mergeCell ref="DL60:DM60"/>
    <mergeCell ref="DJ60:DK60"/>
    <mergeCell ref="DI62:DL62"/>
    <mergeCell ref="DU62:DX62"/>
    <mergeCell ref="DI64:DL64"/>
    <mergeCell ref="DJ61:DK61"/>
    <mergeCell ref="DL61:DM61"/>
    <mergeCell ref="DH58:DI58"/>
    <mergeCell ref="DJ58:DK58"/>
    <mergeCell ref="DL58:DM58"/>
    <mergeCell ref="DS58:DS64"/>
    <mergeCell ref="DT58:DU58"/>
    <mergeCell ref="DH59:DI59"/>
    <mergeCell ref="DJ59:DK59"/>
    <mergeCell ref="DL59:DM59"/>
    <mergeCell ref="DT60:DU60"/>
    <mergeCell ref="DH60:DI60"/>
    <mergeCell ref="N60:O60"/>
    <mergeCell ref="V60:W60"/>
    <mergeCell ref="X60:Y60"/>
    <mergeCell ref="Z60:AA60"/>
    <mergeCell ref="AT60:AU60"/>
    <mergeCell ref="AV60:AW60"/>
    <mergeCell ref="DT61:DY61"/>
    <mergeCell ref="CJ58:CJ64"/>
    <mergeCell ref="CO58:CO64"/>
    <mergeCell ref="CP58:CQ58"/>
    <mergeCell ref="CR58:CS58"/>
    <mergeCell ref="CT58:CU58"/>
    <mergeCell ref="BH58:BI58"/>
    <mergeCell ref="BJ58:BK58"/>
    <mergeCell ref="BL58:BL64"/>
    <mergeCell ref="CC58:CC64"/>
    <mergeCell ref="CD58:CE58"/>
    <mergeCell ref="CF58:CG58"/>
    <mergeCell ref="CT60:CU60"/>
    <mergeCell ref="AB58:AB64"/>
    <mergeCell ref="AU64:AX64"/>
    <mergeCell ref="BG64:BJ64"/>
    <mergeCell ref="DV60:DW60"/>
    <mergeCell ref="DX60:DY60"/>
    <mergeCell ref="CH63:CI63"/>
    <mergeCell ref="CQ62:CT62"/>
    <mergeCell ref="J63:K63"/>
    <mergeCell ref="L63:M63"/>
    <mergeCell ref="N63:O63"/>
    <mergeCell ref="V63:W63"/>
    <mergeCell ref="X63:Y63"/>
    <mergeCell ref="Z63:AA63"/>
    <mergeCell ref="K64:N64"/>
    <mergeCell ref="W64:Z64"/>
    <mergeCell ref="U58:U64"/>
    <mergeCell ref="J61:O61"/>
    <mergeCell ref="J59:O59"/>
    <mergeCell ref="K62:N62"/>
    <mergeCell ref="W62:Z62"/>
    <mergeCell ref="V58:W58"/>
    <mergeCell ref="X58:Y58"/>
    <mergeCell ref="Z58:AA58"/>
    <mergeCell ref="CH58:CI58"/>
    <mergeCell ref="BF61:BK61"/>
    <mergeCell ref="BF60:BG60"/>
    <mergeCell ref="BH60:BI60"/>
    <mergeCell ref="J60:K60"/>
    <mergeCell ref="L60:M60"/>
    <mergeCell ref="CF60:CG60"/>
    <mergeCell ref="CH60:CI60"/>
    <mergeCell ref="V61:AA61"/>
    <mergeCell ref="V59:AA59"/>
    <mergeCell ref="CD63:CE63"/>
    <mergeCell ref="AS58:AS64"/>
    <mergeCell ref="CQ64:CT64"/>
    <mergeCell ref="BF59:BK59"/>
    <mergeCell ref="AT61:AY61"/>
    <mergeCell ref="AT59:AY59"/>
    <mergeCell ref="CP63:CQ63"/>
    <mergeCell ref="CR63:CS63"/>
    <mergeCell ref="BG62:BJ62"/>
    <mergeCell ref="CE62:CH62"/>
    <mergeCell ref="AZ58:AZ64"/>
    <mergeCell ref="BE58:BE64"/>
    <mergeCell ref="BF58:BG58"/>
    <mergeCell ref="AX60:AY60"/>
    <mergeCell ref="AT63:AU63"/>
    <mergeCell ref="AU62:AX62"/>
    <mergeCell ref="CP60:CQ60"/>
    <mergeCell ref="CR60:CS60"/>
    <mergeCell ref="CE64:CH64"/>
    <mergeCell ref="CF63:CG63"/>
    <mergeCell ref="AX58:AY58"/>
    <mergeCell ref="DX66:EA66"/>
    <mergeCell ref="ED66:EG66"/>
    <mergeCell ref="B65:E65"/>
    <mergeCell ref="H65:K65"/>
    <mergeCell ref="N65:Q65"/>
    <mergeCell ref="T65:W65"/>
    <mergeCell ref="Z65:AC65"/>
    <mergeCell ref="AF65:AI65"/>
    <mergeCell ref="AL65:AO65"/>
    <mergeCell ref="DL65:DO65"/>
    <mergeCell ref="DR65:DU65"/>
    <mergeCell ref="DX65:EA65"/>
    <mergeCell ref="CD61:CI61"/>
    <mergeCell ref="CD59:CI59"/>
    <mergeCell ref="CT63:CU63"/>
    <mergeCell ref="DH63:DI63"/>
    <mergeCell ref="AV63:AW63"/>
    <mergeCell ref="AX63:AY63"/>
    <mergeCell ref="BF63:BG63"/>
    <mergeCell ref="BH63:BI63"/>
    <mergeCell ref="BJ63:BK63"/>
    <mergeCell ref="BJ60:BK60"/>
    <mergeCell ref="CD60:CE60"/>
    <mergeCell ref="H78:Y79"/>
    <mergeCell ref="B68:AC69"/>
    <mergeCell ref="AZ69:BC70"/>
    <mergeCell ref="ED65:EG65"/>
    <mergeCell ref="B66:E66"/>
    <mergeCell ref="H66:K66"/>
    <mergeCell ref="N66:Q66"/>
    <mergeCell ref="T66:W66"/>
    <mergeCell ref="Z66:AC66"/>
    <mergeCell ref="AF66:AI66"/>
    <mergeCell ref="CB65:CE65"/>
    <mergeCell ref="CH65:CK65"/>
    <mergeCell ref="CN65:CQ65"/>
    <mergeCell ref="CT65:CW65"/>
    <mergeCell ref="CZ65:DC65"/>
    <mergeCell ref="DF65:DI65"/>
    <mergeCell ref="AR65:AU65"/>
    <mergeCell ref="AX65:BA65"/>
    <mergeCell ref="BD65:BG65"/>
    <mergeCell ref="BJ65:BM65"/>
    <mergeCell ref="BP65:BS65"/>
    <mergeCell ref="BV65:BY65"/>
    <mergeCell ref="DR66:DU66"/>
    <mergeCell ref="BC74:BQ74"/>
    <mergeCell ref="V83:AK85"/>
    <mergeCell ref="DF66:DI66"/>
    <mergeCell ref="DL66:DO66"/>
    <mergeCell ref="BV66:BY66"/>
    <mergeCell ref="CB66:CE66"/>
    <mergeCell ref="CH66:CK66"/>
    <mergeCell ref="CN66:CQ66"/>
    <mergeCell ref="CT66:CW66"/>
    <mergeCell ref="CZ66:DC66"/>
    <mergeCell ref="AL66:AO66"/>
    <mergeCell ref="AR66:AU66"/>
    <mergeCell ref="AX66:BA66"/>
    <mergeCell ref="BD66:BG66"/>
    <mergeCell ref="BJ66:BM66"/>
    <mergeCell ref="BP66:BS66"/>
    <mergeCell ref="BN69:CA70"/>
    <mergeCell ref="H70:Y71"/>
    <mergeCell ref="DJ70:EA71"/>
    <mergeCell ref="H72:Y73"/>
    <mergeCell ref="Z72:BA72"/>
    <mergeCell ref="CH72:DI72"/>
    <mergeCell ref="DJ72:EA73"/>
    <mergeCell ref="BB73:BB74"/>
    <mergeCell ref="CG73:CG74"/>
    <mergeCell ref="CM31:DS31"/>
    <mergeCell ref="CM29:DS29"/>
    <mergeCell ref="S31:BB31"/>
    <mergeCell ref="S29:BB29"/>
    <mergeCell ref="Y53:AG53"/>
    <mergeCell ref="Y51:AG51"/>
    <mergeCell ref="D53:L53"/>
    <mergeCell ref="D51:L51"/>
    <mergeCell ref="DK39:EA39"/>
    <mergeCell ref="CB39:CW39"/>
    <mergeCell ref="AR39:BM39"/>
    <mergeCell ref="DW53:EE53"/>
    <mergeCell ref="DW51:EE51"/>
    <mergeCell ref="DZ52:EC52"/>
    <mergeCell ref="F52:I52"/>
    <mergeCell ref="AB52:AE52"/>
    <mergeCell ref="AP52:AS52"/>
    <mergeCell ref="BL52:BO52"/>
    <mergeCell ref="BZ52:CC52"/>
    <mergeCell ref="AR40:BM40"/>
    <mergeCell ref="CB40:CW40"/>
    <mergeCell ref="DK40:EA40"/>
    <mergeCell ref="F50:I50"/>
    <mergeCell ref="AB50:AE50"/>
    <mergeCell ref="BR74:CF74"/>
    <mergeCell ref="DJ74:EA75"/>
    <mergeCell ref="BB75:BB80"/>
    <mergeCell ref="CG75:CG80"/>
    <mergeCell ref="H80:Y81"/>
    <mergeCell ref="DJ80:EA81"/>
    <mergeCell ref="Z81:BA81"/>
    <mergeCell ref="BM81:BP81"/>
    <mergeCell ref="BQ81:BR81"/>
    <mergeCell ref="BS81:BV81"/>
    <mergeCell ref="CH81:DI81"/>
    <mergeCell ref="DJ78:EA79"/>
    <mergeCell ref="AA77:AY77"/>
    <mergeCell ref="AA76:AY76"/>
    <mergeCell ref="AA75:AY75"/>
    <mergeCell ref="CJ78:DH78"/>
    <mergeCell ref="CJ77:DH77"/>
    <mergeCell ref="CJ76:DH76"/>
    <mergeCell ref="CJ75:DH75"/>
    <mergeCell ref="BC79:CF79"/>
    <mergeCell ref="BC78:CF78"/>
    <mergeCell ref="BC77:CF77"/>
    <mergeCell ref="BC76:CF76"/>
    <mergeCell ref="AA78:AY78"/>
    <mergeCell ref="AP50:AS50"/>
    <mergeCell ref="BL50:BO50"/>
    <mergeCell ref="BZ50:CC50"/>
    <mergeCell ref="CV50:CY50"/>
    <mergeCell ref="DI50:DL50"/>
    <mergeCell ref="DZ50:EC50"/>
    <mergeCell ref="B44:F44"/>
    <mergeCell ref="D49:L49"/>
    <mergeCell ref="DW49:EE49"/>
    <mergeCell ref="DH49:DM49"/>
    <mergeCell ref="CS49:DA49"/>
    <mergeCell ref="BX49:CF49"/>
    <mergeCell ref="BI49:BQ49"/>
    <mergeCell ref="CA48:CB48"/>
    <mergeCell ref="CC48:CF48"/>
    <mergeCell ref="EC48:EE48"/>
    <mergeCell ref="C48:C64"/>
    <mergeCell ref="D48:F48"/>
    <mergeCell ref="G48:H48"/>
    <mergeCell ref="DT59:DY59"/>
    <mergeCell ref="CP61:CU61"/>
    <mergeCell ref="CP59:CU59"/>
    <mergeCell ref="AT58:AU58"/>
    <mergeCell ref="AV58:AW58"/>
  </mergeCells>
  <phoneticPr fontId="2"/>
  <conditionalFormatting sqref="C48:C64">
    <cfRule type="expression" dxfId="301" priority="150" stopIfTrue="1">
      <formula>$C$46&lt;=$I$46</formula>
    </cfRule>
  </conditionalFormatting>
  <conditionalFormatting sqref="D47:F47">
    <cfRule type="expression" dxfId="300" priority="121" stopIfTrue="1">
      <formula>$C$46&lt;=$I$46</formula>
    </cfRule>
  </conditionalFormatting>
  <conditionalFormatting sqref="G38:G47">
    <cfRule type="expression" dxfId="299" priority="494" stopIfTrue="1">
      <formula>$C$46&lt;$I$46</formula>
    </cfRule>
    <cfRule type="expression" dxfId="298" priority="493" stopIfTrue="1">
      <formula>$C$46=$I$46</formula>
    </cfRule>
  </conditionalFormatting>
  <conditionalFormatting sqref="H47:L47">
    <cfRule type="expression" dxfId="297" priority="110" stopIfTrue="1">
      <formula>$I$46&lt;=$C$46</formula>
    </cfRule>
  </conditionalFormatting>
  <conditionalFormatting sqref="H37:Q37">
    <cfRule type="expression" dxfId="296" priority="17" stopIfTrue="1">
      <formula>$N$36&lt;=$T$36</formula>
    </cfRule>
  </conditionalFormatting>
  <conditionalFormatting sqref="I58:I64">
    <cfRule type="expression" dxfId="295" priority="149" stopIfTrue="1">
      <formula>$H$56&lt;=$N$56</formula>
    </cfRule>
  </conditionalFormatting>
  <conditionalFormatting sqref="J57:L57">
    <cfRule type="expression" dxfId="294" priority="125" stopIfTrue="1">
      <formula>$H$56&lt;=$N$56</formula>
    </cfRule>
  </conditionalFormatting>
  <conditionalFormatting sqref="M48:M57">
    <cfRule type="expression" dxfId="293" priority="134" stopIfTrue="1">
      <formula>$N$56=$H$56</formula>
    </cfRule>
    <cfRule type="expression" dxfId="292" priority="135" stopIfTrue="1">
      <formula>$N$56&lt;$H$56</formula>
    </cfRule>
  </conditionalFormatting>
  <conditionalFormatting sqref="N57:O57">
    <cfRule type="expression" dxfId="291" priority="115" stopIfTrue="1">
      <formula>$N$56&lt;=$H$56</formula>
    </cfRule>
  </conditionalFormatting>
  <conditionalFormatting sqref="P58:P64">
    <cfRule type="expression" dxfId="290" priority="144" stopIfTrue="1">
      <formula>$N$56&lt;=$H$56</formula>
    </cfRule>
  </conditionalFormatting>
  <conditionalFormatting sqref="R28:R37">
    <cfRule type="expression" dxfId="289" priority="16">
      <formula>$N$36&lt;$T$36</formula>
    </cfRule>
    <cfRule type="expression" dxfId="288" priority="70">
      <formula>$N$36=$T$36</formula>
    </cfRule>
  </conditionalFormatting>
  <conditionalFormatting sqref="S37:AC37">
    <cfRule type="expression" dxfId="287" priority="167" stopIfTrue="1">
      <formula>$T$36&lt;=$N$36</formula>
    </cfRule>
  </conditionalFormatting>
  <conditionalFormatting sqref="S27:AI27">
    <cfRule type="expression" dxfId="286" priority="173">
      <formula>$AF$26&lt;=$AL$26</formula>
    </cfRule>
  </conditionalFormatting>
  <conditionalFormatting sqref="U58:U64">
    <cfRule type="expression" dxfId="285" priority="24" stopIfTrue="1">
      <formula>$T$56&lt;=$Z$56</formula>
    </cfRule>
  </conditionalFormatting>
  <conditionalFormatting sqref="V57:W57">
    <cfRule type="expression" dxfId="284" priority="18" stopIfTrue="1">
      <formula>$T$56&lt;=$Z$56</formula>
    </cfRule>
  </conditionalFormatting>
  <conditionalFormatting sqref="X48:X57">
    <cfRule type="expression" dxfId="283" priority="20" stopIfTrue="1">
      <formula>$T$56=$Z$56</formula>
    </cfRule>
    <cfRule type="expression" dxfId="282" priority="21" stopIfTrue="1">
      <formula>$T$56&lt;$Z$56</formula>
    </cfRule>
  </conditionalFormatting>
  <conditionalFormatting sqref="Y57:AA57">
    <cfRule type="expression" dxfId="281" priority="19" stopIfTrue="1">
      <formula>$Z$56&lt;=$T$56</formula>
    </cfRule>
  </conditionalFormatting>
  <conditionalFormatting sqref="Y47:AC47">
    <cfRule type="expression" dxfId="280" priority="14">
      <formula>$Y$46&lt;=$AE$46</formula>
    </cfRule>
  </conditionalFormatting>
  <conditionalFormatting sqref="Z72:BA72">
    <cfRule type="expression" dxfId="279" priority="11">
      <formula>$Z$73&gt;=$Z$80</formula>
    </cfRule>
  </conditionalFormatting>
  <conditionalFormatting sqref="Z81:BA81">
    <cfRule type="expression" dxfId="278" priority="10">
      <formula>$Z$80&gt;=$Z$73</formula>
    </cfRule>
  </conditionalFormatting>
  <conditionalFormatting sqref="AB58:AB64">
    <cfRule type="expression" dxfId="277" priority="23" stopIfTrue="1">
      <formula>$Z$56&lt;=$T$56</formula>
    </cfRule>
  </conditionalFormatting>
  <conditionalFormatting sqref="AD38:AD47">
    <cfRule type="expression" dxfId="276" priority="498">
      <formula>$Y$46=$AE$46</formula>
    </cfRule>
    <cfRule type="expression" dxfId="275" priority="497">
      <formula>$AE$46&lt;$Y$46</formula>
    </cfRule>
  </conditionalFormatting>
  <conditionalFormatting sqref="AE47:AG47">
    <cfRule type="expression" dxfId="274" priority="15">
      <formula>$AE$46&lt;=$Y$46</formula>
    </cfRule>
  </conditionalFormatting>
  <conditionalFormatting sqref="AH48:AH64">
    <cfRule type="expression" dxfId="273" priority="22" stopIfTrue="1">
      <formula>$BO$46&lt;=$BI$46</formula>
    </cfRule>
  </conditionalFormatting>
  <conditionalFormatting sqref="AJ16:AJ27">
    <cfRule type="expression" dxfId="272" priority="61">
      <formula>$AF$26=$AL$26</formula>
    </cfRule>
    <cfRule type="expression" dxfId="271" priority="60">
      <formula>$AF$26&lt;$AL$26</formula>
    </cfRule>
  </conditionalFormatting>
  <conditionalFormatting sqref="AK27:BB27">
    <cfRule type="expression" dxfId="270" priority="174" stopIfTrue="1">
      <formula>$AL$26&lt;=$AF$26</formula>
    </cfRule>
  </conditionalFormatting>
  <conditionalFormatting sqref="AK15:BS15">
    <cfRule type="expression" dxfId="269" priority="152" stopIfTrue="1">
      <formula>$BP$14&lt;=$BV$14</formula>
    </cfRule>
  </conditionalFormatting>
  <conditionalFormatting sqref="AM48:AM64">
    <cfRule type="expression" dxfId="268" priority="139" stopIfTrue="1">
      <formula>$AM$46&lt;=$AS$46</formula>
    </cfRule>
  </conditionalFormatting>
  <conditionalFormatting sqref="AN47:AP47">
    <cfRule type="expression" dxfId="267" priority="120" stopIfTrue="1">
      <formula>$AM$46&lt;=$AS$46</formula>
    </cfRule>
  </conditionalFormatting>
  <conditionalFormatting sqref="AQ38:AQ47">
    <cfRule type="expression" dxfId="266" priority="501" stopIfTrue="1">
      <formula>$AM$46=$AS$46</formula>
    </cfRule>
    <cfRule type="expression" dxfId="265" priority="502" stopIfTrue="1">
      <formula>$AM$46&lt;$AS$46</formula>
    </cfRule>
  </conditionalFormatting>
  <conditionalFormatting sqref="AR47:AV47">
    <cfRule type="expression" dxfId="264" priority="109" stopIfTrue="1">
      <formula>$AS$46&lt;=$AM$46</formula>
    </cfRule>
  </conditionalFormatting>
  <conditionalFormatting sqref="AR37:BB37">
    <cfRule type="expression" dxfId="263" priority="91" stopIfTrue="1">
      <formula>$AX$36&lt;=$BD$36</formula>
    </cfRule>
  </conditionalFormatting>
  <conditionalFormatting sqref="AS58:AS64">
    <cfRule type="expression" dxfId="262" priority="148" stopIfTrue="1">
      <formula>$AR$56&lt;=$AX$56</formula>
    </cfRule>
  </conditionalFormatting>
  <conditionalFormatting sqref="AT57:AV57">
    <cfRule type="expression" dxfId="261" priority="124" stopIfTrue="1">
      <formula>$AR$56&lt;=$AX$56</formula>
    </cfRule>
  </conditionalFormatting>
  <conditionalFormatting sqref="AW48:AW57">
    <cfRule type="expression" dxfId="260" priority="133" stopIfTrue="1">
      <formula>$AX$56&lt;$AR$56</formula>
    </cfRule>
    <cfRule type="expression" dxfId="259" priority="132" stopIfTrue="1">
      <formula>$AX$56=$AR$56</formula>
    </cfRule>
  </conditionalFormatting>
  <conditionalFormatting sqref="AX57:AY57">
    <cfRule type="expression" dxfId="258" priority="114" stopIfTrue="1">
      <formula>$AX$56&lt;=$AR$56</formula>
    </cfRule>
  </conditionalFormatting>
  <conditionalFormatting sqref="AZ58:AZ64">
    <cfRule type="expression" dxfId="257" priority="143" stopIfTrue="1">
      <formula>$AX$56&lt;=$AR$56</formula>
    </cfRule>
  </conditionalFormatting>
  <conditionalFormatting sqref="BB73:BB74">
    <cfRule type="expression" dxfId="256" priority="7">
      <formula>$Z$73=$Z$80</formula>
    </cfRule>
    <cfRule type="expression" dxfId="255" priority="4">
      <formula>$Z$73&gt;$Z$80</formula>
    </cfRule>
  </conditionalFormatting>
  <conditionalFormatting sqref="BB75:BB80">
    <cfRule type="expression" dxfId="254" priority="8">
      <formula>$Z$80&gt;=$Z$73</formula>
    </cfRule>
  </conditionalFormatting>
  <conditionalFormatting sqref="BC28:BC37">
    <cfRule type="expression" dxfId="253" priority="86" stopIfTrue="1">
      <formula>$BD$36=$AX$36</formula>
    </cfRule>
    <cfRule type="expression" dxfId="252" priority="87" stopIfTrue="1">
      <formula>$BD$36&lt;$AX$36</formula>
    </cfRule>
  </conditionalFormatting>
  <conditionalFormatting sqref="BC74:BQ74">
    <cfRule type="expression" dxfId="251" priority="2">
      <formula>$BC$76&gt;=$CE$76</formula>
    </cfRule>
  </conditionalFormatting>
  <conditionalFormatting sqref="BD37:BM37">
    <cfRule type="expression" dxfId="250" priority="95" stopIfTrue="1">
      <formula>$BD$36&lt;=$AX$36</formula>
    </cfRule>
  </conditionalFormatting>
  <conditionalFormatting sqref="BE58:BE64">
    <cfRule type="expression" dxfId="249" priority="147" stopIfTrue="1">
      <formula>$BD$56&lt;=$BJ$56</formula>
    </cfRule>
  </conditionalFormatting>
  <conditionalFormatting sqref="BF57:BG57">
    <cfRule type="expression" dxfId="248" priority="113" stopIfTrue="1">
      <formula>$BD$56&lt;=$BJ$56</formula>
    </cfRule>
  </conditionalFormatting>
  <conditionalFormatting sqref="BH48:BH57">
    <cfRule type="expression" dxfId="247" priority="129" stopIfTrue="1">
      <formula>$BD$56&lt;$BJ$56</formula>
    </cfRule>
    <cfRule type="expression" dxfId="246" priority="128" stopIfTrue="1">
      <formula>$BD$56=$BJ$56</formula>
    </cfRule>
  </conditionalFormatting>
  <conditionalFormatting sqref="BI57:BK57">
    <cfRule type="expression" dxfId="245" priority="116" stopIfTrue="1">
      <formula>$BJ$56&lt;=$BD$56</formula>
    </cfRule>
  </conditionalFormatting>
  <conditionalFormatting sqref="BI47:BM47">
    <cfRule type="expression" dxfId="244" priority="108" stopIfTrue="1">
      <formula>$BI$46&lt;=$BO$46</formula>
    </cfRule>
  </conditionalFormatting>
  <conditionalFormatting sqref="BL58:BL64">
    <cfRule type="expression" dxfId="243" priority="142" stopIfTrue="1">
      <formula>$BJ$56&lt;=$BD$56</formula>
    </cfRule>
  </conditionalFormatting>
  <conditionalFormatting sqref="BN38:BN47">
    <cfRule type="expression" dxfId="242" priority="505" stopIfTrue="1">
      <formula>$BO$46=$BI$46</formula>
    </cfRule>
    <cfRule type="expression" dxfId="241" priority="506" stopIfTrue="1">
      <formula>$BO$46&lt;$BI$46</formula>
    </cfRule>
  </conditionalFormatting>
  <conditionalFormatting sqref="BO47:BQ47">
    <cfRule type="expression" dxfId="240" priority="119" stopIfTrue="1">
      <formula>$BO$46&lt;=$BI$46</formula>
    </cfRule>
  </conditionalFormatting>
  <conditionalFormatting sqref="BR48:BR64">
    <cfRule type="expression" dxfId="239" priority="137" stopIfTrue="1">
      <formula>$BO$46&lt;=$BI$46</formula>
    </cfRule>
  </conditionalFormatting>
  <conditionalFormatting sqref="BR74:CF74">
    <cfRule type="expression" dxfId="238" priority="1">
      <formula>$CE$76&gt;=$BC$76</formula>
    </cfRule>
  </conditionalFormatting>
  <conditionalFormatting sqref="BT11:BT15">
    <cfRule type="expression" dxfId="237" priority="154" stopIfTrue="1">
      <formula>$BP$14&lt;$BV$14</formula>
    </cfRule>
    <cfRule type="expression" dxfId="236" priority="153" stopIfTrue="1">
      <formula>$BP$14=$BV$14</formula>
    </cfRule>
  </conditionalFormatting>
  <conditionalFormatting sqref="BU3:CV5 CY3:DK5 AV3:AV6 L3:L8 AV7:BH8">
    <cfRule type="expression" dxfId="235" priority="151" stopIfTrue="1">
      <formula>#REF!=""</formula>
    </cfRule>
  </conditionalFormatting>
  <conditionalFormatting sqref="BU15:DA15">
    <cfRule type="expression" dxfId="234" priority="73">
      <formula>$BV$14&lt;=$BP$14</formula>
    </cfRule>
  </conditionalFormatting>
  <conditionalFormatting sqref="BW48:BW64">
    <cfRule type="expression" dxfId="233" priority="138" stopIfTrue="1">
      <formula>$BW$46&lt;=$CC$46</formula>
    </cfRule>
  </conditionalFormatting>
  <conditionalFormatting sqref="BX47:BZ47">
    <cfRule type="expression" dxfId="232" priority="118" stopIfTrue="1">
      <formula>$BW$46&lt;=$CC$46</formula>
    </cfRule>
  </conditionalFormatting>
  <conditionalFormatting sqref="CA38:CA47">
    <cfRule type="expression" dxfId="231" priority="510" stopIfTrue="1">
      <formula>$BW$46&lt;$CC$46</formula>
    </cfRule>
    <cfRule type="expression" dxfId="230" priority="509" stopIfTrue="1">
      <formula>$BW$46=$CC$46</formula>
    </cfRule>
  </conditionalFormatting>
  <conditionalFormatting sqref="CB47:CF47">
    <cfRule type="expression" dxfId="229" priority="107" stopIfTrue="1">
      <formula>$CC$46&lt;=$BW$46</formula>
    </cfRule>
  </conditionalFormatting>
  <conditionalFormatting sqref="CB37:CK37">
    <cfRule type="expression" dxfId="228" priority="94" stopIfTrue="1">
      <formula>$CH$36&lt;=$CN$36</formula>
    </cfRule>
  </conditionalFormatting>
  <conditionalFormatting sqref="CC58:CC64">
    <cfRule type="expression" dxfId="227" priority="146" stopIfTrue="1">
      <formula>$CB$56&lt;=$CH$56</formula>
    </cfRule>
  </conditionalFormatting>
  <conditionalFormatting sqref="CD57:CF57">
    <cfRule type="expression" dxfId="226" priority="123" stopIfTrue="1">
      <formula>$CB$56&lt;=$CH$56</formula>
    </cfRule>
  </conditionalFormatting>
  <conditionalFormatting sqref="CG48:CG57">
    <cfRule type="expression" dxfId="225" priority="131" stopIfTrue="1">
      <formula>$CH$56&lt;$CB$56</formula>
    </cfRule>
    <cfRule type="expression" dxfId="224" priority="130" stopIfTrue="1">
      <formula>$CH$56=$CB$56</formula>
    </cfRule>
  </conditionalFormatting>
  <conditionalFormatting sqref="CG73:CG74">
    <cfRule type="expression" dxfId="223" priority="5">
      <formula>$DH$73=$DH$80</formula>
    </cfRule>
    <cfRule type="expression" dxfId="222" priority="3">
      <formula>$DH$73&gt;$DH$80</formula>
    </cfRule>
  </conditionalFormatting>
  <conditionalFormatting sqref="CG75:CG80">
    <cfRule type="expression" dxfId="221" priority="6">
      <formula>$DH$80&gt;=$DH$73</formula>
    </cfRule>
  </conditionalFormatting>
  <conditionalFormatting sqref="CH57:CI57">
    <cfRule type="expression" dxfId="220" priority="112" stopIfTrue="1">
      <formula>$CH$56&lt;=$CB$56</formula>
    </cfRule>
  </conditionalFormatting>
  <conditionalFormatting sqref="CH72:DI72">
    <cfRule type="expression" dxfId="219" priority="12">
      <formula>$DH$73&gt;=$DH$80</formula>
    </cfRule>
  </conditionalFormatting>
  <conditionalFormatting sqref="CH81:DI81">
    <cfRule type="expression" dxfId="218" priority="9">
      <formula>$DH$80&gt;=$DH$73</formula>
    </cfRule>
  </conditionalFormatting>
  <conditionalFormatting sqref="CJ58:CJ64">
    <cfRule type="expression" dxfId="217" priority="141" stopIfTrue="1">
      <formula>$CH$56&lt;=$CB$56</formula>
    </cfRule>
  </conditionalFormatting>
  <conditionalFormatting sqref="CL28:CL37">
    <cfRule type="expression" dxfId="216" priority="89" stopIfTrue="1">
      <formula>$CH$36&lt;$CN$36</formula>
    </cfRule>
    <cfRule type="expression" dxfId="215" priority="88" stopIfTrue="1">
      <formula>$CH$36=$CN$36</formula>
    </cfRule>
  </conditionalFormatting>
  <conditionalFormatting sqref="CM37:CW37">
    <cfRule type="expression" dxfId="214" priority="90" stopIfTrue="1">
      <formula>$CN$36&lt;=$CH$36</formula>
    </cfRule>
  </conditionalFormatting>
  <conditionalFormatting sqref="CM27:DA27">
    <cfRule type="expression" dxfId="213" priority="62">
      <formula>$CW$26&lt;=$DC$26</formula>
    </cfRule>
  </conditionalFormatting>
  <conditionalFormatting sqref="CO58:CO64">
    <cfRule type="expression" dxfId="212" priority="145" stopIfTrue="1">
      <formula>$CN$56&lt;=$CT$56</formula>
    </cfRule>
  </conditionalFormatting>
  <conditionalFormatting sqref="CP57:CQ57">
    <cfRule type="expression" dxfId="211" priority="111" stopIfTrue="1">
      <formula>$CN$56&lt;=$CT$56</formula>
    </cfRule>
  </conditionalFormatting>
  <conditionalFormatting sqref="CR48:CR57">
    <cfRule type="expression" dxfId="210" priority="126" stopIfTrue="1">
      <formula>$CN$56=$CT$56</formula>
    </cfRule>
    <cfRule type="expression" dxfId="209" priority="127" stopIfTrue="1">
      <formula>$CN$56&lt;$CT$56</formula>
    </cfRule>
  </conditionalFormatting>
  <conditionalFormatting sqref="CS57:CU57">
    <cfRule type="expression" dxfId="208" priority="122" stopIfTrue="1">
      <formula>$CT$56&lt;=$CN$56</formula>
    </cfRule>
  </conditionalFormatting>
  <conditionalFormatting sqref="CS47:CW47">
    <cfRule type="expression" dxfId="207" priority="106" stopIfTrue="1">
      <formula>$CS$46&lt;=$CY$46</formula>
    </cfRule>
  </conditionalFormatting>
  <conditionalFormatting sqref="CV58:CV64">
    <cfRule type="expression" dxfId="206" priority="140" stopIfTrue="1">
      <formula>$CT$56&lt;=$CN$56</formula>
    </cfRule>
  </conditionalFormatting>
  <conditionalFormatting sqref="CX38:CX47">
    <cfRule type="expression" dxfId="205" priority="513" stopIfTrue="1">
      <formula>$CY$46=$CS$46</formula>
    </cfRule>
    <cfRule type="expression" dxfId="204" priority="514" stopIfTrue="1">
      <formula>$CY$46&lt;$CS$46</formula>
    </cfRule>
  </conditionalFormatting>
  <conditionalFormatting sqref="CY47:DA47">
    <cfRule type="expression" dxfId="203" priority="117" stopIfTrue="1">
      <formula>$CY$46&lt;=$CS$46</formula>
    </cfRule>
  </conditionalFormatting>
  <conditionalFormatting sqref="DB16:DB27">
    <cfRule type="expression" dxfId="202" priority="64">
      <formula>$DC$26=$CW$26</formula>
    </cfRule>
    <cfRule type="expression" dxfId="201" priority="63">
      <formula>$DC$26&lt;$CW$26</formula>
    </cfRule>
  </conditionalFormatting>
  <conditionalFormatting sqref="DB48:DB64">
    <cfRule type="expression" dxfId="200" priority="136" stopIfTrue="1">
      <formula>$CY$46&lt;=$CS$46</formula>
    </cfRule>
  </conditionalFormatting>
  <conditionalFormatting sqref="DC27:DS27">
    <cfRule type="expression" dxfId="199" priority="168">
      <formula>$DC$26&lt;=$CW$26</formula>
    </cfRule>
  </conditionalFormatting>
  <conditionalFormatting sqref="DE22:DE24">
    <cfRule type="expression" dxfId="198" priority="169">
      <formula>#REF!&lt;$CZ$26</formula>
    </cfRule>
    <cfRule type="expression" dxfId="197" priority="170">
      <formula>$CZ$26=#REF!</formula>
    </cfRule>
  </conditionalFormatting>
  <conditionalFormatting sqref="DG48:DG64">
    <cfRule type="expression" dxfId="196" priority="72" stopIfTrue="1">
      <formula>$DF$46&lt;=$DL$46</formula>
    </cfRule>
  </conditionalFormatting>
  <conditionalFormatting sqref="DG9:ED25">
    <cfRule type="expression" dxfId="195" priority="155" stopIfTrue="1">
      <formula>$EI$1=FALSE</formula>
    </cfRule>
  </conditionalFormatting>
  <conditionalFormatting sqref="DH47:DI47">
    <cfRule type="expression" dxfId="194" priority="77" stopIfTrue="1">
      <formula>$DF$46&lt;=$DL$46</formula>
    </cfRule>
  </conditionalFormatting>
  <conditionalFormatting sqref="DJ38:DJ47">
    <cfRule type="expression" dxfId="193" priority="517">
      <formula>$DF$46&lt;$DL$46</formula>
    </cfRule>
    <cfRule type="expression" dxfId="192" priority="518">
      <formula>$DF$46=$DL$46</formula>
    </cfRule>
  </conditionalFormatting>
  <conditionalFormatting sqref="DK16:DK22">
    <cfRule type="expression" dxfId="191" priority="156" stopIfTrue="1">
      <formula>$DN$14&lt;=$DT$14</formula>
    </cfRule>
  </conditionalFormatting>
  <conditionalFormatting sqref="DK47:DM47">
    <cfRule type="expression" dxfId="190" priority="67">
      <formula>$DL$46&lt;=$DF$46</formula>
    </cfRule>
  </conditionalFormatting>
  <conditionalFormatting sqref="DK37:DS37">
    <cfRule type="expression" dxfId="189" priority="92" stopIfTrue="1">
      <formula>$DO$36&lt;=$DU$36</formula>
    </cfRule>
  </conditionalFormatting>
  <conditionalFormatting sqref="DL15:DQ15">
    <cfRule type="expression" dxfId="188" priority="158" stopIfTrue="1">
      <formula>$DN$14&lt;=$DT$14</formula>
    </cfRule>
  </conditionalFormatting>
  <conditionalFormatting sqref="DN48:DN64">
    <cfRule type="expression" dxfId="187" priority="71" stopIfTrue="1">
      <formula>$DL$46&lt;=$DF$46</formula>
    </cfRule>
  </conditionalFormatting>
  <conditionalFormatting sqref="DR13:DR15">
    <cfRule type="expression" dxfId="186" priority="164" stopIfTrue="1">
      <formula>$DN$14=$DT$14</formula>
    </cfRule>
    <cfRule type="expression" dxfId="185" priority="165" stopIfTrue="1">
      <formula>$DN$14&lt;$DT$14</formula>
    </cfRule>
  </conditionalFormatting>
  <conditionalFormatting sqref="DS58:DS64">
    <cfRule type="expression" dxfId="184" priority="85" stopIfTrue="1">
      <formula>$DR$56&lt;=$DX$56</formula>
    </cfRule>
  </conditionalFormatting>
  <conditionalFormatting sqref="DS15:DY15">
    <cfRule type="expression" dxfId="183" priority="160" stopIfTrue="1">
      <formula>$DT$14&lt;=$DN$14</formula>
    </cfRule>
  </conditionalFormatting>
  <conditionalFormatting sqref="DT28:DT37">
    <cfRule type="expression" dxfId="182" priority="66">
      <formula>$DU$36=$DO$36</formula>
    </cfRule>
    <cfRule type="expression" dxfId="181" priority="65">
      <formula>$DU$36&lt;$DO$36</formula>
    </cfRule>
  </conditionalFormatting>
  <conditionalFormatting sqref="DT57:DU57">
    <cfRule type="expression" dxfId="180" priority="78" stopIfTrue="1">
      <formula>$DR$56&lt;=$DX$56</formula>
    </cfRule>
  </conditionalFormatting>
  <conditionalFormatting sqref="DU37:EA37">
    <cfRule type="expression" dxfId="179" priority="93" stopIfTrue="1">
      <formula>$DU$36&lt;=$DO$36</formula>
    </cfRule>
  </conditionalFormatting>
  <conditionalFormatting sqref="DV48:DV57">
    <cfRule type="expression" dxfId="178" priority="81" stopIfTrue="1">
      <formula>$DR$56=$DX$56</formula>
    </cfRule>
    <cfRule type="expression" dxfId="177" priority="82" stopIfTrue="1">
      <formula>$DR$56&lt;$DX$56</formula>
    </cfRule>
  </conditionalFormatting>
  <conditionalFormatting sqref="DW57:DY57">
    <cfRule type="expression" dxfId="176" priority="79" stopIfTrue="1">
      <formula>$DX$56&lt;=$DR$56</formula>
    </cfRule>
  </conditionalFormatting>
  <conditionalFormatting sqref="DW47:EA47">
    <cfRule type="expression" dxfId="175" priority="76" stopIfTrue="1">
      <formula>$DW$46&lt;=$EC$46</formula>
    </cfRule>
  </conditionalFormatting>
  <conditionalFormatting sqref="DZ16:DZ22">
    <cfRule type="expression" dxfId="174" priority="162" stopIfTrue="1">
      <formula>$DT$14&lt;=$DN$14</formula>
    </cfRule>
  </conditionalFormatting>
  <conditionalFormatting sqref="DZ58:DZ64">
    <cfRule type="expression" dxfId="173" priority="84" stopIfTrue="1">
      <formula>$DX$56&lt;=$DR$56</formula>
    </cfRule>
  </conditionalFormatting>
  <conditionalFormatting sqref="EB38:EB47">
    <cfRule type="expression" dxfId="172" priority="521" stopIfTrue="1">
      <formula>$EC$46=$DW$46</formula>
    </cfRule>
    <cfRule type="expression" dxfId="171" priority="522" stopIfTrue="1">
      <formula>$EC$46&lt;$DW$46</formula>
    </cfRule>
  </conditionalFormatting>
  <conditionalFormatting sqref="EC47:EE47">
    <cfRule type="expression" dxfId="170" priority="80" stopIfTrue="1">
      <formula>$EC$46&lt;=$DW$46</formula>
    </cfRule>
  </conditionalFormatting>
  <conditionalFormatting sqref="EF48:EF64">
    <cfRule type="expression" dxfId="169" priority="83" stopIfTrue="1">
      <formula>$EC$46&lt;=$DW$46</formula>
    </cfRule>
  </conditionalFormatting>
  <dataValidations count="4">
    <dataValidation type="list" allowBlank="1" showInputMessage="1" showErrorMessage="1" sqref="CM29:DS29 AK17:DA17 S29:BB29 H40:AC40 AR40:BM40 CB40:CW40 DK40:EA40" xr:uid="{4F7A5852-4C5C-4468-BD39-BBE6F9E096C1}">
      <formula1>$EJ$18:$EJ$22</formula1>
    </dataValidation>
    <dataValidation type="list" allowBlank="1" showInputMessage="1" showErrorMessage="1" sqref="D49:L49 Y49:AG49 AN49:AV49 BI49:BQ49 BX49:CF49 CS49:DA49 DH49:DM49 DW49:EE49 J59:O59 V59:AA59 AT59:AY59 BF59:BK59 CD59:CI59 CP59:CU59 DT59:DY59 DL17:DY17" xr:uid="{F34738AC-10D1-4E2D-B751-35FF84C6F39D}">
      <formula1>$EJ$48:$EJ$52</formula1>
    </dataValidation>
    <dataValidation type="list" allowBlank="1" showInputMessage="1" showErrorMessage="1" sqref="J61:O61 V61:AA61 AT61:AY61 BF61:BK61 CD61:CI61 CP61:CU61 DT61:DY61 DW51:EE51 D51:L51 Y51:AG51 AN51:AV51 BI51:BQ51 BX51:CF51 CS51:DA51 DH51:DM51" xr:uid="{9D57B8A9-9858-40A6-A45F-BFF08E18CE79}">
      <formula1>$EJ$58:$EJ$65</formula1>
    </dataValidation>
    <dataValidation type="list" allowBlank="1" showInputMessage="1" showErrorMessage="1" sqref="H41:AC41 AR41:BM41 CB41:CW41 DK41:EA41 CM31:DS31 S31:BB31 AK19:DA19 DL19:DY19 AA77:AY77 BC78:CF78 CJ77:DH77" xr:uid="{BF10CA00-B8A3-48A3-9B42-975436DF6368}">
      <formula1>$EK$58:$EK$65</formula1>
    </dataValidation>
  </dataValidations>
  <printOptions horizontalCentered="1"/>
  <pageMargins left="0.39370078740157483" right="0.39370078740157483" top="0.59055118110236227" bottom="0.39370078740157483" header="0.51181102362204722" footer="0.51181102362204722"/>
  <pageSetup paperSize="9" scale="6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139</xdr:col>
                    <xdr:colOff>47625</xdr:colOff>
                    <xdr:row>0</xdr:row>
                    <xdr:rowOff>276225</xdr:rowOff>
                  </from>
                  <to>
                    <xdr:col>139</xdr:col>
                    <xdr:colOff>266700</xdr:colOff>
                    <xdr:row>2</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C776D-28E4-4168-A287-F9DDBEC37F07}">
  <sheetPr>
    <tabColor rgb="FF00B0F0"/>
    <pageSetUpPr fitToPage="1"/>
  </sheetPr>
  <dimension ref="A1:ER73"/>
  <sheetViews>
    <sheetView showGridLines="0" topLeftCell="A2" zoomScale="85" zoomScaleNormal="85" workbookViewId="0">
      <selection activeCell="BM29" sqref="BM29"/>
    </sheetView>
  </sheetViews>
  <sheetFormatPr defaultColWidth="9" defaultRowHeight="14.25" x14ac:dyDescent="0.15"/>
  <cols>
    <col min="1" max="1" width="9.25" style="72" customWidth="1"/>
    <col min="2" max="2" width="3.625" style="58" customWidth="1"/>
    <col min="3" max="3" width="3.5" style="58" customWidth="1"/>
    <col min="4" max="5" width="3.5" style="72" customWidth="1"/>
    <col min="6" max="6" width="1.75" style="72" customWidth="1"/>
    <col min="7" max="7" width="1.75" style="75" customWidth="1"/>
    <col min="8" max="9" width="1.75" style="76" customWidth="1"/>
    <col min="10" max="10" width="3.5" style="77" customWidth="1"/>
    <col min="11" max="11" width="1.75" style="77" customWidth="1"/>
    <col min="12" max="18" width="1.75" style="72" customWidth="1"/>
    <col min="19" max="19" width="3.5" style="75" customWidth="1"/>
    <col min="20" max="20" width="3.5" style="76" customWidth="1"/>
    <col min="21" max="21" width="3.5" style="77" customWidth="1"/>
    <col min="22" max="22" width="3.5" style="72" customWidth="1"/>
    <col min="23" max="26" width="1.75" style="72" customWidth="1"/>
    <col min="27" max="27" width="3.5" style="72" customWidth="1"/>
    <col min="28" max="28" width="1.75" style="72" customWidth="1"/>
    <col min="29" max="29" width="1.75" style="75" customWidth="1"/>
    <col min="30" max="32" width="1.75" style="76" customWidth="1"/>
    <col min="33" max="33" width="1.75" style="77" customWidth="1"/>
    <col min="34" max="38" width="1.75" style="72" customWidth="1"/>
    <col min="39" max="41" width="1.75" style="58" customWidth="1"/>
    <col min="42" max="42" width="3.5" style="58" customWidth="1"/>
    <col min="43" max="43" width="3.5" style="105" customWidth="1"/>
    <col min="44" max="44" width="1.75" style="105" customWidth="1"/>
    <col min="45" max="47" width="1.75" style="58" customWidth="1"/>
    <col min="48" max="49" width="3.5" style="58" customWidth="1"/>
    <col min="50" max="53" width="1.75" style="58" customWidth="1"/>
    <col min="54" max="56" width="3.5" style="58" customWidth="1"/>
    <col min="57" max="16384" width="9" style="58"/>
  </cols>
  <sheetData>
    <row r="1" spans="1:56" ht="24.75" x14ac:dyDescent="0.15">
      <c r="C1" s="106" t="str">
        <f ca="1">"令和"&amp;IF(YEAR(NOW())=2019,"元",YEAR(NOW())-2018)&amp;"年度 第"&amp;YEAR(NOW())-1999&amp;"回 加賀地区中学校サッカー大会 《 南加賀ブロック 》"</f>
        <v>令和7年度 第26回 加賀地区中学校サッカー大会 《 南加賀ブロック 》</v>
      </c>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106"/>
      <c r="AZ1" s="106"/>
      <c r="BA1" s="106"/>
      <c r="BB1" s="106"/>
      <c r="BC1" s="106"/>
      <c r="BD1" s="106"/>
    </row>
    <row r="2" spans="1:56" x14ac:dyDescent="0.15">
      <c r="A2" s="72" t="str">
        <f>IF(ISERROR(INDEX(#REF!,MATCH(1,#REF!,0),1)),"",INDEX(#REF!,MATCH(1,#REF!,0),1))</f>
        <v/>
      </c>
    </row>
    <row r="3" spans="1:56" ht="25.5" customHeight="1" x14ac:dyDescent="0.15">
      <c r="A3" s="72" t="str">
        <f>IF(AA11=AE11,"",IF(AA11&gt;AE11,M13,AU13))</f>
        <v/>
      </c>
      <c r="G3" s="485" t="s">
        <v>63</v>
      </c>
      <c r="H3" s="485"/>
      <c r="I3" s="485"/>
      <c r="J3" s="485"/>
      <c r="K3" s="76"/>
      <c r="L3" s="635" t="str">
        <f>IF(A3="","",IF(VLOOKUP(A3,予選学校名!$I$3:$L$18,3,FALSE)="",VLOOKUP(A3,予選学校名!$I$3:$L$18,4,FALSE),VLOOKUP(A3,予選学校名!$I$3:$L$18,3,FALSE)&amp;"立"&amp;'南(③9)'!A3&amp;"中学校"))</f>
        <v/>
      </c>
      <c r="M3" s="635"/>
      <c r="N3" s="635"/>
      <c r="O3" s="635"/>
      <c r="P3" s="635"/>
      <c r="Q3" s="635"/>
      <c r="R3" s="635"/>
      <c r="S3" s="635"/>
      <c r="T3" s="635"/>
      <c r="U3" s="635"/>
      <c r="V3" s="635"/>
      <c r="W3" s="635"/>
      <c r="X3" s="635"/>
      <c r="Y3" s="635"/>
      <c r="Z3" s="635"/>
      <c r="AA3" s="635"/>
      <c r="AB3" s="635"/>
      <c r="AC3" s="635"/>
      <c r="AD3" s="635"/>
      <c r="AE3" s="635"/>
      <c r="AF3" s="635"/>
      <c r="AG3" s="635"/>
      <c r="AH3" s="389"/>
      <c r="AI3" s="580" t="str">
        <f>IF(A3="","","("&amp;VLOOKUP(A3,予選学校名!$I$3:$L$32,2,FALSE)&amp;")")</f>
        <v/>
      </c>
      <c r="AJ3" s="580"/>
      <c r="AK3" s="580"/>
      <c r="AL3" s="580"/>
      <c r="AM3" s="580"/>
      <c r="AN3" s="580"/>
      <c r="AO3" s="580"/>
      <c r="AP3" s="150" t="s">
        <v>64</v>
      </c>
      <c r="AQ3" s="85"/>
      <c r="AR3" s="85"/>
      <c r="AS3" s="85"/>
      <c r="AT3" s="85"/>
      <c r="AU3" s="85"/>
      <c r="AV3" s="85"/>
      <c r="AW3" s="85"/>
      <c r="AX3" s="85"/>
      <c r="AY3" s="85"/>
      <c r="AZ3" s="390"/>
    </row>
    <row r="4" spans="1:56" ht="25.5" customHeight="1" x14ac:dyDescent="0.15">
      <c r="A4" s="72" t="str">
        <f>IF(A3=M13,AU13,M13)</f>
        <v/>
      </c>
      <c r="G4" s="485" t="s">
        <v>65</v>
      </c>
      <c r="H4" s="485"/>
      <c r="I4" s="485"/>
      <c r="J4" s="485"/>
      <c r="K4" s="76"/>
      <c r="L4" s="635" t="str">
        <f>IF(A4="","",IF(VLOOKUP(A4,予選学校名!$I$3:$L$18,3,FALSE)="",VLOOKUP(A4,予選学校名!$I$3:$L$18,4,FALSE),VLOOKUP(A4,予選学校名!$I$3:$L$18,3,FALSE)&amp;"立"&amp;'南(③9)'!A4&amp;"中学校"))</f>
        <v/>
      </c>
      <c r="M4" s="635"/>
      <c r="N4" s="635"/>
      <c r="O4" s="635"/>
      <c r="P4" s="635"/>
      <c r="Q4" s="635"/>
      <c r="R4" s="635"/>
      <c r="S4" s="635"/>
      <c r="T4" s="635"/>
      <c r="U4" s="635"/>
      <c r="V4" s="635"/>
      <c r="W4" s="635"/>
      <c r="X4" s="635"/>
      <c r="Y4" s="635"/>
      <c r="Z4" s="635"/>
      <c r="AA4" s="635"/>
      <c r="AB4" s="635"/>
      <c r="AC4" s="635"/>
      <c r="AD4" s="635"/>
      <c r="AE4" s="635"/>
      <c r="AF4" s="635"/>
      <c r="AG4" s="635"/>
      <c r="AH4" s="389"/>
      <c r="AI4" s="576" t="str">
        <f>IF(A4="","","("&amp;VLOOKUP(A4,予選学校名!$I$3:$L$32,2,FALSE)&amp;")")</f>
        <v/>
      </c>
      <c r="AJ4" s="576"/>
      <c r="AK4" s="576"/>
      <c r="AL4" s="576"/>
      <c r="AM4" s="576"/>
      <c r="AN4" s="576"/>
      <c r="AO4" s="576"/>
      <c r="AP4" s="150" t="s">
        <v>64</v>
      </c>
      <c r="AQ4" s="85"/>
      <c r="AR4" s="85"/>
      <c r="AS4" s="85"/>
      <c r="AT4" s="85"/>
      <c r="AU4" s="85"/>
      <c r="AV4" s="85"/>
      <c r="AW4" s="85"/>
      <c r="AX4" s="85"/>
      <c r="AY4" s="85"/>
      <c r="AZ4" s="390"/>
    </row>
    <row r="5" spans="1:56" ht="25.5" customHeight="1" x14ac:dyDescent="0.15">
      <c r="A5" s="72" t="str">
        <f>IF(T67="","",T67)</f>
        <v/>
      </c>
      <c r="G5" s="485" t="s">
        <v>66</v>
      </c>
      <c r="H5" s="485"/>
      <c r="I5" s="485"/>
      <c r="J5" s="485"/>
      <c r="K5" s="76"/>
      <c r="L5" s="635" t="str">
        <f>IF(A5="","",IF(VLOOKUP(A5,予選学校名!$I$3:$L$18,3,FALSE)="",VLOOKUP(A5,予選学校名!$I$3:$L$18,4,FALSE),VLOOKUP(A5,予選学校名!$I$3:$L$18,3,FALSE)&amp;"立"&amp;'南(③9)'!A5&amp;"中学校"))</f>
        <v/>
      </c>
      <c r="M5" s="635"/>
      <c r="N5" s="635"/>
      <c r="O5" s="635"/>
      <c r="P5" s="635"/>
      <c r="Q5" s="635"/>
      <c r="R5" s="635"/>
      <c r="S5" s="635"/>
      <c r="T5" s="635"/>
      <c r="U5" s="635"/>
      <c r="V5" s="635"/>
      <c r="W5" s="635"/>
      <c r="X5" s="635"/>
      <c r="Y5" s="635"/>
      <c r="Z5" s="635"/>
      <c r="AA5" s="635"/>
      <c r="AB5" s="635"/>
      <c r="AC5" s="635"/>
      <c r="AD5" s="635"/>
      <c r="AE5" s="635"/>
      <c r="AF5" s="635"/>
      <c r="AG5" s="635"/>
      <c r="AH5" s="389"/>
      <c r="AI5" s="576" t="str">
        <f>IF(A5="","","("&amp;VLOOKUP(A5,予選学校名!$I$3:$L$32,2,FALSE)&amp;")")</f>
        <v/>
      </c>
      <c r="AJ5" s="576"/>
      <c r="AK5" s="576"/>
      <c r="AL5" s="576"/>
      <c r="AM5" s="576"/>
      <c r="AN5" s="576"/>
      <c r="AO5" s="576"/>
      <c r="AP5" s="150" t="s">
        <v>64</v>
      </c>
      <c r="AQ5" s="85"/>
      <c r="AR5" s="85"/>
      <c r="AS5" s="85"/>
      <c r="AT5" s="85"/>
      <c r="AU5" s="85"/>
      <c r="AV5" s="85"/>
      <c r="AW5" s="85"/>
      <c r="AX5" s="85"/>
      <c r="AY5" s="85"/>
      <c r="AZ5" s="390"/>
    </row>
    <row r="6" spans="1:56" ht="25.5" customHeight="1" x14ac:dyDescent="0.15">
      <c r="A6" s="72" t="str">
        <f>IF(A5="","",IF(A5=AQ63,AQ71,AQ63))</f>
        <v/>
      </c>
      <c r="K6" s="441"/>
      <c r="L6" s="613" t="str">
        <f>IF(A6="","",IF(VLOOKUP(A6,予選学校名!$I$3:$L$32,3,FALSE)="",IF(VLOOKUP(A6,予選学校名!$I$3:$L$32,4,FALSE)="","",VLOOKUP(A6,予選学校名!$I$3:$L$32,4,FALSE)),VLOOKUP(A6,予選学校名!$I$3:$L$32,3,FALSE)&amp;"立")&amp;A6&amp;"中学校")</f>
        <v/>
      </c>
      <c r="M6" s="613"/>
      <c r="N6" s="613"/>
      <c r="O6" s="613"/>
      <c r="P6" s="613"/>
      <c r="Q6" s="613"/>
      <c r="R6" s="613"/>
      <c r="S6" s="613"/>
      <c r="T6" s="613"/>
      <c r="U6" s="613"/>
      <c r="V6" s="613"/>
      <c r="W6" s="613"/>
      <c r="X6" s="613"/>
      <c r="Y6" s="613"/>
      <c r="Z6" s="613"/>
      <c r="AA6" s="613"/>
      <c r="AB6" s="613"/>
      <c r="AC6" s="613"/>
      <c r="AD6" s="613"/>
      <c r="AE6" s="613"/>
      <c r="AF6" s="613"/>
      <c r="AG6" s="613"/>
      <c r="AH6" s="442"/>
      <c r="AI6" s="582" t="str">
        <f>IF(A6="","","("&amp;VLOOKUP(A6,予選学校名!$I$3:$L$32,2,FALSE)&amp;")")</f>
        <v/>
      </c>
      <c r="AJ6" s="582"/>
      <c r="AK6" s="582"/>
      <c r="AL6" s="582"/>
      <c r="AM6" s="582"/>
      <c r="AN6" s="582"/>
      <c r="AO6" s="582"/>
      <c r="AP6" s="443"/>
      <c r="AQ6" s="443"/>
      <c r="AR6" s="443"/>
      <c r="AS6" s="443"/>
      <c r="AT6" s="390"/>
      <c r="AU6" s="390"/>
      <c r="AV6" s="390"/>
      <c r="AW6" s="390"/>
      <c r="AX6" s="390"/>
      <c r="AY6" s="390"/>
      <c r="AZ6" s="390"/>
      <c r="BA6" s="634"/>
      <c r="BB6" s="634"/>
    </row>
    <row r="7" spans="1:56" ht="21.75" customHeight="1" x14ac:dyDescent="0.15"/>
    <row r="8" spans="1:56" ht="28.5" customHeight="1" x14ac:dyDescent="0.15">
      <c r="Q8" s="521" t="s">
        <v>614</v>
      </c>
      <c r="R8" s="521"/>
      <c r="S8" s="521"/>
      <c r="T8" s="521"/>
      <c r="U8" s="644" t="str">
        <f>IF(A3="","",L3)</f>
        <v/>
      </c>
      <c r="V8" s="644"/>
      <c r="W8" s="644"/>
      <c r="X8" s="644"/>
      <c r="Y8" s="644"/>
      <c r="Z8" s="644"/>
      <c r="AA8" s="644"/>
      <c r="AB8" s="644"/>
      <c r="AC8" s="644"/>
      <c r="AD8" s="644"/>
      <c r="AE8" s="644"/>
      <c r="AF8" s="644"/>
      <c r="AG8" s="644"/>
      <c r="AH8" s="644"/>
      <c r="AI8" s="644"/>
      <c r="AJ8" s="644"/>
      <c r="AK8" s="644"/>
      <c r="AL8" s="644"/>
      <c r="AM8" s="644"/>
      <c r="AN8" s="644"/>
      <c r="AO8" s="644"/>
    </row>
    <row r="9" spans="1:56" x14ac:dyDescent="0.15">
      <c r="AC9" s="545"/>
      <c r="AD9" s="307"/>
    </row>
    <row r="10" spans="1:56" x14ac:dyDescent="0.15">
      <c r="AA10" s="538" t="str">
        <f>IF(AA14="","",SUM(AA14:AA17))</f>
        <v/>
      </c>
      <c r="AB10" s="538"/>
      <c r="AC10" s="545"/>
      <c r="AD10" s="307"/>
      <c r="AE10" s="537" t="str">
        <f>IF(AE14="","",SUM(AE14:AE17))</f>
        <v/>
      </c>
      <c r="AF10" s="537"/>
      <c r="AG10" s="537"/>
    </row>
    <row r="11" spans="1:56" s="376" customFormat="1" hidden="1" x14ac:dyDescent="0.15">
      <c r="A11" s="375"/>
      <c r="D11" s="375"/>
      <c r="E11" s="375"/>
      <c r="F11" s="375"/>
      <c r="G11" s="378"/>
      <c r="H11" s="379"/>
      <c r="I11" s="379"/>
      <c r="J11" s="381"/>
      <c r="K11" s="381"/>
      <c r="L11" s="375"/>
      <c r="M11" s="375"/>
      <c r="N11" s="375"/>
      <c r="O11" s="375"/>
      <c r="P11" s="375"/>
      <c r="Q11" s="375"/>
      <c r="R11" s="375"/>
      <c r="S11" s="378"/>
      <c r="T11" s="379"/>
      <c r="U11" s="381"/>
      <c r="V11" s="375"/>
      <c r="W11" s="375"/>
      <c r="X11" s="375"/>
      <c r="Y11" s="375"/>
      <c r="Z11" s="375"/>
      <c r="AA11" s="614">
        <f>SUM(AA14:AA19)</f>
        <v>0</v>
      </c>
      <c r="AB11" s="614"/>
      <c r="AC11" s="545"/>
      <c r="AD11" s="385"/>
      <c r="AE11" s="615">
        <f>SUM(AE14:AE19)</f>
        <v>0</v>
      </c>
      <c r="AF11" s="615"/>
      <c r="AG11" s="615"/>
      <c r="AH11" s="375"/>
      <c r="AI11" s="375"/>
      <c r="AJ11" s="375"/>
      <c r="AK11" s="375"/>
      <c r="AL11" s="375"/>
      <c r="AQ11" s="383"/>
      <c r="AR11" s="383"/>
    </row>
    <row r="12" spans="1:56" ht="6" customHeight="1" thickBot="1" x14ac:dyDescent="0.2">
      <c r="Q12" s="556"/>
      <c r="R12" s="556"/>
      <c r="S12" s="556"/>
      <c r="T12" s="556"/>
      <c r="U12" s="556"/>
      <c r="V12" s="556"/>
      <c r="W12" s="556"/>
      <c r="X12" s="556"/>
      <c r="Y12" s="556"/>
      <c r="Z12" s="556"/>
      <c r="AA12" s="556"/>
      <c r="AB12" s="556"/>
      <c r="AC12" s="557"/>
      <c r="AD12" s="560"/>
      <c r="AE12" s="556"/>
      <c r="AF12" s="556"/>
      <c r="AG12" s="556"/>
      <c r="AH12" s="556"/>
      <c r="AI12" s="556"/>
      <c r="AJ12" s="556"/>
      <c r="AK12" s="556"/>
      <c r="AL12" s="556"/>
      <c r="AM12" s="556"/>
      <c r="AN12" s="556"/>
      <c r="AO12" s="556"/>
      <c r="AP12" s="556"/>
      <c r="AQ12" s="556"/>
      <c r="AR12" s="556"/>
      <c r="AS12" s="556"/>
    </row>
    <row r="13" spans="1:56" ht="6" customHeight="1" thickTop="1" x14ac:dyDescent="0.15">
      <c r="M13" s="639" t="str">
        <f>IF(N23=R23,"",IF(N23&gt;R23,E25,Z25))</f>
        <v/>
      </c>
      <c r="N13" s="639"/>
      <c r="O13" s="639"/>
      <c r="P13" s="545"/>
      <c r="Q13" s="362"/>
      <c r="R13" s="359"/>
      <c r="S13" s="369"/>
      <c r="T13" s="308"/>
      <c r="U13" s="370"/>
      <c r="V13" s="359"/>
      <c r="W13" s="359"/>
      <c r="X13" s="359"/>
      <c r="Y13" s="359"/>
      <c r="Z13" s="359"/>
      <c r="AA13" s="359"/>
      <c r="AB13" s="359"/>
      <c r="AC13" s="308"/>
      <c r="AD13" s="308"/>
      <c r="AE13" s="308"/>
      <c r="AF13" s="308"/>
      <c r="AG13" s="370"/>
      <c r="AH13" s="359"/>
      <c r="AI13" s="359"/>
      <c r="AJ13" s="359"/>
      <c r="AK13" s="359"/>
      <c r="AL13" s="359"/>
      <c r="AM13" s="364"/>
      <c r="AN13" s="364"/>
      <c r="AO13" s="364"/>
      <c r="AP13" s="364"/>
      <c r="AQ13" s="355"/>
      <c r="AR13" s="355"/>
      <c r="AS13" s="365"/>
      <c r="AT13" s="629"/>
      <c r="AU13" s="627" t="str">
        <f>IF(AQ23=AU23,"",IF(AQ23&gt;AU23,AJ25,BA25))</f>
        <v/>
      </c>
      <c r="AV13" s="627"/>
    </row>
    <row r="14" spans="1:56" x14ac:dyDescent="0.15">
      <c r="M14" s="639"/>
      <c r="N14" s="639"/>
      <c r="O14" s="639"/>
      <c r="P14" s="545"/>
      <c r="Q14" s="363"/>
      <c r="AA14" s="538"/>
      <c r="AB14" s="538"/>
      <c r="AC14" s="485" t="s">
        <v>72</v>
      </c>
      <c r="AD14" s="485"/>
      <c r="AE14" s="537"/>
      <c r="AF14" s="537"/>
      <c r="AG14" s="537"/>
      <c r="AS14" s="366"/>
      <c r="AT14" s="629"/>
      <c r="AU14" s="627"/>
      <c r="AV14" s="627"/>
    </row>
    <row r="15" spans="1:56" x14ac:dyDescent="0.15">
      <c r="M15" s="639"/>
      <c r="N15" s="639"/>
      <c r="O15" s="639"/>
      <c r="P15" s="545"/>
      <c r="Q15" s="363"/>
      <c r="AA15" s="538"/>
      <c r="AB15" s="538"/>
      <c r="AC15" s="485" t="s">
        <v>72</v>
      </c>
      <c r="AD15" s="485"/>
      <c r="AE15" s="537"/>
      <c r="AF15" s="537"/>
      <c r="AG15" s="537"/>
      <c r="AS15" s="366"/>
      <c r="AT15" s="629"/>
      <c r="AU15" s="627"/>
      <c r="AV15" s="627"/>
    </row>
    <row r="16" spans="1:56" x14ac:dyDescent="0.15">
      <c r="M16" s="639"/>
      <c r="N16" s="639"/>
      <c r="O16" s="639"/>
      <c r="P16" s="545"/>
      <c r="Q16" s="363"/>
      <c r="AA16" s="538"/>
      <c r="AB16" s="538"/>
      <c r="AC16" s="485" t="str">
        <f>IF(OR(SUM(AA14:AA15)&lt;&gt;SUM(AE14:AE15),AA15=""),"","－")</f>
        <v/>
      </c>
      <c r="AD16" s="485"/>
      <c r="AE16" s="537"/>
      <c r="AF16" s="537"/>
      <c r="AG16" s="537"/>
      <c r="AS16" s="366"/>
      <c r="AT16" s="629"/>
      <c r="AU16" s="627"/>
      <c r="AV16" s="627"/>
    </row>
    <row r="17" spans="1:54" x14ac:dyDescent="0.15">
      <c r="M17" s="639"/>
      <c r="N17" s="639"/>
      <c r="O17" s="639"/>
      <c r="P17" s="545"/>
      <c r="Q17" s="363"/>
      <c r="AA17" s="538"/>
      <c r="AB17" s="538"/>
      <c r="AC17" s="485" t="str">
        <f>IF(OR(SUM(AA14:AA15)&lt;&gt;SUM(AE14:AE15),AA15=""),"","－")</f>
        <v/>
      </c>
      <c r="AD17" s="485"/>
      <c r="AE17" s="537"/>
      <c r="AF17" s="537"/>
      <c r="AG17" s="537"/>
      <c r="AS17" s="366"/>
      <c r="AT17" s="629"/>
      <c r="AU17" s="627"/>
      <c r="AV17" s="627"/>
    </row>
    <row r="18" spans="1:54" x14ac:dyDescent="0.15">
      <c r="M18" s="639"/>
      <c r="N18" s="639"/>
      <c r="O18" s="639"/>
      <c r="P18" s="545"/>
      <c r="Q18" s="363"/>
      <c r="AA18" s="75"/>
      <c r="AB18" s="75"/>
      <c r="AC18" s="485" t="str">
        <f>IF(OR(SUM(AA14:AA17)&lt;&gt;SUM(AE14:AE17),AA17=""),"","PK")</f>
        <v/>
      </c>
      <c r="AD18" s="485"/>
      <c r="AE18" s="77"/>
      <c r="AF18" s="77"/>
      <c r="AS18" s="366"/>
      <c r="AT18" s="629"/>
      <c r="AU18" s="627"/>
      <c r="AV18" s="627"/>
    </row>
    <row r="19" spans="1:54" x14ac:dyDescent="0.15">
      <c r="M19" s="639"/>
      <c r="N19" s="639"/>
      <c r="O19" s="639"/>
      <c r="P19" s="545"/>
      <c r="Q19" s="363"/>
      <c r="AA19" s="538"/>
      <c r="AB19" s="538"/>
      <c r="AC19" s="485" t="str">
        <f>IF(OR(SUM(AA14:AA17)&lt;&gt;SUM(AE14:AE17),AA17=""),"","－")</f>
        <v/>
      </c>
      <c r="AD19" s="485"/>
      <c r="AE19" s="537"/>
      <c r="AF19" s="537"/>
      <c r="AG19" s="537"/>
      <c r="AS19" s="366"/>
      <c r="AT19" s="629"/>
      <c r="AU19" s="627"/>
      <c r="AV19" s="627"/>
    </row>
    <row r="20" spans="1:54" x14ac:dyDescent="0.15">
      <c r="P20" s="545"/>
      <c r="Q20" s="363"/>
      <c r="AS20" s="366"/>
      <c r="AT20" s="629"/>
    </row>
    <row r="21" spans="1:54" x14ac:dyDescent="0.15">
      <c r="P21" s="545"/>
      <c r="Q21" s="363"/>
      <c r="AS21" s="366"/>
      <c r="AT21" s="629"/>
    </row>
    <row r="22" spans="1:54" x14ac:dyDescent="0.15">
      <c r="N22" s="538" t="str">
        <f>IF(M26="","",SUM(M26:M29))</f>
        <v/>
      </c>
      <c r="O22" s="538"/>
      <c r="P22" s="545"/>
      <c r="Q22" s="363"/>
      <c r="R22" s="537" t="str">
        <f>IF(R26="","",SUM(R26:R29))</f>
        <v/>
      </c>
      <c r="S22" s="537"/>
      <c r="T22" s="537"/>
      <c r="AQ22" s="538" t="str">
        <f>IF(AQ26="","",SUM(AQ26:AQ29))</f>
        <v/>
      </c>
      <c r="AR22" s="538"/>
      <c r="AS22" s="366"/>
      <c r="AT22" s="629"/>
      <c r="AU22" s="537" t="str">
        <f>IF(AU26="","",SUM(AU26:AU29))</f>
        <v/>
      </c>
      <c r="AV22" s="537"/>
      <c r="AW22" s="537"/>
    </row>
    <row r="23" spans="1:54" s="376" customFormat="1" hidden="1" x14ac:dyDescent="0.15">
      <c r="A23" s="375"/>
      <c r="D23" s="375"/>
      <c r="E23" s="375"/>
      <c r="F23" s="375"/>
      <c r="G23" s="378"/>
      <c r="H23" s="379"/>
      <c r="I23" s="379"/>
      <c r="J23" s="381"/>
      <c r="K23" s="381"/>
      <c r="L23" s="375"/>
      <c r="M23" s="375"/>
      <c r="N23" s="614">
        <f>SUM(M26:M31)</f>
        <v>0</v>
      </c>
      <c r="O23" s="614"/>
      <c r="P23" s="545"/>
      <c r="Q23" s="377"/>
      <c r="R23" s="615">
        <f>SUM(R26:R31)</f>
        <v>0</v>
      </c>
      <c r="S23" s="615"/>
      <c r="T23" s="615"/>
      <c r="U23" s="381"/>
      <c r="V23" s="375"/>
      <c r="W23" s="375"/>
      <c r="X23" s="375"/>
      <c r="Y23" s="375"/>
      <c r="Z23" s="375"/>
      <c r="AA23" s="375"/>
      <c r="AB23" s="375"/>
      <c r="AC23" s="378"/>
      <c r="AD23" s="379"/>
      <c r="AE23" s="379"/>
      <c r="AF23" s="379"/>
      <c r="AG23" s="381"/>
      <c r="AH23" s="375"/>
      <c r="AI23" s="375"/>
      <c r="AJ23" s="375"/>
      <c r="AK23" s="375"/>
      <c r="AL23" s="375"/>
      <c r="AQ23" s="614">
        <f>SUM(AQ26:AQ31)</f>
        <v>0</v>
      </c>
      <c r="AR23" s="614"/>
      <c r="AS23" s="382"/>
      <c r="AT23" s="629"/>
      <c r="AU23" s="615">
        <f>SUM(AU26:AU31)</f>
        <v>0</v>
      </c>
      <c r="AV23" s="615"/>
      <c r="AW23" s="615"/>
    </row>
    <row r="24" spans="1:54" ht="6" customHeight="1" thickBot="1" x14ac:dyDescent="0.2">
      <c r="H24" s="556"/>
      <c r="I24" s="556"/>
      <c r="J24" s="556"/>
      <c r="K24" s="556"/>
      <c r="L24" s="556"/>
      <c r="M24" s="556"/>
      <c r="N24" s="556"/>
      <c r="O24" s="556"/>
      <c r="P24" s="557"/>
      <c r="Q24" s="560"/>
      <c r="R24" s="556"/>
      <c r="S24" s="556"/>
      <c r="T24" s="556"/>
      <c r="U24" s="556"/>
      <c r="V24" s="556"/>
      <c r="W24" s="556"/>
      <c r="X24" s="556"/>
      <c r="AN24" s="611"/>
      <c r="AO24" s="611"/>
      <c r="AP24" s="611"/>
      <c r="AQ24" s="611"/>
      <c r="AR24" s="611"/>
      <c r="AS24" s="612"/>
      <c r="AT24" s="630"/>
      <c r="AU24" s="611"/>
      <c r="AV24" s="611"/>
      <c r="AW24" s="611"/>
      <c r="AX24" s="611"/>
      <c r="AY24" s="611"/>
    </row>
    <row r="25" spans="1:54" ht="6" customHeight="1" thickTop="1" x14ac:dyDescent="0.15">
      <c r="E25" s="639" t="str">
        <f>IF(E35=I35,"",IF(E35&gt;I35,C60,N37))</f>
        <v/>
      </c>
      <c r="F25" s="639"/>
      <c r="G25" s="545"/>
      <c r="H25" s="371"/>
      <c r="I25" s="308"/>
      <c r="J25" s="370"/>
      <c r="K25" s="370"/>
      <c r="L25" s="359"/>
      <c r="M25" s="359"/>
      <c r="N25" s="359"/>
      <c r="O25" s="359"/>
      <c r="P25" s="359"/>
      <c r="Q25" s="359"/>
      <c r="R25" s="359"/>
      <c r="S25" s="369"/>
      <c r="T25" s="308"/>
      <c r="U25" s="370"/>
      <c r="V25" s="359"/>
      <c r="W25" s="359"/>
      <c r="X25" s="360"/>
      <c r="Y25" s="553"/>
      <c r="Z25" s="627" t="str">
        <f>IF(V35=Z35,"",IF(V35&gt;Z35,U60,AA60))</f>
        <v/>
      </c>
      <c r="AA25" s="627"/>
      <c r="AJ25" s="639" t="str">
        <f>IF(AK35=AO35,"",IF(AK35&gt;AO35,AH60,AP60))</f>
        <v/>
      </c>
      <c r="AK25" s="639"/>
      <c r="AL25" s="639"/>
      <c r="AM25" s="610"/>
      <c r="AN25" s="367"/>
      <c r="AO25" s="364"/>
      <c r="AP25" s="364"/>
      <c r="AQ25" s="355"/>
      <c r="AR25" s="355"/>
      <c r="AS25" s="364"/>
      <c r="AT25" s="364"/>
      <c r="AU25" s="364"/>
      <c r="AV25" s="364"/>
      <c r="AW25" s="364"/>
      <c r="AX25" s="364"/>
      <c r="AY25" s="365"/>
      <c r="AZ25" s="629"/>
      <c r="BA25" s="627" t="str">
        <f>IF(AW35=BA35,"",IF(AW35&gt;BA35,AV60,BB60))</f>
        <v/>
      </c>
      <c r="BB25" s="627"/>
    </row>
    <row r="26" spans="1:54" x14ac:dyDescent="0.15">
      <c r="E26" s="639"/>
      <c r="F26" s="639"/>
      <c r="G26" s="545"/>
      <c r="H26" s="307"/>
      <c r="M26" s="538"/>
      <c r="N26" s="538"/>
      <c r="O26" s="538"/>
      <c r="P26" s="485" t="s">
        <v>72</v>
      </c>
      <c r="Q26" s="485"/>
      <c r="R26" s="537"/>
      <c r="S26" s="537"/>
      <c r="T26" s="72"/>
      <c r="X26" s="146"/>
      <c r="Y26" s="553"/>
      <c r="Z26" s="627"/>
      <c r="AA26" s="627"/>
      <c r="AJ26" s="639"/>
      <c r="AK26" s="639"/>
      <c r="AL26" s="639"/>
      <c r="AM26" s="610"/>
      <c r="AN26" s="368"/>
      <c r="AQ26" s="538"/>
      <c r="AR26" s="538"/>
      <c r="AS26" s="485" t="s">
        <v>72</v>
      </c>
      <c r="AT26" s="485"/>
      <c r="AU26" s="537"/>
      <c r="AV26" s="537"/>
      <c r="AW26" s="76"/>
      <c r="AY26" s="366"/>
      <c r="AZ26" s="629"/>
      <c r="BA26" s="627"/>
      <c r="BB26" s="627"/>
    </row>
    <row r="27" spans="1:54" x14ac:dyDescent="0.15">
      <c r="E27" s="639"/>
      <c r="F27" s="639"/>
      <c r="G27" s="545"/>
      <c r="H27" s="307"/>
      <c r="M27" s="538"/>
      <c r="N27" s="538"/>
      <c r="O27" s="538"/>
      <c r="P27" s="485" t="s">
        <v>72</v>
      </c>
      <c r="Q27" s="485"/>
      <c r="R27" s="537"/>
      <c r="S27" s="537"/>
      <c r="T27" s="72"/>
      <c r="X27" s="146"/>
      <c r="Y27" s="553"/>
      <c r="Z27" s="627"/>
      <c r="AA27" s="627"/>
      <c r="AJ27" s="639"/>
      <c r="AK27" s="639"/>
      <c r="AL27" s="639"/>
      <c r="AM27" s="610"/>
      <c r="AN27" s="368"/>
      <c r="AQ27" s="538"/>
      <c r="AR27" s="538"/>
      <c r="AS27" s="485" t="s">
        <v>72</v>
      </c>
      <c r="AT27" s="485"/>
      <c r="AU27" s="537"/>
      <c r="AV27" s="537"/>
      <c r="AW27" s="76"/>
      <c r="AY27" s="366"/>
      <c r="AZ27" s="629"/>
      <c r="BA27" s="627"/>
      <c r="BB27" s="627"/>
    </row>
    <row r="28" spans="1:54" x14ac:dyDescent="0.15">
      <c r="E28" s="639"/>
      <c r="F28" s="639"/>
      <c r="G28" s="545"/>
      <c r="H28" s="307"/>
      <c r="M28" s="538"/>
      <c r="N28" s="538"/>
      <c r="O28" s="538"/>
      <c r="P28" s="485" t="str">
        <f>IF(OR(SUM(M26:M27)&lt;&gt;SUM(R26:R27),M27=""),"","－")</f>
        <v/>
      </c>
      <c r="Q28" s="485"/>
      <c r="R28" s="537"/>
      <c r="S28" s="537"/>
      <c r="T28" s="72"/>
      <c r="X28" s="146"/>
      <c r="Y28" s="553"/>
      <c r="Z28" s="627"/>
      <c r="AA28" s="627"/>
      <c r="AJ28" s="639"/>
      <c r="AK28" s="639"/>
      <c r="AL28" s="639"/>
      <c r="AM28" s="610"/>
      <c r="AN28" s="368"/>
      <c r="AQ28" s="538"/>
      <c r="AR28" s="538"/>
      <c r="AS28" s="485" t="str">
        <f>IF(OR(SUM(AQ26:AQ27)&lt;&gt;SUM(AU26:AU27),AQ27=""),"","－")</f>
        <v/>
      </c>
      <c r="AT28" s="485"/>
      <c r="AU28" s="537"/>
      <c r="AV28" s="537"/>
      <c r="AW28" s="76"/>
      <c r="AY28" s="366"/>
      <c r="AZ28" s="629"/>
      <c r="BA28" s="627"/>
      <c r="BB28" s="627"/>
    </row>
    <row r="29" spans="1:54" x14ac:dyDescent="0.15">
      <c r="E29" s="639"/>
      <c r="F29" s="639"/>
      <c r="G29" s="545"/>
      <c r="H29" s="307"/>
      <c r="M29" s="538"/>
      <c r="N29" s="538"/>
      <c r="O29" s="538"/>
      <c r="P29" s="485" t="str">
        <f>IF(OR(SUM(M26:M27)&lt;&gt;SUM(R26:R27),M27=""),"","－")</f>
        <v/>
      </c>
      <c r="Q29" s="485"/>
      <c r="R29" s="537"/>
      <c r="S29" s="537"/>
      <c r="T29" s="72"/>
      <c r="X29" s="146"/>
      <c r="Y29" s="553"/>
      <c r="Z29" s="627"/>
      <c r="AA29" s="627"/>
      <c r="AJ29" s="639"/>
      <c r="AK29" s="639"/>
      <c r="AL29" s="639"/>
      <c r="AM29" s="610"/>
      <c r="AN29" s="368"/>
      <c r="AQ29" s="538"/>
      <c r="AR29" s="538"/>
      <c r="AS29" s="485" t="str">
        <f>IF(OR(SUM(AQ26:AQ27)&lt;&gt;SUM(AU26:AU27),AQ27=""),"","－")</f>
        <v/>
      </c>
      <c r="AT29" s="485"/>
      <c r="AU29" s="537"/>
      <c r="AV29" s="537"/>
      <c r="AW29" s="76"/>
      <c r="AY29" s="366"/>
      <c r="AZ29" s="629"/>
      <c r="BA29" s="627"/>
      <c r="BB29" s="627"/>
    </row>
    <row r="30" spans="1:54" x14ac:dyDescent="0.15">
      <c r="E30" s="639"/>
      <c r="F30" s="639"/>
      <c r="G30" s="545"/>
      <c r="H30" s="307"/>
      <c r="M30" s="538"/>
      <c r="N30" s="538"/>
      <c r="O30" s="538"/>
      <c r="P30" s="485" t="str">
        <f>IF(OR(SUM(M26:M29)&lt;&gt;SUM(R26:R29),M29=""),"","PK")</f>
        <v/>
      </c>
      <c r="Q30" s="485"/>
      <c r="R30" s="537"/>
      <c r="S30" s="537"/>
      <c r="T30" s="77"/>
      <c r="X30" s="146"/>
      <c r="Y30" s="553"/>
      <c r="Z30" s="627"/>
      <c r="AA30" s="627"/>
      <c r="AJ30" s="639"/>
      <c r="AK30" s="639"/>
      <c r="AL30" s="639"/>
      <c r="AM30" s="610"/>
      <c r="AN30" s="368"/>
      <c r="AQ30" s="75"/>
      <c r="AR30" s="75"/>
      <c r="AS30" s="485" t="str">
        <f>IF(OR(SUM(AQ26:AQ29)&lt;&gt;SUM(AU26:AU29),AQ29=""),"","PK")</f>
        <v/>
      </c>
      <c r="AT30" s="485"/>
      <c r="AU30" s="537"/>
      <c r="AV30" s="537"/>
      <c r="AW30" s="77"/>
      <c r="AY30" s="366"/>
      <c r="AZ30" s="629"/>
      <c r="BA30" s="627"/>
      <c r="BB30" s="627"/>
    </row>
    <row r="31" spans="1:54" x14ac:dyDescent="0.15">
      <c r="E31" s="639"/>
      <c r="F31" s="639"/>
      <c r="G31" s="545"/>
      <c r="H31" s="307"/>
      <c r="M31" s="538"/>
      <c r="N31" s="538"/>
      <c r="O31" s="538"/>
      <c r="P31" s="485" t="str">
        <f>IF(OR(SUM(M26:M29)&lt;&gt;SUM(R26:R29),M29=""),"","－")</f>
        <v/>
      </c>
      <c r="Q31" s="485"/>
      <c r="R31" s="537"/>
      <c r="S31" s="537"/>
      <c r="T31" s="72"/>
      <c r="X31" s="146"/>
      <c r="Y31" s="553"/>
      <c r="Z31" s="627"/>
      <c r="AA31" s="627"/>
      <c r="AJ31" s="639"/>
      <c r="AK31" s="639"/>
      <c r="AL31" s="639"/>
      <c r="AM31" s="610"/>
      <c r="AN31" s="368"/>
      <c r="AQ31" s="538"/>
      <c r="AR31" s="538"/>
      <c r="AS31" s="485" t="str">
        <f>IF(OR(SUM(AQ26:AQ29)&lt;&gt;SUM(AU26:AU29),AQ29=""),"","－")</f>
        <v/>
      </c>
      <c r="AT31" s="485"/>
      <c r="AU31" s="537"/>
      <c r="AV31" s="537"/>
      <c r="AW31" s="76"/>
      <c r="AY31" s="366"/>
      <c r="AZ31" s="629"/>
      <c r="BA31" s="627"/>
      <c r="BB31" s="627"/>
    </row>
    <row r="32" spans="1:54" x14ac:dyDescent="0.15">
      <c r="G32" s="545"/>
      <c r="H32" s="307"/>
      <c r="X32" s="146"/>
      <c r="Y32" s="553"/>
      <c r="AM32" s="610"/>
      <c r="AN32" s="368"/>
      <c r="AQ32" s="62"/>
      <c r="AR32" s="62"/>
      <c r="AU32" s="72"/>
      <c r="AV32" s="75"/>
      <c r="AY32" s="366"/>
      <c r="AZ32" s="629"/>
    </row>
    <row r="33" spans="1:55" x14ac:dyDescent="0.15">
      <c r="G33" s="545"/>
      <c r="H33" s="307"/>
      <c r="X33" s="146"/>
      <c r="Y33" s="553"/>
      <c r="AM33" s="610"/>
      <c r="AN33" s="368"/>
      <c r="AU33" s="72"/>
      <c r="AV33" s="75"/>
      <c r="AY33" s="366"/>
      <c r="AZ33" s="629"/>
    </row>
    <row r="34" spans="1:55" x14ac:dyDescent="0.15">
      <c r="E34" s="538" t="str">
        <f>IF(E38="","",SUM(E38:E41))</f>
        <v/>
      </c>
      <c r="F34" s="538"/>
      <c r="G34" s="545"/>
      <c r="H34" s="307"/>
      <c r="I34" s="537" t="str">
        <f>IF(I38="","",SUM(I38:I41))</f>
        <v/>
      </c>
      <c r="J34" s="537"/>
      <c r="K34" s="537"/>
      <c r="V34" s="538" t="str">
        <f>IF(V38="","",SUM(V38:V41))</f>
        <v/>
      </c>
      <c r="W34" s="538"/>
      <c r="X34" s="146"/>
      <c r="Y34" s="553"/>
      <c r="Z34" s="537" t="str">
        <f>IF(Z38="","",SUM(Z38:Z41))</f>
        <v/>
      </c>
      <c r="AA34" s="537"/>
      <c r="AB34" s="537"/>
      <c r="AK34" s="538" t="str">
        <f>IF(AK38="","",SUM(AK38:AK41))</f>
        <v/>
      </c>
      <c r="AL34" s="538"/>
      <c r="AM34" s="610"/>
      <c r="AN34" s="368"/>
      <c r="AO34" s="537" t="str">
        <f>IF(AO38="","",SUM(AO38:AO41))</f>
        <v/>
      </c>
      <c r="AP34" s="537"/>
      <c r="AQ34" s="537"/>
      <c r="AW34" s="538" t="str">
        <f>IF(AW38="","",SUM(AW38:AW41))</f>
        <v/>
      </c>
      <c r="AX34" s="538"/>
      <c r="AY34" s="366"/>
      <c r="AZ34" s="629"/>
      <c r="BA34" s="537" t="str">
        <f>IF(BA38="","",SUM(BA38:BA41))</f>
        <v/>
      </c>
      <c r="BB34" s="537"/>
      <c r="BC34" s="537"/>
    </row>
    <row r="35" spans="1:55" s="376" customFormat="1" hidden="1" x14ac:dyDescent="0.15">
      <c r="A35" s="375"/>
      <c r="D35" s="375"/>
      <c r="E35" s="614">
        <f>SUM(E38:E43)</f>
        <v>0</v>
      </c>
      <c r="F35" s="614"/>
      <c r="G35" s="545"/>
      <c r="H35" s="385"/>
      <c r="I35" s="615">
        <f>SUM(I38:I43)</f>
        <v>0</v>
      </c>
      <c r="J35" s="615"/>
      <c r="K35" s="615"/>
      <c r="L35" s="375"/>
      <c r="M35" s="375"/>
      <c r="N35" s="375"/>
      <c r="O35" s="375"/>
      <c r="P35" s="375"/>
      <c r="Q35" s="375"/>
      <c r="R35" s="375"/>
      <c r="S35" s="378"/>
      <c r="T35" s="379"/>
      <c r="U35" s="381"/>
      <c r="V35" s="614">
        <f>SUM(V38:V43)</f>
        <v>0</v>
      </c>
      <c r="W35" s="614"/>
      <c r="X35" s="380"/>
      <c r="Y35" s="553"/>
      <c r="Z35" s="615">
        <f>SUM(Z38:Z43)</f>
        <v>0</v>
      </c>
      <c r="AA35" s="615"/>
      <c r="AB35" s="615"/>
      <c r="AC35" s="378"/>
      <c r="AD35" s="379"/>
      <c r="AE35" s="379"/>
      <c r="AF35" s="379"/>
      <c r="AG35" s="381"/>
      <c r="AH35" s="375"/>
      <c r="AI35" s="375"/>
      <c r="AJ35" s="375"/>
      <c r="AK35" s="614">
        <f>SUM(AK38:AK43)</f>
        <v>0</v>
      </c>
      <c r="AL35" s="614"/>
      <c r="AM35" s="610"/>
      <c r="AN35" s="384"/>
      <c r="AO35" s="615">
        <f>SUM(AO38:AO43)</f>
        <v>0</v>
      </c>
      <c r="AP35" s="615"/>
      <c r="AQ35" s="615"/>
      <c r="AR35" s="383"/>
      <c r="AW35" s="614">
        <f>SUM(AW38:AW43)</f>
        <v>0</v>
      </c>
      <c r="AX35" s="614"/>
      <c r="AY35" s="382"/>
      <c r="AZ35" s="629"/>
      <c r="BA35" s="615">
        <f>SUM(BA38:BA43)</f>
        <v>0</v>
      </c>
      <c r="BB35" s="615"/>
      <c r="BC35" s="615"/>
    </row>
    <row r="36" spans="1:55" ht="6" customHeight="1" thickBot="1" x14ac:dyDescent="0.2">
      <c r="D36" s="556"/>
      <c r="E36" s="556"/>
      <c r="F36" s="556"/>
      <c r="G36" s="557"/>
      <c r="H36" s="560"/>
      <c r="I36" s="556"/>
      <c r="J36" s="556"/>
      <c r="K36" s="556"/>
      <c r="L36" s="556"/>
      <c r="V36" s="556"/>
      <c r="W36" s="556"/>
      <c r="X36" s="557"/>
      <c r="Y36" s="560"/>
      <c r="Z36" s="556"/>
      <c r="AA36" s="556"/>
      <c r="AJ36" s="556"/>
      <c r="AK36" s="556"/>
      <c r="AL36" s="556"/>
      <c r="AM36" s="612"/>
      <c r="AN36" s="630"/>
      <c r="AO36" s="611"/>
      <c r="AP36" s="611"/>
      <c r="AW36" s="611"/>
      <c r="AX36" s="611"/>
      <c r="AY36" s="612"/>
      <c r="AZ36" s="630"/>
      <c r="BA36" s="611"/>
      <c r="BB36" s="611"/>
    </row>
    <row r="37" spans="1:55" ht="6" customHeight="1" thickTop="1" x14ac:dyDescent="0.15">
      <c r="C37" s="625">
        <f>1</f>
        <v>1</v>
      </c>
      <c r="D37" s="362"/>
      <c r="E37" s="359"/>
      <c r="F37" s="359"/>
      <c r="G37" s="369"/>
      <c r="H37" s="308"/>
      <c r="I37" s="308"/>
      <c r="J37" s="370"/>
      <c r="K37" s="370"/>
      <c r="L37" s="360"/>
      <c r="M37" s="553"/>
      <c r="N37" s="627" t="str">
        <f>IF(J47=N47,"",IF(J47&gt;N47,H60,O60))</f>
        <v/>
      </c>
      <c r="O37" s="627"/>
      <c r="P37" s="627"/>
      <c r="U37" s="640">
        <f>4</f>
        <v>4</v>
      </c>
      <c r="V37" s="362"/>
      <c r="W37" s="359"/>
      <c r="X37" s="359"/>
      <c r="Y37" s="359"/>
      <c r="Z37" s="359"/>
      <c r="AA37" s="360"/>
      <c r="AB37" s="553"/>
      <c r="AH37" s="499">
        <f>6</f>
        <v>6</v>
      </c>
      <c r="AI37" s="640"/>
      <c r="AJ37" s="362"/>
      <c r="AK37" s="359"/>
      <c r="AL37" s="359"/>
      <c r="AM37" s="364"/>
      <c r="AN37" s="364"/>
      <c r="AO37" s="364"/>
      <c r="AP37" s="365"/>
      <c r="AQ37" s="629"/>
      <c r="AV37" s="625">
        <f>8</f>
        <v>8</v>
      </c>
      <c r="AW37" s="367"/>
      <c r="AX37" s="364"/>
      <c r="AY37" s="364"/>
      <c r="AZ37" s="364"/>
      <c r="BA37" s="364"/>
      <c r="BB37" s="365"/>
      <c r="BC37" s="629"/>
    </row>
    <row r="38" spans="1:55" x14ac:dyDescent="0.15">
      <c r="C38" s="625"/>
      <c r="D38" s="363"/>
      <c r="E38" s="538"/>
      <c r="F38" s="538"/>
      <c r="G38" s="485" t="s">
        <v>72</v>
      </c>
      <c r="H38" s="485"/>
      <c r="I38" s="537"/>
      <c r="J38" s="537"/>
      <c r="K38" s="537"/>
      <c r="L38" s="146"/>
      <c r="M38" s="553"/>
      <c r="N38" s="627"/>
      <c r="O38" s="627"/>
      <c r="P38" s="627"/>
      <c r="U38" s="640"/>
      <c r="V38" s="608"/>
      <c r="W38" s="538"/>
      <c r="X38" s="485" t="s">
        <v>72</v>
      </c>
      <c r="Y38" s="485"/>
      <c r="Z38" s="537"/>
      <c r="AA38" s="609"/>
      <c r="AB38" s="553"/>
      <c r="AH38" s="499"/>
      <c r="AI38" s="640"/>
      <c r="AJ38" s="363"/>
      <c r="AK38" s="538"/>
      <c r="AL38" s="538"/>
      <c r="AM38" s="485" t="s">
        <v>72</v>
      </c>
      <c r="AN38" s="485"/>
      <c r="AO38" s="537"/>
      <c r="AP38" s="609"/>
      <c r="AQ38" s="629"/>
      <c r="AV38" s="625"/>
      <c r="AW38" s="608"/>
      <c r="AX38" s="538"/>
      <c r="AY38" s="485" t="s">
        <v>72</v>
      </c>
      <c r="AZ38" s="485"/>
      <c r="BA38" s="537"/>
      <c r="BB38" s="609"/>
      <c r="BC38" s="629"/>
    </row>
    <row r="39" spans="1:55" x14ac:dyDescent="0.15">
      <c r="C39" s="625"/>
      <c r="D39" s="363"/>
      <c r="E39" s="538"/>
      <c r="F39" s="538"/>
      <c r="G39" s="485" t="s">
        <v>72</v>
      </c>
      <c r="H39" s="485"/>
      <c r="I39" s="537"/>
      <c r="J39" s="537"/>
      <c r="K39" s="537"/>
      <c r="L39" s="146"/>
      <c r="M39" s="553"/>
      <c r="N39" s="627"/>
      <c r="O39" s="627"/>
      <c r="P39" s="627"/>
      <c r="U39" s="640"/>
      <c r="V39" s="608"/>
      <c r="W39" s="538"/>
      <c r="X39" s="485" t="s">
        <v>72</v>
      </c>
      <c r="Y39" s="485"/>
      <c r="Z39" s="537"/>
      <c r="AA39" s="609"/>
      <c r="AB39" s="553"/>
      <c r="AH39" s="499"/>
      <c r="AI39" s="640"/>
      <c r="AJ39" s="363"/>
      <c r="AK39" s="538"/>
      <c r="AL39" s="538"/>
      <c r="AM39" s="485" t="s">
        <v>72</v>
      </c>
      <c r="AN39" s="485"/>
      <c r="AO39" s="537"/>
      <c r="AP39" s="609"/>
      <c r="AQ39" s="629"/>
      <c r="AV39" s="625"/>
      <c r="AW39" s="608"/>
      <c r="AX39" s="538"/>
      <c r="AY39" s="485" t="s">
        <v>72</v>
      </c>
      <c r="AZ39" s="485"/>
      <c r="BA39" s="537"/>
      <c r="BB39" s="609"/>
      <c r="BC39" s="629"/>
    </row>
    <row r="40" spans="1:55" x14ac:dyDescent="0.15">
      <c r="C40" s="625"/>
      <c r="D40" s="363"/>
      <c r="E40" s="538"/>
      <c r="F40" s="538"/>
      <c r="G40" s="485" t="str">
        <f>IF(OR(SUM(E38:E39)&lt;&gt;SUM(I38:I39),E39=""),"","－")</f>
        <v/>
      </c>
      <c r="H40" s="485"/>
      <c r="I40" s="537"/>
      <c r="J40" s="537"/>
      <c r="K40" s="537"/>
      <c r="L40" s="146"/>
      <c r="M40" s="553"/>
      <c r="N40" s="627"/>
      <c r="O40" s="627"/>
      <c r="P40" s="627"/>
      <c r="U40" s="640"/>
      <c r="V40" s="608"/>
      <c r="W40" s="538"/>
      <c r="X40" s="485" t="str">
        <f>IF(OR(SUM(V38:V39)&lt;&gt;SUM(Z38:Z39),V39=""),"","－")</f>
        <v/>
      </c>
      <c r="Y40" s="485"/>
      <c r="Z40" s="537"/>
      <c r="AA40" s="609"/>
      <c r="AB40" s="553"/>
      <c r="AH40" s="499"/>
      <c r="AI40" s="640"/>
      <c r="AJ40" s="363"/>
      <c r="AK40" s="538"/>
      <c r="AL40" s="538"/>
      <c r="AM40" s="485" t="str">
        <f>IF(OR(SUM(AK38:AK39)&lt;&gt;SUM(AO38:AO39),AK39=""),"","－")</f>
        <v/>
      </c>
      <c r="AN40" s="485"/>
      <c r="AO40" s="537"/>
      <c r="AP40" s="609"/>
      <c r="AQ40" s="629"/>
      <c r="AV40" s="625"/>
      <c r="AW40" s="608"/>
      <c r="AX40" s="538"/>
      <c r="AY40" s="485" t="str">
        <f>IF(OR(SUM(AW38:AW39)&lt;&gt;SUM(BA38:BA39),AW39=""),"","－")</f>
        <v/>
      </c>
      <c r="AZ40" s="485"/>
      <c r="BA40" s="537"/>
      <c r="BB40" s="609"/>
      <c r="BC40" s="629"/>
    </row>
    <row r="41" spans="1:55" x14ac:dyDescent="0.15">
      <c r="C41" s="625"/>
      <c r="D41" s="363"/>
      <c r="E41" s="538"/>
      <c r="F41" s="538"/>
      <c r="G41" s="485" t="str">
        <f>IF(OR(SUM(E38:E39)&lt;&gt;SUM(I38:I39),E39=""),"","－")</f>
        <v/>
      </c>
      <c r="H41" s="485"/>
      <c r="I41" s="537"/>
      <c r="J41" s="537"/>
      <c r="K41" s="537"/>
      <c r="L41" s="146"/>
      <c r="M41" s="553"/>
      <c r="N41" s="627"/>
      <c r="O41" s="627"/>
      <c r="P41" s="627"/>
      <c r="U41" s="640"/>
      <c r="V41" s="608"/>
      <c r="W41" s="538"/>
      <c r="X41" s="485" t="str">
        <f>IF(OR(SUM(V38:V39)&lt;&gt;SUM(Z38:Z39),V39=""),"","－")</f>
        <v/>
      </c>
      <c r="Y41" s="485"/>
      <c r="Z41" s="537"/>
      <c r="AA41" s="609"/>
      <c r="AB41" s="553"/>
      <c r="AH41" s="499"/>
      <c r="AI41" s="640"/>
      <c r="AJ41" s="363"/>
      <c r="AK41" s="538"/>
      <c r="AL41" s="538"/>
      <c r="AM41" s="485" t="str">
        <f>IF(OR(SUM(AK38:AK39)&lt;&gt;SUM(AO38:AO39),AK39=""),"","－")</f>
        <v/>
      </c>
      <c r="AN41" s="485"/>
      <c r="AO41" s="537"/>
      <c r="AP41" s="609"/>
      <c r="AQ41" s="629"/>
      <c r="AV41" s="625"/>
      <c r="AW41" s="608"/>
      <c r="AX41" s="538"/>
      <c r="AY41" s="485" t="str">
        <f>IF(OR(SUM(AW38:AW39)&lt;&gt;SUM(BA38:BA39),AW39=""),"","－")</f>
        <v/>
      </c>
      <c r="AZ41" s="485"/>
      <c r="BA41" s="537"/>
      <c r="BB41" s="609"/>
      <c r="BC41" s="629"/>
    </row>
    <row r="42" spans="1:55" x14ac:dyDescent="0.15">
      <c r="C42" s="625"/>
      <c r="D42" s="363"/>
      <c r="E42" s="75"/>
      <c r="F42" s="75"/>
      <c r="G42" s="485" t="str">
        <f>IF(OR(SUM(E38:E41)&lt;&gt;SUM(I38:I41),E41=""),"","PK")</f>
        <v/>
      </c>
      <c r="H42" s="485"/>
      <c r="I42" s="77"/>
      <c r="L42" s="146"/>
      <c r="M42" s="553"/>
      <c r="N42" s="627"/>
      <c r="O42" s="627"/>
      <c r="P42" s="627"/>
      <c r="U42" s="640"/>
      <c r="V42" s="374"/>
      <c r="W42" s="75"/>
      <c r="X42" s="485" t="str">
        <f>IF(OR(SUM(V38:V41)&lt;&gt;SUM(Z38:Z41),V41=""),"","PK")</f>
        <v/>
      </c>
      <c r="Y42" s="485"/>
      <c r="Z42" s="537"/>
      <c r="AA42" s="609"/>
      <c r="AB42" s="553"/>
      <c r="AH42" s="499"/>
      <c r="AI42" s="640"/>
      <c r="AJ42" s="363"/>
      <c r="AK42" s="75"/>
      <c r="AL42" s="75"/>
      <c r="AM42" s="485" t="str">
        <f>IF(OR(SUM(AK38:AK41)&lt;&gt;SUM(AO38:AO41),AK41=""),"","PK")</f>
        <v/>
      </c>
      <c r="AN42" s="485"/>
      <c r="AO42" s="537"/>
      <c r="AP42" s="609"/>
      <c r="AQ42" s="629"/>
      <c r="AV42" s="625"/>
      <c r="AW42" s="374"/>
      <c r="AX42" s="75"/>
      <c r="AY42" s="485" t="str">
        <f>IF(OR(SUM(AW38:AW41)&lt;&gt;SUM(BA38:BA41),AW41=""),"","PK")</f>
        <v/>
      </c>
      <c r="AZ42" s="485"/>
      <c r="BA42" s="537"/>
      <c r="BB42" s="609"/>
      <c r="BC42" s="629"/>
    </row>
    <row r="43" spans="1:55" x14ac:dyDescent="0.15">
      <c r="C43" s="625"/>
      <c r="D43" s="363"/>
      <c r="E43" s="538"/>
      <c r="F43" s="538"/>
      <c r="G43" s="485" t="str">
        <f>IF(OR(SUM(E38:E41)&lt;&gt;SUM(I38:I41),E41=""),"","－")</f>
        <v/>
      </c>
      <c r="H43" s="485"/>
      <c r="I43" s="537"/>
      <c r="J43" s="537"/>
      <c r="K43" s="537"/>
      <c r="L43" s="146"/>
      <c r="M43" s="553"/>
      <c r="N43" s="627"/>
      <c r="O43" s="627"/>
      <c r="P43" s="627"/>
      <c r="U43" s="640"/>
      <c r="V43" s="608"/>
      <c r="W43" s="538"/>
      <c r="X43" s="485" t="str">
        <f>IF(OR(SUM(V38:V41)&lt;&gt;SUM(Z38:Z41),V41=""),"","－")</f>
        <v/>
      </c>
      <c r="Y43" s="485"/>
      <c r="Z43" s="537"/>
      <c r="AA43" s="609"/>
      <c r="AB43" s="553"/>
      <c r="AH43" s="499"/>
      <c r="AI43" s="640"/>
      <c r="AJ43" s="363"/>
      <c r="AK43" s="538"/>
      <c r="AL43" s="538"/>
      <c r="AM43" s="485" t="str">
        <f>IF(OR(SUM(AK38:AK41)&lt;&gt;SUM(AO38:AO41),AK41=""),"","－")</f>
        <v/>
      </c>
      <c r="AN43" s="485"/>
      <c r="AO43" s="537"/>
      <c r="AP43" s="609"/>
      <c r="AQ43" s="629"/>
      <c r="AV43" s="625"/>
      <c r="AW43" s="608"/>
      <c r="AX43" s="538"/>
      <c r="AY43" s="485" t="str">
        <f>IF(OR(SUM(AW38:AW41)&lt;&gt;SUM(BA38:BA41),AW41=""),"","－")</f>
        <v/>
      </c>
      <c r="AZ43" s="485"/>
      <c r="BA43" s="537"/>
      <c r="BB43" s="609"/>
      <c r="BC43" s="629"/>
    </row>
    <row r="44" spans="1:55" x14ac:dyDescent="0.15">
      <c r="C44" s="625"/>
      <c r="D44" s="363"/>
      <c r="L44" s="146"/>
      <c r="M44" s="553"/>
      <c r="U44" s="640"/>
      <c r="V44" s="363"/>
      <c r="AA44" s="146"/>
      <c r="AB44" s="553"/>
      <c r="AH44" s="499"/>
      <c r="AI44" s="640"/>
      <c r="AJ44" s="363"/>
      <c r="AP44" s="366"/>
      <c r="AQ44" s="629"/>
      <c r="AV44" s="625"/>
      <c r="AW44" s="368"/>
      <c r="BB44" s="366"/>
      <c r="BC44" s="629"/>
    </row>
    <row r="45" spans="1:55" x14ac:dyDescent="0.15">
      <c r="C45" s="625"/>
      <c r="D45" s="363"/>
      <c r="L45" s="146"/>
      <c r="M45" s="553"/>
      <c r="U45" s="640"/>
      <c r="V45" s="363"/>
      <c r="AA45" s="146"/>
      <c r="AB45" s="553"/>
      <c r="AH45" s="499"/>
      <c r="AI45" s="640"/>
      <c r="AJ45" s="363"/>
      <c r="AP45" s="366"/>
      <c r="AQ45" s="629"/>
      <c r="AV45" s="625"/>
      <c r="AW45" s="368"/>
      <c r="BB45" s="366"/>
      <c r="BC45" s="629"/>
    </row>
    <row r="46" spans="1:55" x14ac:dyDescent="0.15">
      <c r="C46" s="625"/>
      <c r="D46" s="363"/>
      <c r="J46" s="538" t="str">
        <f>IF(J50="","",SUM(J50:J53))</f>
        <v/>
      </c>
      <c r="K46" s="538"/>
      <c r="L46" s="146"/>
      <c r="M46" s="553"/>
      <c r="N46" s="537" t="str">
        <f>IF(N50="","",SUM(N50:N53))</f>
        <v/>
      </c>
      <c r="O46" s="537"/>
      <c r="P46" s="537"/>
      <c r="U46" s="640"/>
      <c r="V46" s="363"/>
      <c r="AA46" s="146"/>
      <c r="AB46" s="553"/>
      <c r="AH46" s="499"/>
      <c r="AI46" s="640"/>
      <c r="AJ46" s="363"/>
      <c r="AP46" s="366"/>
      <c r="AQ46" s="629"/>
      <c r="AV46" s="625"/>
      <c r="AW46" s="368"/>
      <c r="BB46" s="366"/>
      <c r="BC46" s="629"/>
    </row>
    <row r="47" spans="1:55" s="376" customFormat="1" hidden="1" x14ac:dyDescent="0.15">
      <c r="A47" s="375"/>
      <c r="C47" s="625"/>
      <c r="D47" s="377"/>
      <c r="E47" s="375"/>
      <c r="F47" s="375"/>
      <c r="G47" s="378"/>
      <c r="H47" s="379"/>
      <c r="I47" s="379"/>
      <c r="J47" s="614">
        <f>SUM(J50:J55)</f>
        <v>0</v>
      </c>
      <c r="K47" s="614"/>
      <c r="L47" s="380"/>
      <c r="M47" s="553"/>
      <c r="N47" s="615">
        <f>SUM(N50:N55)</f>
        <v>0</v>
      </c>
      <c r="O47" s="615"/>
      <c r="P47" s="615"/>
      <c r="Q47" s="375"/>
      <c r="R47" s="375"/>
      <c r="S47" s="378"/>
      <c r="T47" s="379"/>
      <c r="U47" s="640"/>
      <c r="V47" s="377"/>
      <c r="W47" s="375"/>
      <c r="X47" s="375"/>
      <c r="Y47" s="375"/>
      <c r="Z47" s="375"/>
      <c r="AA47" s="380"/>
      <c r="AB47" s="553"/>
      <c r="AC47" s="378"/>
      <c r="AD47" s="379"/>
      <c r="AE47" s="379"/>
      <c r="AF47" s="379"/>
      <c r="AG47" s="381"/>
      <c r="AH47" s="499"/>
      <c r="AI47" s="640"/>
      <c r="AJ47" s="377"/>
      <c r="AK47" s="375"/>
      <c r="AL47" s="375"/>
      <c r="AP47" s="382"/>
      <c r="AQ47" s="629"/>
      <c r="AR47" s="383"/>
      <c r="AV47" s="625"/>
      <c r="AW47" s="384"/>
      <c r="BB47" s="382"/>
      <c r="BC47" s="629"/>
    </row>
    <row r="48" spans="1:55" ht="6" customHeight="1" thickBot="1" x14ac:dyDescent="0.2">
      <c r="C48" s="625"/>
      <c r="D48" s="363"/>
      <c r="J48" s="556"/>
      <c r="K48" s="556"/>
      <c r="L48" s="557"/>
      <c r="M48" s="560"/>
      <c r="N48" s="556"/>
      <c r="O48" s="556"/>
      <c r="P48" s="556"/>
      <c r="U48" s="640"/>
      <c r="V48" s="363"/>
      <c r="AA48" s="146"/>
      <c r="AB48" s="553"/>
      <c r="AH48" s="499"/>
      <c r="AI48" s="640"/>
      <c r="AJ48" s="363"/>
      <c r="AP48" s="366"/>
      <c r="AQ48" s="629"/>
      <c r="AV48" s="625"/>
      <c r="AW48" s="368"/>
      <c r="BB48" s="366"/>
      <c r="BC48" s="629"/>
    </row>
    <row r="49" spans="1:148" ht="6" customHeight="1" thickTop="1" x14ac:dyDescent="0.15">
      <c r="C49" s="625"/>
      <c r="D49" s="363"/>
      <c r="H49" s="499">
        <f>2</f>
        <v>2</v>
      </c>
      <c r="I49" s="640"/>
      <c r="J49" s="358"/>
      <c r="K49" s="370"/>
      <c r="L49" s="359"/>
      <c r="M49" s="359"/>
      <c r="N49" s="359"/>
      <c r="O49" s="359"/>
      <c r="P49" s="360"/>
      <c r="Q49" s="553"/>
      <c r="R49" s="485"/>
      <c r="U49" s="640"/>
      <c r="V49" s="363"/>
      <c r="AA49" s="146"/>
      <c r="AB49" s="553"/>
      <c r="AH49" s="499"/>
      <c r="AI49" s="640"/>
      <c r="AJ49" s="363"/>
      <c r="AP49" s="366"/>
      <c r="AQ49" s="629"/>
      <c r="AV49" s="625"/>
      <c r="AW49" s="368"/>
      <c r="BB49" s="366"/>
      <c r="BC49" s="629"/>
    </row>
    <row r="50" spans="1:148" x14ac:dyDescent="0.15">
      <c r="C50" s="625"/>
      <c r="D50" s="363"/>
      <c r="H50" s="499"/>
      <c r="I50" s="640"/>
      <c r="J50" s="608"/>
      <c r="K50" s="538"/>
      <c r="L50" s="485" t="s">
        <v>72</v>
      </c>
      <c r="M50" s="485"/>
      <c r="N50" s="537"/>
      <c r="O50" s="537"/>
      <c r="P50" s="609"/>
      <c r="Q50" s="553"/>
      <c r="R50" s="485"/>
      <c r="U50" s="640"/>
      <c r="V50" s="363"/>
      <c r="AA50" s="146"/>
      <c r="AB50" s="553"/>
      <c r="AH50" s="499"/>
      <c r="AI50" s="640"/>
      <c r="AJ50" s="363"/>
      <c r="AP50" s="366"/>
      <c r="AQ50" s="629"/>
      <c r="AV50" s="625"/>
      <c r="AW50" s="368"/>
      <c r="BB50" s="366"/>
      <c r="BC50" s="629"/>
    </row>
    <row r="51" spans="1:148" x14ac:dyDescent="0.15">
      <c r="C51" s="625"/>
      <c r="D51" s="363"/>
      <c r="H51" s="499"/>
      <c r="I51" s="640"/>
      <c r="J51" s="608"/>
      <c r="K51" s="538"/>
      <c r="L51" s="485" t="s">
        <v>72</v>
      </c>
      <c r="M51" s="485"/>
      <c r="N51" s="537"/>
      <c r="O51" s="537"/>
      <c r="P51" s="609"/>
      <c r="Q51" s="553"/>
      <c r="R51" s="485"/>
      <c r="U51" s="640"/>
      <c r="V51" s="363"/>
      <c r="AA51" s="146"/>
      <c r="AB51" s="553"/>
      <c r="AH51" s="499"/>
      <c r="AI51" s="640"/>
      <c r="AJ51" s="363"/>
      <c r="AP51" s="366"/>
      <c r="AQ51" s="629"/>
      <c r="AV51" s="625"/>
      <c r="AW51" s="368"/>
      <c r="BB51" s="366"/>
      <c r="BC51" s="629"/>
    </row>
    <row r="52" spans="1:148" x14ac:dyDescent="0.15">
      <c r="C52" s="625"/>
      <c r="D52" s="363"/>
      <c r="H52" s="499"/>
      <c r="I52" s="640"/>
      <c r="J52" s="608"/>
      <c r="K52" s="538"/>
      <c r="L52" s="485" t="str">
        <f>IF(OR(SUM(J50:J51)&lt;&gt;SUM(N50:N51),J51=""),"","－")</f>
        <v/>
      </c>
      <c r="M52" s="485"/>
      <c r="N52" s="537"/>
      <c r="O52" s="537"/>
      <c r="P52" s="609"/>
      <c r="Q52" s="553"/>
      <c r="R52" s="485"/>
      <c r="U52" s="640"/>
      <c r="V52" s="363"/>
      <c r="AA52" s="146"/>
      <c r="AB52" s="553"/>
      <c r="AH52" s="499"/>
      <c r="AI52" s="640"/>
      <c r="AJ52" s="363"/>
      <c r="AP52" s="366"/>
      <c r="AQ52" s="629"/>
      <c r="AV52" s="625"/>
      <c r="AW52" s="368"/>
      <c r="BB52" s="366"/>
      <c r="BC52" s="629"/>
    </row>
    <row r="53" spans="1:148" x14ac:dyDescent="0.15">
      <c r="C53" s="625"/>
      <c r="D53" s="363"/>
      <c r="H53" s="499"/>
      <c r="I53" s="640"/>
      <c r="J53" s="608"/>
      <c r="K53" s="538"/>
      <c r="L53" s="485" t="str">
        <f>IF(OR(SUM(J50:J51)&lt;&gt;SUM(N50:N51),J51=""),"","－")</f>
        <v/>
      </c>
      <c r="M53" s="485"/>
      <c r="N53" s="537"/>
      <c r="O53" s="537"/>
      <c r="P53" s="609"/>
      <c r="Q53" s="553"/>
      <c r="R53" s="485"/>
      <c r="U53" s="640"/>
      <c r="V53" s="363"/>
      <c r="AA53" s="146"/>
      <c r="AB53" s="553"/>
      <c r="AH53" s="499"/>
      <c r="AI53" s="640"/>
      <c r="AJ53" s="363"/>
      <c r="AP53" s="366"/>
      <c r="AQ53" s="629"/>
      <c r="AV53" s="625"/>
      <c r="AW53" s="368"/>
      <c r="BB53" s="366"/>
      <c r="BC53" s="629"/>
    </row>
    <row r="54" spans="1:148" x14ac:dyDescent="0.15">
      <c r="C54" s="625"/>
      <c r="D54" s="363"/>
      <c r="H54" s="499"/>
      <c r="I54" s="640"/>
      <c r="J54" s="374"/>
      <c r="K54" s="75"/>
      <c r="L54" s="485" t="str">
        <f>IF(OR(SUM(J50:J53)&lt;&gt;SUM(N50:N53),J53=""),"","PK")</f>
        <v/>
      </c>
      <c r="M54" s="485"/>
      <c r="N54" s="77"/>
      <c r="O54" s="77"/>
      <c r="P54" s="372"/>
      <c r="Q54" s="553"/>
      <c r="R54" s="485"/>
      <c r="U54" s="640"/>
      <c r="V54" s="363"/>
      <c r="AA54" s="146"/>
      <c r="AB54" s="553"/>
      <c r="AH54" s="499"/>
      <c r="AI54" s="640"/>
      <c r="AJ54" s="363"/>
      <c r="AP54" s="366"/>
      <c r="AQ54" s="629"/>
      <c r="AV54" s="625"/>
      <c r="AW54" s="368"/>
      <c r="BB54" s="366"/>
      <c r="BC54" s="629"/>
    </row>
    <row r="55" spans="1:148" x14ac:dyDescent="0.15">
      <c r="C55" s="625"/>
      <c r="D55" s="363"/>
      <c r="H55" s="499"/>
      <c r="I55" s="640"/>
      <c r="J55" s="608"/>
      <c r="K55" s="538"/>
      <c r="L55" s="485" t="str">
        <f>IF(OR(SUM(J50:J53)&lt;&gt;SUM(N50:N53),J53=""),"","－")</f>
        <v/>
      </c>
      <c r="M55" s="485"/>
      <c r="N55" s="537"/>
      <c r="O55" s="537"/>
      <c r="P55" s="609"/>
      <c r="Q55" s="553"/>
      <c r="R55" s="485"/>
      <c r="U55" s="640"/>
      <c r="V55" s="363"/>
      <c r="AA55" s="146"/>
      <c r="AB55" s="553"/>
      <c r="AH55" s="499"/>
      <c r="AI55" s="640"/>
      <c r="AJ55" s="363"/>
      <c r="AP55" s="366"/>
      <c r="AQ55" s="629"/>
      <c r="AV55" s="625"/>
      <c r="AW55" s="368"/>
      <c r="BB55" s="366"/>
      <c r="BC55" s="629"/>
    </row>
    <row r="56" spans="1:148" x14ac:dyDescent="0.15">
      <c r="C56" s="625"/>
      <c r="D56" s="363"/>
      <c r="H56" s="499"/>
      <c r="I56" s="640"/>
      <c r="J56" s="361"/>
      <c r="P56" s="146"/>
      <c r="Q56" s="553"/>
      <c r="R56" s="485"/>
      <c r="U56" s="640"/>
      <c r="V56" s="363"/>
      <c r="AA56" s="146"/>
      <c r="AB56" s="553"/>
      <c r="AH56" s="499"/>
      <c r="AI56" s="640"/>
      <c r="AJ56" s="363"/>
      <c r="AP56" s="366"/>
      <c r="AQ56" s="629"/>
      <c r="AV56" s="625"/>
      <c r="AW56" s="368"/>
      <c r="BB56" s="366"/>
      <c r="BC56" s="629"/>
    </row>
    <row r="57" spans="1:148" x14ac:dyDescent="0.15">
      <c r="C57" s="625"/>
      <c r="D57" s="363"/>
      <c r="H57" s="499"/>
      <c r="I57" s="640"/>
      <c r="J57" s="361"/>
      <c r="P57" s="146"/>
      <c r="Q57" s="553"/>
      <c r="R57" s="485"/>
      <c r="U57" s="640"/>
      <c r="V57" s="363"/>
      <c r="AA57" s="146"/>
      <c r="AB57" s="553"/>
      <c r="AH57" s="499"/>
      <c r="AI57" s="640"/>
      <c r="AJ57" s="363"/>
      <c r="AP57" s="366"/>
      <c r="AQ57" s="629"/>
      <c r="AV57" s="625"/>
      <c r="AW57" s="368"/>
      <c r="BB57" s="366"/>
      <c r="BC57" s="629"/>
    </row>
    <row r="58" spans="1:148" x14ac:dyDescent="0.15">
      <c r="C58" s="625"/>
      <c r="D58" s="363"/>
      <c r="H58" s="499"/>
      <c r="I58" s="640"/>
      <c r="J58" s="361"/>
      <c r="P58" s="146"/>
      <c r="Q58" s="553"/>
      <c r="R58" s="485"/>
      <c r="U58" s="640"/>
      <c r="V58" s="363"/>
      <c r="AA58" s="146"/>
      <c r="AB58" s="553"/>
      <c r="AH58" s="499"/>
      <c r="AI58" s="640"/>
      <c r="AJ58" s="363"/>
      <c r="AP58" s="366"/>
      <c r="AQ58" s="629"/>
      <c r="AV58" s="625"/>
      <c r="AW58" s="368"/>
      <c r="BB58" s="366"/>
      <c r="BC58" s="629"/>
    </row>
    <row r="59" spans="1:148" s="105" customFormat="1" x14ac:dyDescent="0.15">
      <c r="A59" s="76"/>
      <c r="C59" s="626"/>
      <c r="D59" s="373"/>
      <c r="E59" s="76"/>
      <c r="F59" s="76"/>
      <c r="G59" s="76"/>
      <c r="H59" s="641"/>
      <c r="I59" s="642"/>
      <c r="J59" s="307"/>
      <c r="K59" s="76"/>
      <c r="L59" s="76"/>
      <c r="M59" s="76"/>
      <c r="N59" s="76"/>
      <c r="O59" s="637">
        <f>3</f>
        <v>3</v>
      </c>
      <c r="P59" s="638"/>
      <c r="Q59" s="643"/>
      <c r="R59" s="637"/>
      <c r="S59" s="76"/>
      <c r="T59" s="76"/>
      <c r="U59" s="642"/>
      <c r="V59" s="307"/>
      <c r="W59" s="76"/>
      <c r="X59" s="76"/>
      <c r="Y59" s="76"/>
      <c r="Z59" s="76"/>
      <c r="AA59" s="145">
        <f>5</f>
        <v>5</v>
      </c>
      <c r="AB59" s="643"/>
      <c r="AC59" s="76"/>
      <c r="AD59" s="76"/>
      <c r="AE59" s="76"/>
      <c r="AF59" s="76"/>
      <c r="AG59" s="76"/>
      <c r="AH59" s="641"/>
      <c r="AI59" s="642"/>
      <c r="AJ59" s="307"/>
      <c r="AK59" s="76"/>
      <c r="AL59" s="76"/>
      <c r="AP59" s="356">
        <f>7</f>
        <v>7</v>
      </c>
      <c r="AQ59" s="636"/>
      <c r="AV59" s="626"/>
      <c r="AW59" s="357"/>
      <c r="BB59" s="356">
        <f>9</f>
        <v>9</v>
      </c>
      <c r="BC59" s="636"/>
    </row>
    <row r="60" spans="1:148" s="407" customFormat="1" ht="113.25" customHeight="1" x14ac:dyDescent="0.15">
      <c r="C60" s="631" t="str">
        <f>IF(ISERROR(MATCH(C37,予選学校名!$H$3:$H$16,0)),"",INDEX(予選学校名!$H$3:$K$16,MATCH(C37,予選学校名!$H$3:$H$16,0),2))</f>
        <v>松任</v>
      </c>
      <c r="D60" s="632"/>
      <c r="H60" s="631" t="str">
        <f>IF(ISERROR(MATCH(H49,予選学校名!$H$3:$H$16,0)),"",INDEX(予選学校名!$H$3:$K$16,MATCH(H49,予選学校名!$H$3:$H$16,0),2))</f>
        <v>美川</v>
      </c>
      <c r="I60" s="633"/>
      <c r="J60" s="632"/>
      <c r="O60" s="631" t="str">
        <f>IF(ISERROR(MATCH(O59,予選学校名!$H$3:$H$16,0)),"",INDEX(予選学校名!$H$3:$K$16,MATCH(O59,予選学校名!$H$3:$H$16,0),2))</f>
        <v>光野･笠間</v>
      </c>
      <c r="P60" s="633"/>
      <c r="Q60" s="633"/>
      <c r="R60" s="632"/>
      <c r="U60" s="631" t="str">
        <f>IF(ISERROR(MATCH(U37,予選学校名!$H$3:$H$16,0)),"",INDEX(予選学校名!$H$3:$K$16,MATCH(U37,予選学校名!$H$3:$H$16,0),2))</f>
        <v>松陽･丸内</v>
      </c>
      <c r="V60" s="632"/>
      <c r="AA60" s="631" t="str">
        <f>IF(ISERROR(MATCH(AA59,予選学校名!$H$3:$H$16,0)),"",INDEX(予選学校名!$H$3:$K$16,MATCH(AA59,予選学校名!$H$3:$H$16,0),2))</f>
        <v>能美ＳＣ</v>
      </c>
      <c r="AB60" s="633"/>
      <c r="AC60" s="632"/>
      <c r="AH60" s="631" t="str">
        <f>IF(ISERROR(MATCH(AH37,予選学校名!$H$3:$H$16,0)),"",INDEX(予選学校名!$H$3:$K$16,MATCH(AH37,予選学校名!$H$3:$H$16,0),2))</f>
        <v>野々市</v>
      </c>
      <c r="AI60" s="633"/>
      <c r="AJ60" s="633"/>
      <c r="AK60" s="632"/>
      <c r="AP60" s="631" t="str">
        <f>IF(ISERROR(MATCH(AP59,予選学校名!$H$3:$H$16,0)),"",INDEX(予選学校名!$H$3:$K$16,MATCH(AP59,予選学校名!$H$3:$H$16,0),2))</f>
        <v>北辰</v>
      </c>
      <c r="AQ60" s="632"/>
      <c r="AV60" s="631" t="str">
        <f>IF(ISERROR(MATCH(AV37,予選学校名!$H$3:$H$16,0)),"",INDEX(予選学校名!$H$3:$K$16,MATCH(AV37,予選学校名!$H$3:$H$16,0),2))</f>
        <v>北星</v>
      </c>
      <c r="AW60" s="632"/>
      <c r="BB60" s="631" t="str">
        <f>IF(ISERROR(MATCH(BB59,予選学校名!$H$3:$H$16,0)),"",INDEX(予選学校名!$H$3:$K$16,MATCH(BB59,予選学校名!$H$3:$H$16,0),2))</f>
        <v>布水</v>
      </c>
      <c r="BC60" s="632"/>
    </row>
    <row r="62" spans="1:148" s="76" customFormat="1" ht="30.75" customHeight="1" x14ac:dyDescent="0.15">
      <c r="N62" s="105"/>
      <c r="AZ62" s="521"/>
      <c r="BA62" s="521"/>
      <c r="BB62" s="521"/>
      <c r="BC62" s="521"/>
      <c r="BD62" s="144"/>
      <c r="BE62" s="144"/>
      <c r="BF62" s="144"/>
      <c r="BG62" s="144"/>
      <c r="BH62" s="144"/>
      <c r="BI62" s="144"/>
      <c r="BJ62" s="144"/>
      <c r="BK62" s="144"/>
      <c r="BL62" s="144"/>
      <c r="BM62" s="144"/>
      <c r="BN62" s="522"/>
      <c r="BO62" s="522"/>
      <c r="BP62" s="522"/>
      <c r="BQ62" s="522"/>
      <c r="BR62" s="522"/>
      <c r="BS62" s="522"/>
      <c r="BT62" s="522"/>
      <c r="BU62" s="522"/>
      <c r="BV62" s="522"/>
      <c r="BW62" s="522"/>
      <c r="BX62" s="522"/>
      <c r="BY62" s="522"/>
      <c r="BZ62" s="522"/>
      <c r="CA62" s="522"/>
      <c r="CB62" s="144"/>
      <c r="CC62" s="144"/>
      <c r="CD62" s="144"/>
      <c r="CE62" s="144"/>
      <c r="CF62" s="144"/>
      <c r="CG62" s="144"/>
      <c r="CH62" s="144"/>
      <c r="CI62" s="144"/>
      <c r="CJ62" s="144"/>
      <c r="CK62" s="144"/>
      <c r="DW62" s="105"/>
      <c r="ER62" s="75"/>
    </row>
    <row r="63" spans="1:148" s="105" customFormat="1" ht="15.75" customHeight="1" thickBot="1" x14ac:dyDescent="0.2">
      <c r="K63" s="617" t="s">
        <v>615</v>
      </c>
      <c r="L63" s="618"/>
      <c r="M63" s="618"/>
      <c r="N63" s="618"/>
      <c r="O63" s="618"/>
      <c r="P63" s="618"/>
      <c r="Q63" s="618"/>
      <c r="R63" s="618"/>
      <c r="S63" s="618"/>
      <c r="T63" s="618"/>
      <c r="U63" s="619"/>
      <c r="AE63" s="628" t="str">
        <f>IF(AF65="","",SUM(AF65:AI70))</f>
        <v/>
      </c>
      <c r="AF63" s="628"/>
      <c r="AG63" s="628"/>
      <c r="AH63" s="628"/>
      <c r="AI63" s="628"/>
      <c r="AJ63" s="628"/>
      <c r="AK63" s="628"/>
      <c r="AL63" s="628"/>
      <c r="AM63" s="628"/>
      <c r="AN63" s="628"/>
      <c r="AO63" s="628"/>
      <c r="AP63" s="628"/>
      <c r="AQ63" s="623" t="str">
        <f>IF(M13="","",IF(M13=E25,Z25,E25))</f>
        <v/>
      </c>
      <c r="AR63" s="623"/>
      <c r="AS63" s="623"/>
      <c r="AT63" s="623"/>
      <c r="AU63" s="623"/>
      <c r="AV63" s="623"/>
      <c r="AW63" s="623"/>
      <c r="AX63" s="623"/>
      <c r="AY63" s="623"/>
      <c r="AZ63" s="150"/>
      <c r="BA63" s="150"/>
      <c r="BB63" s="150"/>
      <c r="BC63" s="150"/>
      <c r="BD63" s="150"/>
      <c r="BE63" s="150"/>
      <c r="BF63" s="150"/>
      <c r="BG63" s="150"/>
      <c r="BH63" s="150"/>
      <c r="BO63" s="62"/>
    </row>
    <row r="64" spans="1:148" s="105" customFormat="1" ht="15" customHeight="1" thickTop="1" x14ac:dyDescent="0.15">
      <c r="K64" s="620"/>
      <c r="L64" s="621"/>
      <c r="M64" s="621"/>
      <c r="N64" s="621"/>
      <c r="O64" s="621"/>
      <c r="P64" s="621"/>
      <c r="Q64" s="621"/>
      <c r="R64" s="621"/>
      <c r="S64" s="621"/>
      <c r="T64" s="621"/>
      <c r="U64" s="622"/>
      <c r="AD64" s="610"/>
      <c r="AE64" s="393"/>
      <c r="AF64" s="355"/>
      <c r="AG64" s="355"/>
      <c r="AH64" s="355"/>
      <c r="AI64" s="355"/>
      <c r="AJ64" s="355"/>
      <c r="AK64" s="355"/>
      <c r="AL64" s="355"/>
      <c r="AM64" s="355"/>
      <c r="AN64" s="355"/>
      <c r="AO64" s="355"/>
      <c r="AP64" s="355"/>
      <c r="AQ64" s="623"/>
      <c r="AR64" s="623"/>
      <c r="AS64" s="623"/>
      <c r="AT64" s="623"/>
      <c r="AU64" s="623"/>
      <c r="AV64" s="623"/>
      <c r="AW64" s="623"/>
      <c r="AX64" s="623"/>
      <c r="AY64" s="623"/>
      <c r="AZ64" s="150"/>
      <c r="BA64" s="150"/>
      <c r="BB64" s="150"/>
      <c r="BC64" s="150"/>
      <c r="BD64" s="150"/>
      <c r="BE64" s="150"/>
      <c r="BF64" s="150"/>
      <c r="BG64" s="150"/>
      <c r="BH64" s="150"/>
      <c r="BO64" s="62"/>
    </row>
    <row r="65" spans="20:67" s="105" customFormat="1" x14ac:dyDescent="0.15">
      <c r="AD65" s="610"/>
      <c r="AE65" s="357"/>
      <c r="AF65" s="500"/>
      <c r="AG65" s="500"/>
      <c r="AH65" s="500"/>
      <c r="AI65" s="500"/>
      <c r="AJ65" s="485" t="s">
        <v>72</v>
      </c>
      <c r="AK65" s="485"/>
      <c r="AL65" s="498"/>
      <c r="AM65" s="498"/>
      <c r="AN65" s="498"/>
      <c r="AO65" s="498"/>
      <c r="BO65" s="62"/>
    </row>
    <row r="66" spans="20:67" s="105" customFormat="1" x14ac:dyDescent="0.15">
      <c r="AA66" s="504" t="str">
        <f>IF(AF65="","",SUM(AF65:AI68))</f>
        <v/>
      </c>
      <c r="AB66" s="504"/>
      <c r="AC66" s="504"/>
      <c r="AD66" s="610"/>
      <c r="AE66" s="357"/>
      <c r="AF66" s="500"/>
      <c r="AG66" s="500"/>
      <c r="AH66" s="500"/>
      <c r="AI66" s="500"/>
      <c r="AJ66" s="485" t="s">
        <v>72</v>
      </c>
      <c r="AK66" s="485"/>
      <c r="AL66" s="498"/>
      <c r="AM66" s="498"/>
      <c r="AN66" s="498"/>
      <c r="AO66" s="498"/>
      <c r="BO66" s="62"/>
    </row>
    <row r="67" spans="20:67" s="105" customFormat="1" ht="15" thickBot="1" x14ac:dyDescent="0.2">
      <c r="T67" s="616" t="str">
        <f>IF(AE63=AE72,"",IF(AE63&gt;AE72,AQ63,AQ71))</f>
        <v/>
      </c>
      <c r="U67" s="616"/>
      <c r="V67" s="616"/>
      <c r="W67" s="616"/>
      <c r="X67" s="616"/>
      <c r="Y67" s="616"/>
      <c r="Z67" s="616"/>
      <c r="AA67" s="611"/>
      <c r="AB67" s="611"/>
      <c r="AC67" s="611"/>
      <c r="AD67" s="612"/>
      <c r="AE67" s="357"/>
      <c r="AF67" s="500"/>
      <c r="AG67" s="500"/>
      <c r="AH67" s="500"/>
      <c r="AI67" s="500"/>
      <c r="AJ67" s="485" t="str">
        <f>IF(OR(SUM(AF65:AF66)&lt;&gt;SUM(AL65:AL66),AF66=""),"","－")</f>
        <v/>
      </c>
      <c r="AK67" s="485"/>
      <c r="AL67" s="498"/>
      <c r="AM67" s="498"/>
      <c r="AN67" s="498"/>
      <c r="AO67" s="498"/>
      <c r="BO67" s="62"/>
    </row>
    <row r="68" spans="20:67" s="105" customFormat="1" ht="15" thickTop="1" x14ac:dyDescent="0.15">
      <c r="T68" s="616"/>
      <c r="U68" s="616"/>
      <c r="V68" s="616"/>
      <c r="W68" s="616"/>
      <c r="X68" s="616"/>
      <c r="Y68" s="616"/>
      <c r="Z68" s="616"/>
      <c r="AD68" s="610"/>
      <c r="AE68" s="357"/>
      <c r="AF68" s="500"/>
      <c r="AG68" s="500"/>
      <c r="AH68" s="500"/>
      <c r="AI68" s="500"/>
      <c r="AJ68" s="485" t="str">
        <f>IF(OR(SUM(AF65:AF66)&lt;&gt;SUM(AL65:AL66),AF66=""),"","－")</f>
        <v/>
      </c>
      <c r="AK68" s="485"/>
      <c r="AL68" s="498"/>
      <c r="AM68" s="498"/>
      <c r="AN68" s="498"/>
      <c r="AO68" s="498"/>
      <c r="BO68" s="62"/>
    </row>
    <row r="69" spans="20:67" s="105" customFormat="1" x14ac:dyDescent="0.2">
      <c r="AA69" s="504" t="str">
        <f>IF(AL65="","",SUM(AL65:AO68))</f>
        <v/>
      </c>
      <c r="AB69" s="504"/>
      <c r="AC69" s="504"/>
      <c r="AD69" s="610"/>
      <c r="AE69" s="357"/>
      <c r="AF69" s="72"/>
      <c r="AG69" s="72"/>
      <c r="AH69" s="72"/>
      <c r="AJ69" s="499" t="str">
        <f>IF(OR(SUM(AF65:AF68)&lt;&gt;SUM(AL65:AL68),AF68=""),"","PK")</f>
        <v/>
      </c>
      <c r="AK69" s="499"/>
      <c r="AL69" s="133"/>
      <c r="AM69" s="72"/>
      <c r="AN69" s="72"/>
      <c r="AO69" s="72"/>
      <c r="BO69" s="62"/>
    </row>
    <row r="70" spans="20:67" s="105" customFormat="1" x14ac:dyDescent="0.15">
      <c r="AD70" s="610"/>
      <c r="AE70" s="357"/>
      <c r="AF70" s="500"/>
      <c r="AG70" s="500"/>
      <c r="AH70" s="500"/>
      <c r="AI70" s="500"/>
      <c r="AJ70" s="485" t="str">
        <f>IF(OR(SUM(AF65:AF68)&lt;&gt;SUM(AL65:AL68),AF68=""),"","－")</f>
        <v/>
      </c>
      <c r="AK70" s="485"/>
      <c r="AL70" s="498"/>
      <c r="AM70" s="498"/>
      <c r="AN70" s="498"/>
      <c r="AO70" s="498"/>
      <c r="BO70" s="62"/>
    </row>
    <row r="71" spans="20:67" s="105" customFormat="1" ht="15" customHeight="1" thickBot="1" x14ac:dyDescent="0.2">
      <c r="AD71" s="610"/>
      <c r="AE71" s="387"/>
      <c r="AF71" s="388"/>
      <c r="AG71" s="388"/>
      <c r="AH71" s="388"/>
      <c r="AI71" s="388"/>
      <c r="AJ71" s="388"/>
      <c r="AK71" s="388"/>
      <c r="AL71" s="388"/>
      <c r="AM71" s="388"/>
      <c r="AN71" s="388"/>
      <c r="AO71" s="388"/>
      <c r="AP71" s="388"/>
      <c r="AQ71" s="623" t="str">
        <f>IF(AU13="","",IF(AU13=AJ25,BA25,AJ25))</f>
        <v/>
      </c>
      <c r="AR71" s="623"/>
      <c r="AS71" s="623"/>
      <c r="AT71" s="623"/>
      <c r="AU71" s="623"/>
      <c r="AV71" s="623"/>
      <c r="AW71" s="623"/>
      <c r="AX71" s="623"/>
      <c r="AY71" s="623"/>
      <c r="AZ71" s="150"/>
      <c r="BA71" s="150"/>
      <c r="BB71" s="150"/>
      <c r="BC71" s="150"/>
      <c r="BD71" s="150"/>
      <c r="BE71" s="150"/>
      <c r="BF71" s="150"/>
      <c r="BG71" s="150"/>
      <c r="BH71" s="150"/>
      <c r="BO71" s="62"/>
    </row>
    <row r="72" spans="20:67" s="105" customFormat="1" ht="15.75" customHeight="1" thickTop="1" x14ac:dyDescent="0.15">
      <c r="AE72" s="624" t="str">
        <f>IF(AL65="","",SUM(AL65:AO70))</f>
        <v/>
      </c>
      <c r="AF72" s="624"/>
      <c r="AG72" s="624"/>
      <c r="AH72" s="624"/>
      <c r="AI72" s="624"/>
      <c r="AJ72" s="624"/>
      <c r="AK72" s="624"/>
      <c r="AL72" s="624"/>
      <c r="AM72" s="624"/>
      <c r="AN72" s="624"/>
      <c r="AO72" s="624"/>
      <c r="AP72" s="624"/>
      <c r="AQ72" s="623"/>
      <c r="AR72" s="623"/>
      <c r="AS72" s="623"/>
      <c r="AT72" s="623"/>
      <c r="AU72" s="623"/>
      <c r="AV72" s="623"/>
      <c r="AW72" s="623"/>
      <c r="AX72" s="623"/>
      <c r="AY72" s="623"/>
      <c r="AZ72" s="150"/>
      <c r="BA72" s="150"/>
      <c r="BB72" s="150"/>
      <c r="BC72" s="150"/>
      <c r="BD72" s="150"/>
      <c r="BE72" s="150"/>
      <c r="BF72" s="150"/>
      <c r="BG72" s="150"/>
      <c r="BH72" s="150"/>
      <c r="BO72" s="62"/>
    </row>
    <row r="73" spans="20:67" s="105" customFormat="1" x14ac:dyDescent="0.15">
      <c r="BD73" s="62"/>
    </row>
  </sheetData>
  <mergeCells count="259">
    <mergeCell ref="L50:M50"/>
    <mergeCell ref="N50:P50"/>
    <mergeCell ref="L4:AG4"/>
    <mergeCell ref="L3:AG3"/>
    <mergeCell ref="Q8:T8"/>
    <mergeCell ref="U8:AO8"/>
    <mergeCell ref="D36:F36"/>
    <mergeCell ref="M37:M48"/>
    <mergeCell ref="N37:P43"/>
    <mergeCell ref="E25:F31"/>
    <mergeCell ref="Z25:AA31"/>
    <mergeCell ref="AJ25:AL31"/>
    <mergeCell ref="G3:J3"/>
    <mergeCell ref="G4:J4"/>
    <mergeCell ref="G5:J5"/>
    <mergeCell ref="AA15:AB15"/>
    <mergeCell ref="AE15:AG15"/>
    <mergeCell ref="AA14:AB14"/>
    <mergeCell ref="AE14:AG14"/>
    <mergeCell ref="P26:Q26"/>
    <mergeCell ref="AY38:AZ38"/>
    <mergeCell ref="AW43:AX43"/>
    <mergeCell ref="G25:G36"/>
    <mergeCell ref="AU24:AY24"/>
    <mergeCell ref="AN24:AS24"/>
    <mergeCell ref="Q24:X24"/>
    <mergeCell ref="M26:O26"/>
    <mergeCell ref="E35:F35"/>
    <mergeCell ref="I34:K34"/>
    <mergeCell ref="I35:K35"/>
    <mergeCell ref="BA36:BB36"/>
    <mergeCell ref="AW36:AY36"/>
    <mergeCell ref="AN36:AP36"/>
    <mergeCell ref="AJ36:AL36"/>
    <mergeCell ref="Z36:AA36"/>
    <mergeCell ref="V36:X36"/>
    <mergeCell ref="H36:L36"/>
    <mergeCell ref="AZ25:AZ36"/>
    <mergeCell ref="AS31:AT31"/>
    <mergeCell ref="AS30:AT30"/>
    <mergeCell ref="P27:Q27"/>
    <mergeCell ref="AQ26:AR26"/>
    <mergeCell ref="AA10:AB10"/>
    <mergeCell ref="AA11:AB11"/>
    <mergeCell ref="AE10:AG10"/>
    <mergeCell ref="AE11:AG11"/>
    <mergeCell ref="AD12:AS12"/>
    <mergeCell ref="Q12:AB12"/>
    <mergeCell ref="AQ27:AR27"/>
    <mergeCell ref="AQ31:AR31"/>
    <mergeCell ref="R27:S27"/>
    <mergeCell ref="R29:S29"/>
    <mergeCell ref="P28:Q28"/>
    <mergeCell ref="R30:S30"/>
    <mergeCell ref="R31:S31"/>
    <mergeCell ref="AC15:AD15"/>
    <mergeCell ref="AE19:AG19"/>
    <mergeCell ref="AA19:AB19"/>
    <mergeCell ref="M13:O19"/>
    <mergeCell ref="AU13:AV19"/>
    <mergeCell ref="C37:C59"/>
    <mergeCell ref="H49:I59"/>
    <mergeCell ref="Q49:R59"/>
    <mergeCell ref="U37:U59"/>
    <mergeCell ref="AB37:AB59"/>
    <mergeCell ref="AH37:AI59"/>
    <mergeCell ref="AQ37:AQ59"/>
    <mergeCell ref="N46:P46"/>
    <mergeCell ref="J46:K46"/>
    <mergeCell ref="AM38:AN38"/>
    <mergeCell ref="I43:K43"/>
    <mergeCell ref="X38:Y38"/>
    <mergeCell ref="V43:W43"/>
    <mergeCell ref="E40:F40"/>
    <mergeCell ref="G40:H40"/>
    <mergeCell ref="I40:K40"/>
    <mergeCell ref="E41:F41"/>
    <mergeCell ref="G41:H41"/>
    <mergeCell ref="I41:K41"/>
    <mergeCell ref="E38:F38"/>
    <mergeCell ref="G38:H38"/>
    <mergeCell ref="E34:F34"/>
    <mergeCell ref="E39:F39"/>
    <mergeCell ref="G39:H39"/>
    <mergeCell ref="BA6:BB6"/>
    <mergeCell ref="L5:AG5"/>
    <mergeCell ref="AH60:AK60"/>
    <mergeCell ref="X43:Y43"/>
    <mergeCell ref="R28:S28"/>
    <mergeCell ref="O60:R60"/>
    <mergeCell ref="AP60:AQ60"/>
    <mergeCell ref="AV60:AW60"/>
    <mergeCell ref="BB60:BC60"/>
    <mergeCell ref="AC18:AD18"/>
    <mergeCell ref="AC17:AD17"/>
    <mergeCell ref="AC19:AD19"/>
    <mergeCell ref="BC37:BC59"/>
    <mergeCell ref="H24:O24"/>
    <mergeCell ref="AS26:AT26"/>
    <mergeCell ref="R26:S26"/>
    <mergeCell ref="O59:P59"/>
    <mergeCell ref="Z34:AB34"/>
    <mergeCell ref="Z35:AB35"/>
    <mergeCell ref="V34:W34"/>
    <mergeCell ref="V35:W35"/>
    <mergeCell ref="M27:O27"/>
    <mergeCell ref="C60:D60"/>
    <mergeCell ref="H60:J60"/>
    <mergeCell ref="U60:V60"/>
    <mergeCell ref="AA60:AC60"/>
    <mergeCell ref="X42:Y42"/>
    <mergeCell ref="Z42:AA42"/>
    <mergeCell ref="V41:W41"/>
    <mergeCell ref="X41:Y41"/>
    <mergeCell ref="Z41:AA41"/>
    <mergeCell ref="L54:M54"/>
    <mergeCell ref="J55:K55"/>
    <mergeCell ref="L55:M55"/>
    <mergeCell ref="N55:P55"/>
    <mergeCell ref="J51:K51"/>
    <mergeCell ref="L51:M51"/>
    <mergeCell ref="N51:P51"/>
    <mergeCell ref="J52:K52"/>
    <mergeCell ref="L52:M52"/>
    <mergeCell ref="N52:P52"/>
    <mergeCell ref="N47:P47"/>
    <mergeCell ref="J47:K47"/>
    <mergeCell ref="N48:P48"/>
    <mergeCell ref="J48:L48"/>
    <mergeCell ref="J50:K50"/>
    <mergeCell ref="G42:H42"/>
    <mergeCell ref="E43:F43"/>
    <mergeCell ref="G43:H43"/>
    <mergeCell ref="AQ22:AR22"/>
    <mergeCell ref="AQ23:AR23"/>
    <mergeCell ref="AU22:AW22"/>
    <mergeCell ref="AU23:AW23"/>
    <mergeCell ref="AK34:AL34"/>
    <mergeCell ref="AK35:AL35"/>
    <mergeCell ref="AO34:AQ34"/>
    <mergeCell ref="AO35:AQ35"/>
    <mergeCell ref="AW34:AX34"/>
    <mergeCell ref="AW35:AX35"/>
    <mergeCell ref="AS27:AT27"/>
    <mergeCell ref="AQ28:AR28"/>
    <mergeCell ref="AS28:AT28"/>
    <mergeCell ref="AQ29:AR29"/>
    <mergeCell ref="AS29:AT29"/>
    <mergeCell ref="AU26:AV26"/>
    <mergeCell ref="AT13:AT24"/>
    <mergeCell ref="AM25:AM36"/>
    <mergeCell ref="AA16:AB16"/>
    <mergeCell ref="AE16:AG16"/>
    <mergeCell ref="AC16:AD16"/>
    <mergeCell ref="BN62:CA62"/>
    <mergeCell ref="AF65:AI65"/>
    <mergeCell ref="AJ65:AK65"/>
    <mergeCell ref="AL65:AO65"/>
    <mergeCell ref="AQ63:AY64"/>
    <mergeCell ref="AE63:AP63"/>
    <mergeCell ref="BA34:BC34"/>
    <mergeCell ref="BA35:BC35"/>
    <mergeCell ref="BA38:BB38"/>
    <mergeCell ref="BA39:BB39"/>
    <mergeCell ref="BA40:BB40"/>
    <mergeCell ref="BA41:BB41"/>
    <mergeCell ref="BA42:BB42"/>
    <mergeCell ref="BA43:BB43"/>
    <mergeCell ref="AM40:AN40"/>
    <mergeCell ref="AK41:AL41"/>
    <mergeCell ref="AM41:AN41"/>
    <mergeCell ref="AO40:AP40"/>
    <mergeCell ref="AW38:AX38"/>
    <mergeCell ref="AW40:AX40"/>
    <mergeCell ref="AY40:AZ40"/>
    <mergeCell ref="AW41:AX41"/>
    <mergeCell ref="AY41:AZ41"/>
    <mergeCell ref="AM42:AN42"/>
    <mergeCell ref="AF67:AI67"/>
    <mergeCell ref="AJ67:AK67"/>
    <mergeCell ref="AL67:AO67"/>
    <mergeCell ref="AU27:AV27"/>
    <mergeCell ref="AU28:AV28"/>
    <mergeCell ref="AU29:AV29"/>
    <mergeCell ref="AU30:AV30"/>
    <mergeCell ref="AU31:AV31"/>
    <mergeCell ref="AZ62:BC62"/>
    <mergeCell ref="AK43:AL43"/>
    <mergeCell ref="AM43:AN43"/>
    <mergeCell ref="AW39:AX39"/>
    <mergeCell ref="AY39:AZ39"/>
    <mergeCell ref="AY42:AZ42"/>
    <mergeCell ref="AY43:AZ43"/>
    <mergeCell ref="AO39:AP39"/>
    <mergeCell ref="AK40:AL40"/>
    <mergeCell ref="AV37:AV59"/>
    <mergeCell ref="AO41:AP41"/>
    <mergeCell ref="AO42:AP42"/>
    <mergeCell ref="AO43:AP43"/>
    <mergeCell ref="AK39:AL39"/>
    <mergeCell ref="AM39:AN39"/>
    <mergeCell ref="BA25:BB31"/>
    <mergeCell ref="AQ71:AY72"/>
    <mergeCell ref="AE72:AP72"/>
    <mergeCell ref="AF70:AI70"/>
    <mergeCell ref="AJ70:AK70"/>
    <mergeCell ref="AL70:AO70"/>
    <mergeCell ref="AF68:AI68"/>
    <mergeCell ref="AJ68:AK68"/>
    <mergeCell ref="AL68:AO68"/>
    <mergeCell ref="AJ69:AK69"/>
    <mergeCell ref="AI3:AO3"/>
    <mergeCell ref="AI4:AO4"/>
    <mergeCell ref="AI6:AO6"/>
    <mergeCell ref="AD68:AD71"/>
    <mergeCell ref="AD64:AD66"/>
    <mergeCell ref="AA67:AD67"/>
    <mergeCell ref="AA69:AC69"/>
    <mergeCell ref="AA66:AC66"/>
    <mergeCell ref="L6:AG6"/>
    <mergeCell ref="N22:O22"/>
    <mergeCell ref="N23:O23"/>
    <mergeCell ref="R22:T22"/>
    <mergeCell ref="R23:T23"/>
    <mergeCell ref="P29:Q29"/>
    <mergeCell ref="P30:Q30"/>
    <mergeCell ref="P31:Q31"/>
    <mergeCell ref="AO38:AP38"/>
    <mergeCell ref="AE17:AG17"/>
    <mergeCell ref="AA17:AB17"/>
    <mergeCell ref="T67:Z68"/>
    <mergeCell ref="K63:U64"/>
    <mergeCell ref="AF66:AI66"/>
    <mergeCell ref="AJ66:AK66"/>
    <mergeCell ref="AL66:AO66"/>
    <mergeCell ref="V39:W39"/>
    <mergeCell ref="I39:K39"/>
    <mergeCell ref="V40:W40"/>
    <mergeCell ref="J53:K53"/>
    <mergeCell ref="AI5:AO5"/>
    <mergeCell ref="V38:W38"/>
    <mergeCell ref="X39:Y39"/>
    <mergeCell ref="Z39:AA39"/>
    <mergeCell ref="M28:O28"/>
    <mergeCell ref="M29:O29"/>
    <mergeCell ref="M30:O30"/>
    <mergeCell ref="M31:O31"/>
    <mergeCell ref="Z38:AA38"/>
    <mergeCell ref="Z43:AA43"/>
    <mergeCell ref="Z40:AA40"/>
    <mergeCell ref="AC9:AC12"/>
    <mergeCell ref="P13:P24"/>
    <mergeCell ref="Y25:Y36"/>
    <mergeCell ref="L53:M53"/>
    <mergeCell ref="N53:P53"/>
    <mergeCell ref="X40:Y40"/>
    <mergeCell ref="AC14:AD14"/>
    <mergeCell ref="AK38:AL38"/>
    <mergeCell ref="I38:K38"/>
  </mergeCells>
  <phoneticPr fontId="2"/>
  <conditionalFormatting sqref="C37:C59">
    <cfRule type="expression" dxfId="168" priority="59">
      <formula>$E$35&lt;=$I$35</formula>
    </cfRule>
  </conditionalFormatting>
  <conditionalFormatting sqref="D36:F36">
    <cfRule type="expression" dxfId="167" priority="32">
      <formula>$E$35&lt;=$I$35</formula>
    </cfRule>
  </conditionalFormatting>
  <conditionalFormatting sqref="G25:G36">
    <cfRule type="expression" dxfId="166" priority="48">
      <formula>$E$35=$I$35</formula>
    </cfRule>
    <cfRule type="expression" dxfId="165" priority="47">
      <formula>$E$35&lt;$I$35</formula>
    </cfRule>
  </conditionalFormatting>
  <conditionalFormatting sqref="H49:I59">
    <cfRule type="expression" dxfId="164" priority="58">
      <formula>$J$47&lt;=$N$47</formula>
    </cfRule>
  </conditionalFormatting>
  <conditionalFormatting sqref="H36:L36">
    <cfRule type="expression" dxfId="163" priority="31">
      <formula>$I$35&lt;=$E$35</formula>
    </cfRule>
  </conditionalFormatting>
  <conditionalFormatting sqref="H24:O24">
    <cfRule type="expression" dxfId="162" priority="24">
      <formula>$N$23&lt;=$R$23</formula>
    </cfRule>
  </conditionalFormatting>
  <conditionalFormatting sqref="J48:L48">
    <cfRule type="expression" dxfId="161" priority="34">
      <formula>$J$47&lt;=$N$47</formula>
    </cfRule>
  </conditionalFormatting>
  <conditionalFormatting sqref="M37:M48">
    <cfRule type="expression" dxfId="160" priority="49">
      <formula>$N$47&lt;$J$47</formula>
    </cfRule>
    <cfRule type="expression" dxfId="159" priority="56">
      <formula>$N$47=$J$47</formula>
    </cfRule>
  </conditionalFormatting>
  <conditionalFormatting sqref="N48:P48">
    <cfRule type="expression" dxfId="158" priority="33">
      <formula>$N$47&lt;=$J$47</formula>
    </cfRule>
  </conditionalFormatting>
  <conditionalFormatting sqref="P13:P24">
    <cfRule type="expression" dxfId="157" priority="40">
      <formula>$N$23=$R$23</formula>
    </cfRule>
    <cfRule type="expression" dxfId="156" priority="39">
      <formula>$N$23&lt;$R$23</formula>
    </cfRule>
  </conditionalFormatting>
  <conditionalFormatting sqref="Q49:R59">
    <cfRule type="expression" dxfId="155" priority="55">
      <formula>$N$47&lt;=$J$47</formula>
    </cfRule>
  </conditionalFormatting>
  <conditionalFormatting sqref="Q24:X24">
    <cfRule type="expression" dxfId="154" priority="23">
      <formula>$R$23&lt;=$N$23</formula>
    </cfRule>
  </conditionalFormatting>
  <conditionalFormatting sqref="Q12:AB12">
    <cfRule type="expression" dxfId="153" priority="20">
      <formula>$AA$11&lt;=$AE$11</formula>
    </cfRule>
  </conditionalFormatting>
  <conditionalFormatting sqref="U37:U59">
    <cfRule type="expression" dxfId="152" priority="57">
      <formula>$V$35&lt;=$Z$35</formula>
    </cfRule>
  </conditionalFormatting>
  <conditionalFormatting sqref="V36:X36">
    <cfRule type="expression" dxfId="151" priority="30">
      <formula>$V$35&lt;=$Z$35</formula>
    </cfRule>
  </conditionalFormatting>
  <conditionalFormatting sqref="Y25:Y36">
    <cfRule type="expression" dxfId="150" priority="46">
      <formula>$Z$35=$V$35</formula>
    </cfRule>
    <cfRule type="expression" dxfId="149" priority="45">
      <formula>$Z$35&lt;$V$35</formula>
    </cfRule>
  </conditionalFormatting>
  <conditionalFormatting sqref="Z36:AA36">
    <cfRule type="expression" dxfId="148" priority="29">
      <formula>$Z$35&lt;=$V$35</formula>
    </cfRule>
  </conditionalFormatting>
  <conditionalFormatting sqref="AA67:AD67">
    <cfRule type="expression" dxfId="147" priority="1">
      <formula>$AE$63&lt;$AE$72</formula>
    </cfRule>
    <cfRule type="expression" dxfId="146" priority="2">
      <formula>$AE$63=$AE$72</formula>
    </cfRule>
  </conditionalFormatting>
  <conditionalFormatting sqref="AB37:AB59">
    <cfRule type="expression" dxfId="145" priority="54">
      <formula>$Z$35&lt;=$V$35</formula>
    </cfRule>
  </conditionalFormatting>
  <conditionalFormatting sqref="AC9:AC12">
    <cfRule type="expression" dxfId="144" priority="35">
      <formula>$AA$11&lt;$AE$11</formula>
    </cfRule>
    <cfRule type="expression" dxfId="143" priority="36">
      <formula>$AA$11=$AE$11</formula>
    </cfRule>
  </conditionalFormatting>
  <conditionalFormatting sqref="AD64:AD66">
    <cfRule type="expression" dxfId="142" priority="4">
      <formula>$AE$63&lt;=$AE$72</formula>
    </cfRule>
  </conditionalFormatting>
  <conditionalFormatting sqref="AD68:AD71">
    <cfRule type="expression" dxfId="141" priority="3">
      <formula>$AE$72&lt;=$AE$63</formula>
    </cfRule>
  </conditionalFormatting>
  <conditionalFormatting sqref="AD12:AS12">
    <cfRule type="expression" dxfId="140" priority="19">
      <formula>$AE$11&lt;=$AA$11</formula>
    </cfRule>
  </conditionalFormatting>
  <conditionalFormatting sqref="AE63">
    <cfRule type="expression" dxfId="139" priority="491">
      <formula>#REF!&gt;=$DH$78</formula>
    </cfRule>
  </conditionalFormatting>
  <conditionalFormatting sqref="AE72">
    <cfRule type="expression" dxfId="138" priority="492">
      <formula>$DH$78&gt;=#REF!</formula>
    </cfRule>
  </conditionalFormatting>
  <conditionalFormatting sqref="AE63:AP63">
    <cfRule type="expression" dxfId="137" priority="6">
      <formula>$AE$63&lt;=$AE$72</formula>
    </cfRule>
  </conditionalFormatting>
  <conditionalFormatting sqref="AE72:AP72">
    <cfRule type="expression" dxfId="136" priority="5">
      <formula>$AE$72&lt;=$AE$63</formula>
    </cfRule>
  </conditionalFormatting>
  <conditionalFormatting sqref="AH37:AI59">
    <cfRule type="expression" dxfId="135" priority="53">
      <formula>$AK$35&lt;=$AO$35</formula>
    </cfRule>
  </conditionalFormatting>
  <conditionalFormatting sqref="AJ36:AL36">
    <cfRule type="expression" dxfId="134" priority="28">
      <formula>$AK$35&lt;=$AO$35</formula>
    </cfRule>
  </conditionalFormatting>
  <conditionalFormatting sqref="AM25:AM36">
    <cfRule type="expression" dxfId="133" priority="44">
      <formula>$AK$35=$AO$35</formula>
    </cfRule>
    <cfRule type="expression" dxfId="132" priority="43">
      <formula>$AK$35&lt;$AO$35</formula>
    </cfRule>
  </conditionalFormatting>
  <conditionalFormatting sqref="AN36:AP36">
    <cfRule type="expression" dxfId="131" priority="27">
      <formula>$AO$35&lt;=$AK$35</formula>
    </cfRule>
  </conditionalFormatting>
  <conditionalFormatting sqref="AN24:AS24">
    <cfRule type="expression" dxfId="130" priority="22">
      <formula>$AQ$23&lt;=$AU$23</formula>
    </cfRule>
  </conditionalFormatting>
  <conditionalFormatting sqref="AQ37:AQ59">
    <cfRule type="expression" dxfId="129" priority="52">
      <formula>$AO$35&lt;=$AK$35</formula>
    </cfRule>
  </conditionalFormatting>
  <conditionalFormatting sqref="AT13:AT24">
    <cfRule type="expression" dxfId="128" priority="37">
      <formula>$AU$23&lt;$AQ$23</formula>
    </cfRule>
    <cfRule type="expression" dxfId="127" priority="38">
      <formula>$AU$23=$AQ$23</formula>
    </cfRule>
  </conditionalFormatting>
  <conditionalFormatting sqref="AU24:AY24">
    <cfRule type="expression" dxfId="126" priority="21">
      <formula>$AU$23&lt;=$AQ$23</formula>
    </cfRule>
  </conditionalFormatting>
  <conditionalFormatting sqref="AV37:AV59">
    <cfRule type="expression" dxfId="125" priority="51">
      <formula>$AW$35&lt;=$BA$35</formula>
    </cfRule>
  </conditionalFormatting>
  <conditionalFormatting sqref="AW36:AY36">
    <cfRule type="expression" dxfId="124" priority="26">
      <formula>$AW$35&lt;=$BA$35</formula>
    </cfRule>
  </conditionalFormatting>
  <conditionalFormatting sqref="AZ25:AZ36">
    <cfRule type="expression" dxfId="123" priority="42">
      <formula>$BA$35=$AW$35</formula>
    </cfRule>
    <cfRule type="expression" dxfId="122" priority="41">
      <formula>$BA$35&lt;$AW$35</formula>
    </cfRule>
  </conditionalFormatting>
  <conditionalFormatting sqref="BA36:BB36">
    <cfRule type="expression" dxfId="121" priority="25">
      <formula>$BA$35&lt;=$AW$35</formula>
    </cfRule>
  </conditionalFormatting>
  <conditionalFormatting sqref="BC37:BC59">
    <cfRule type="expression" dxfId="120" priority="50">
      <formula>$BA$35&lt;=$AW$35</formula>
    </cfRule>
  </conditionalFormatting>
  <printOptions horizontalCentered="1"/>
  <pageMargins left="0.39370078740157483" right="0.39370078740157483" top="0.59055118110236227" bottom="0.59055118110236227" header="0.31496062992125984" footer="0.31496062992125984"/>
  <pageSetup paperSize="9" scale="7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7ED94-9AA8-434E-9925-C641F2288797}">
  <sheetPr>
    <tabColor rgb="FF00B0F0"/>
    <pageSetUpPr fitToPage="1"/>
  </sheetPr>
  <dimension ref="A1:ER73"/>
  <sheetViews>
    <sheetView showGridLines="0" topLeftCell="A6" zoomScale="85" zoomScaleNormal="85" workbookViewId="0">
      <selection activeCell="AH60" sqref="AH60:AK60"/>
    </sheetView>
  </sheetViews>
  <sheetFormatPr defaultColWidth="9" defaultRowHeight="14.25" x14ac:dyDescent="0.15"/>
  <cols>
    <col min="1" max="1" width="9.25" style="72" customWidth="1"/>
    <col min="2" max="2" width="3.625" style="58" customWidth="1"/>
    <col min="3" max="3" width="3.5" style="58" customWidth="1"/>
    <col min="4" max="5" width="3.5" style="72" customWidth="1"/>
    <col min="6" max="6" width="1.75" style="72" customWidth="1"/>
    <col min="7" max="7" width="1.75" style="75" customWidth="1"/>
    <col min="8" max="9" width="1.75" style="76" customWidth="1"/>
    <col min="10" max="10" width="3.5" style="77" customWidth="1"/>
    <col min="11" max="11" width="1.75" style="77" customWidth="1"/>
    <col min="12" max="18" width="1.75" style="72" customWidth="1"/>
    <col min="19" max="19" width="3.5" style="75" customWidth="1"/>
    <col min="20" max="20" width="3.5" style="76" customWidth="1"/>
    <col min="21" max="21" width="3.5" style="77" customWidth="1"/>
    <col min="22" max="22" width="3.5" style="72" customWidth="1"/>
    <col min="23" max="26" width="1.75" style="72" customWidth="1"/>
    <col min="27" max="27" width="3.5" style="72" customWidth="1"/>
    <col min="28" max="28" width="1.75" style="72" customWidth="1"/>
    <col min="29" max="29" width="1.75" style="75" customWidth="1"/>
    <col min="30" max="32" width="1.75" style="76" customWidth="1"/>
    <col min="33" max="33" width="1.75" style="77" customWidth="1"/>
    <col min="34" max="38" width="1.75" style="72" customWidth="1"/>
    <col min="39" max="41" width="1.75" style="58" customWidth="1"/>
    <col min="42" max="42" width="3.5" style="58" customWidth="1"/>
    <col min="43" max="43" width="3.5" style="105" customWidth="1"/>
    <col min="44" max="44" width="1.75" style="105" customWidth="1"/>
    <col min="45" max="47" width="1.75" style="58" customWidth="1"/>
    <col min="48" max="49" width="3.5" style="58" customWidth="1"/>
    <col min="50" max="53" width="1.75" style="58" customWidth="1"/>
    <col min="54" max="56" width="3.5" style="58" customWidth="1"/>
    <col min="57" max="57" width="9" style="58"/>
    <col min="58" max="58" width="9" style="105"/>
    <col min="59" max="16384" width="9" style="58"/>
  </cols>
  <sheetData>
    <row r="1" spans="1:58" ht="24.75" x14ac:dyDescent="0.15">
      <c r="C1" s="106" t="str">
        <f ca="1">"令和"&amp;IF(YEAR(NOW())=2019,"元",YEAR(NOW())-2018)&amp;"年度 第"&amp;YEAR(NOW())-1999&amp;"回 加賀地区中学校サッカー大会 《 南加賀ブロック 》"</f>
        <v>令和7年度 第26回 加賀地区中学校サッカー大会 《 南加賀ブロック 》</v>
      </c>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106"/>
      <c r="AZ1" s="106"/>
      <c r="BA1" s="106"/>
      <c r="BB1" s="106"/>
      <c r="BC1" s="106"/>
      <c r="BD1" s="106"/>
    </row>
    <row r="2" spans="1:58" x14ac:dyDescent="0.15">
      <c r="A2" s="72" t="str">
        <f>IF(ISERROR(INDEX(#REF!,MATCH(1,#REF!,0),1)),"",INDEX(#REF!,MATCH(1,#REF!,0),1))</f>
        <v/>
      </c>
    </row>
    <row r="3" spans="1:58" ht="25.5" customHeight="1" x14ac:dyDescent="0.15">
      <c r="A3" s="72" t="str">
        <f>IF(AA11=AE11,"",IF(AA11&gt;AE11,M13,AU13))</f>
        <v/>
      </c>
      <c r="G3" s="485" t="s">
        <v>63</v>
      </c>
      <c r="H3" s="485"/>
      <c r="I3" s="485"/>
      <c r="J3" s="485"/>
      <c r="K3" s="76"/>
      <c r="L3" s="635" t="str">
        <f>IF(A3="","",IF(VLOOKUP(A3,予選学校名!$I$3:$L$32,3,FALSE)="",IF(VLOOKUP(A3,予選学校名!$I$3:$L$32,4,FALSE)="","",VLOOKUP(A3,予選学校名!$I$3:$L$32,4,FALSE)),VLOOKUP(A3,予選学校名!$I$3:$L$32,3,FALSE)&amp;"立")&amp;A3&amp;"中学校")</f>
        <v/>
      </c>
      <c r="M3" s="635"/>
      <c r="N3" s="635"/>
      <c r="O3" s="635"/>
      <c r="P3" s="635"/>
      <c r="Q3" s="635"/>
      <c r="R3" s="635"/>
      <c r="S3" s="635"/>
      <c r="T3" s="635"/>
      <c r="U3" s="635"/>
      <c r="V3" s="635"/>
      <c r="W3" s="635"/>
      <c r="X3" s="635"/>
      <c r="Y3" s="635"/>
      <c r="Z3" s="635"/>
      <c r="AA3" s="635"/>
      <c r="AB3" s="635"/>
      <c r="AC3" s="635"/>
      <c r="AD3" s="635"/>
      <c r="AE3" s="635"/>
      <c r="AF3" s="635"/>
      <c r="AG3" s="635"/>
      <c r="AH3" s="389"/>
      <c r="AI3" s="580" t="str">
        <f>IF(A3="","","("&amp;VLOOKUP(A3,予選学校名!$I$3:$L$32,2,FALSE)&amp;")")</f>
        <v/>
      </c>
      <c r="AJ3" s="580"/>
      <c r="AK3" s="580"/>
      <c r="AL3" s="580"/>
      <c r="AM3" s="580"/>
      <c r="AN3" s="580"/>
      <c r="AO3" s="580"/>
      <c r="AP3" s="150" t="s">
        <v>64</v>
      </c>
      <c r="AQ3" s="85"/>
      <c r="AR3" s="85"/>
      <c r="AS3" s="85"/>
      <c r="AT3" s="85"/>
      <c r="AU3" s="85"/>
      <c r="AV3" s="85"/>
      <c r="AW3" s="85"/>
      <c r="AX3" s="85"/>
      <c r="AY3" s="85"/>
      <c r="AZ3" s="390"/>
    </row>
    <row r="4" spans="1:58" ht="25.5" customHeight="1" x14ac:dyDescent="0.15">
      <c r="A4" s="72" t="str">
        <f>IF(A3=M13,AU13,M13)</f>
        <v/>
      </c>
      <c r="G4" s="485" t="s">
        <v>65</v>
      </c>
      <c r="H4" s="485"/>
      <c r="I4" s="485"/>
      <c r="J4" s="485"/>
      <c r="K4" s="76"/>
      <c r="L4" s="649" t="str">
        <f>IF(A4="","",IF(VLOOKUP(A4,予選学校名!$I$3:$L$32,3,FALSE)="",IF(VLOOKUP(A4,予選学校名!$I$3:$L$32,4,FALSE)="","",VLOOKUP(A4,予選学校名!$I$3:$L$32,4,FALSE)),VLOOKUP(A4,予選学校名!$I$3:$L$32,3,FALSE)&amp;"立")&amp;A4&amp;"中学校")</f>
        <v/>
      </c>
      <c r="M4" s="649"/>
      <c r="N4" s="649"/>
      <c r="O4" s="649"/>
      <c r="P4" s="649"/>
      <c r="Q4" s="649"/>
      <c r="R4" s="649"/>
      <c r="S4" s="649"/>
      <c r="T4" s="649"/>
      <c r="U4" s="649"/>
      <c r="V4" s="649"/>
      <c r="W4" s="649"/>
      <c r="X4" s="649"/>
      <c r="Y4" s="649"/>
      <c r="Z4" s="649"/>
      <c r="AA4" s="649"/>
      <c r="AB4" s="649"/>
      <c r="AC4" s="649"/>
      <c r="AD4" s="649"/>
      <c r="AE4" s="649"/>
      <c r="AF4" s="649"/>
      <c r="AG4" s="649"/>
      <c r="AH4" s="389"/>
      <c r="AI4" s="576" t="str">
        <f>IF(A4="","","("&amp;VLOOKUP(A4,予選学校名!$I$3:$L$32,2,FALSE)&amp;")")</f>
        <v/>
      </c>
      <c r="AJ4" s="576"/>
      <c r="AK4" s="576"/>
      <c r="AL4" s="576"/>
      <c r="AM4" s="576"/>
      <c r="AN4" s="576"/>
      <c r="AO4" s="576"/>
      <c r="AP4" s="150" t="s">
        <v>64</v>
      </c>
      <c r="AQ4" s="85"/>
      <c r="AR4" s="85"/>
      <c r="AS4" s="85"/>
      <c r="AT4" s="85"/>
      <c r="AU4" s="85"/>
      <c r="AV4" s="85"/>
      <c r="AW4" s="85"/>
      <c r="AX4" s="85"/>
      <c r="AY4" s="85"/>
      <c r="AZ4" s="390"/>
    </row>
    <row r="5" spans="1:58" ht="25.5" customHeight="1" x14ac:dyDescent="0.15">
      <c r="A5" s="72" t="str">
        <f>IF(T67="","",T67)</f>
        <v/>
      </c>
      <c r="G5" s="485" t="s">
        <v>66</v>
      </c>
      <c r="H5" s="485"/>
      <c r="I5" s="485"/>
      <c r="J5" s="485"/>
      <c r="K5" s="76"/>
      <c r="L5" s="649" t="str">
        <f>IF(A5="","",IF(VLOOKUP(A5,予選学校名!$I$3:$L$32,3,FALSE)="",IF(VLOOKUP(A5,予選学校名!$I$3:$L$32,4,FALSE)="","",VLOOKUP(A5,予選学校名!$I$3:$L$32,4,FALSE)),VLOOKUP(A5,予選学校名!$I$3:$L$32,3,FALSE)&amp;"立")&amp;A5&amp;"中学校")</f>
        <v/>
      </c>
      <c r="M5" s="649"/>
      <c r="N5" s="649"/>
      <c r="O5" s="649"/>
      <c r="P5" s="649"/>
      <c r="Q5" s="649"/>
      <c r="R5" s="649"/>
      <c r="S5" s="649"/>
      <c r="T5" s="649"/>
      <c r="U5" s="649"/>
      <c r="V5" s="649"/>
      <c r="W5" s="649"/>
      <c r="X5" s="649"/>
      <c r="Y5" s="649"/>
      <c r="Z5" s="649"/>
      <c r="AA5" s="649"/>
      <c r="AB5" s="649"/>
      <c r="AC5" s="649"/>
      <c r="AD5" s="649"/>
      <c r="AE5" s="649"/>
      <c r="AF5" s="649"/>
      <c r="AG5" s="649"/>
      <c r="AH5" s="389"/>
      <c r="AI5" s="576" t="str">
        <f>IF(A5="","","("&amp;VLOOKUP(A5,予選学校名!$I$3:$L$32,2,FALSE)&amp;")")</f>
        <v/>
      </c>
      <c r="AJ5" s="576"/>
      <c r="AK5" s="576"/>
      <c r="AL5" s="576"/>
      <c r="AM5" s="576"/>
      <c r="AN5" s="576"/>
      <c r="AO5" s="576"/>
      <c r="AP5" s="150" t="s">
        <v>64</v>
      </c>
      <c r="AQ5" s="85"/>
      <c r="AR5" s="85"/>
      <c r="AS5" s="85"/>
      <c r="AT5" s="85"/>
      <c r="AU5" s="85"/>
      <c r="AV5" s="85"/>
      <c r="AW5" s="85"/>
      <c r="AX5" s="85"/>
      <c r="AY5" s="85"/>
      <c r="AZ5" s="390"/>
    </row>
    <row r="6" spans="1:58" ht="25.5" customHeight="1" x14ac:dyDescent="0.15">
      <c r="A6" s="72" t="str">
        <f>IF(A5="","",IF(A5=AQ63,AQ71,AQ63))</f>
        <v/>
      </c>
      <c r="L6" s="613" t="str">
        <f>IF(A6="","",IF(VLOOKUP(A6,予選学校名!$I$3:$L$32,3,FALSE)="",IF(VLOOKUP(A6,予選学校名!$I$3:$L$32,4,FALSE)="","",VLOOKUP(A6,予選学校名!$I$3:$L$32,4,FALSE)),VLOOKUP(A6,予選学校名!$I$3:$L$32,3,FALSE)&amp;"立")&amp;A6&amp;"中学校")</f>
        <v/>
      </c>
      <c r="M6" s="613"/>
      <c r="N6" s="613"/>
      <c r="O6" s="613"/>
      <c r="P6" s="613"/>
      <c r="Q6" s="613"/>
      <c r="R6" s="613"/>
      <c r="S6" s="613"/>
      <c r="T6" s="613"/>
      <c r="U6" s="613"/>
      <c r="V6" s="613"/>
      <c r="W6" s="613"/>
      <c r="X6" s="613"/>
      <c r="Y6" s="613"/>
      <c r="Z6" s="613"/>
      <c r="AA6" s="613"/>
      <c r="AB6" s="613"/>
      <c r="AC6" s="613"/>
      <c r="AD6" s="613"/>
      <c r="AE6" s="613"/>
      <c r="AF6" s="613"/>
      <c r="AG6" s="613"/>
      <c r="AH6" s="442"/>
      <c r="AI6" s="582" t="str">
        <f>IF(A6="","","("&amp;VLOOKUP(A6,予選学校名!$I$3:$L$32,2,FALSE)&amp;")")</f>
        <v/>
      </c>
      <c r="AJ6" s="582"/>
      <c r="AK6" s="582"/>
      <c r="AL6" s="582"/>
      <c r="AM6" s="582"/>
      <c r="AN6" s="582"/>
      <c r="AO6" s="582"/>
      <c r="AP6" s="443"/>
      <c r="AQ6" s="443"/>
      <c r="AR6" s="443"/>
      <c r="AS6" s="443"/>
      <c r="AT6" s="443"/>
      <c r="AU6" s="443"/>
      <c r="AV6" s="443"/>
      <c r="AW6" s="443"/>
      <c r="AX6" s="390"/>
      <c r="AY6" s="390"/>
      <c r="AZ6" s="390"/>
      <c r="BA6" s="634"/>
      <c r="BB6" s="634"/>
      <c r="BF6" s="76"/>
    </row>
    <row r="7" spans="1:58" ht="21.75" customHeight="1" x14ac:dyDescent="0.15">
      <c r="BF7" s="76"/>
    </row>
    <row r="8" spans="1:58" ht="28.5" customHeight="1" x14ac:dyDescent="0.15">
      <c r="Q8" s="521" t="s">
        <v>73</v>
      </c>
      <c r="R8" s="521"/>
      <c r="S8" s="521"/>
      <c r="T8" s="521"/>
      <c r="U8" s="644" t="str">
        <f>IF(A3="","",L3)</f>
        <v/>
      </c>
      <c r="V8" s="644"/>
      <c r="W8" s="644"/>
      <c r="X8" s="644"/>
      <c r="Y8" s="644"/>
      <c r="Z8" s="644"/>
      <c r="AA8" s="644"/>
      <c r="AB8" s="644"/>
      <c r="AC8" s="644"/>
      <c r="AD8" s="644"/>
      <c r="AE8" s="644"/>
      <c r="AF8" s="644"/>
      <c r="AG8" s="644"/>
      <c r="AH8" s="644"/>
      <c r="AI8" s="644"/>
      <c r="AJ8" s="644"/>
      <c r="AK8" s="644"/>
      <c r="AL8" s="644"/>
      <c r="AM8" s="644"/>
      <c r="AN8" s="644"/>
      <c r="AO8" s="644"/>
      <c r="BF8" s="76"/>
    </row>
    <row r="9" spans="1:58" x14ac:dyDescent="0.15">
      <c r="AC9" s="545"/>
      <c r="AD9" s="307"/>
      <c r="BF9" s="76"/>
    </row>
    <row r="10" spans="1:58" x14ac:dyDescent="0.15">
      <c r="AA10" s="538" t="str">
        <f>IF(AA14="","",SUM(AA14:AA17))</f>
        <v/>
      </c>
      <c r="AB10" s="538"/>
      <c r="AC10" s="545"/>
      <c r="AD10" s="307"/>
      <c r="AE10" s="537" t="str">
        <f>IF(AE14="","",SUM(AE14:AE17))</f>
        <v/>
      </c>
      <c r="AF10" s="537"/>
      <c r="AG10" s="537"/>
      <c r="BF10" s="76"/>
    </row>
    <row r="11" spans="1:58" s="376" customFormat="1" hidden="1" x14ac:dyDescent="0.15">
      <c r="A11" s="375"/>
      <c r="D11" s="375"/>
      <c r="E11" s="375"/>
      <c r="F11" s="375"/>
      <c r="G11" s="378"/>
      <c r="H11" s="379"/>
      <c r="I11" s="379"/>
      <c r="J11" s="381"/>
      <c r="K11" s="381"/>
      <c r="L11" s="375"/>
      <c r="M11" s="375"/>
      <c r="N11" s="375"/>
      <c r="O11" s="375"/>
      <c r="P11" s="375"/>
      <c r="Q11" s="375"/>
      <c r="R11" s="375"/>
      <c r="S11" s="378"/>
      <c r="T11" s="379"/>
      <c r="U11" s="381"/>
      <c r="V11" s="375"/>
      <c r="W11" s="375"/>
      <c r="X11" s="375"/>
      <c r="Y11" s="375"/>
      <c r="Z11" s="375"/>
      <c r="AA11" s="614">
        <f>SUM(AA14:AA19)</f>
        <v>0</v>
      </c>
      <c r="AB11" s="614"/>
      <c r="AC11" s="545"/>
      <c r="AD11" s="385"/>
      <c r="AE11" s="615">
        <f>SUM(AE14:AE19)</f>
        <v>0</v>
      </c>
      <c r="AF11" s="615"/>
      <c r="AG11" s="615"/>
      <c r="AH11" s="375"/>
      <c r="AI11" s="375"/>
      <c r="AJ11" s="375"/>
      <c r="AK11" s="375"/>
      <c r="AL11" s="375"/>
      <c r="AQ11" s="383"/>
      <c r="AR11" s="383"/>
      <c r="BF11" s="76"/>
    </row>
    <row r="12" spans="1:58" ht="6" customHeight="1" thickBot="1" x14ac:dyDescent="0.2">
      <c r="Q12" s="556"/>
      <c r="R12" s="556"/>
      <c r="S12" s="556"/>
      <c r="T12" s="556"/>
      <c r="U12" s="556"/>
      <c r="V12" s="556"/>
      <c r="W12" s="556"/>
      <c r="X12" s="556"/>
      <c r="Y12" s="556"/>
      <c r="Z12" s="556"/>
      <c r="AA12" s="556"/>
      <c r="AB12" s="556"/>
      <c r="AC12" s="557"/>
      <c r="AD12" s="560"/>
      <c r="AE12" s="556"/>
      <c r="AF12" s="556"/>
      <c r="AG12" s="556"/>
      <c r="AH12" s="556"/>
      <c r="AI12" s="556"/>
      <c r="AJ12" s="556"/>
      <c r="AK12" s="556"/>
      <c r="AL12" s="556"/>
      <c r="AM12" s="556"/>
      <c r="AN12" s="556"/>
      <c r="AO12" s="556"/>
      <c r="AP12" s="556"/>
      <c r="AQ12" s="556"/>
      <c r="AR12" s="556"/>
      <c r="AS12" s="556"/>
      <c r="BF12" s="76"/>
    </row>
    <row r="13" spans="1:58" ht="6" customHeight="1" thickTop="1" x14ac:dyDescent="0.15">
      <c r="M13" s="639" t="str">
        <f>IF(N23=R23,"",IF(N23&gt;R23,E25,Z25))</f>
        <v/>
      </c>
      <c r="N13" s="639"/>
      <c r="O13" s="639"/>
      <c r="P13" s="545"/>
      <c r="Q13" s="362"/>
      <c r="R13" s="359"/>
      <c r="S13" s="369"/>
      <c r="T13" s="308"/>
      <c r="U13" s="370"/>
      <c r="V13" s="359"/>
      <c r="W13" s="359"/>
      <c r="X13" s="359"/>
      <c r="Y13" s="359"/>
      <c r="Z13" s="359"/>
      <c r="AA13" s="359"/>
      <c r="AB13" s="359"/>
      <c r="AC13" s="308"/>
      <c r="AD13" s="308"/>
      <c r="AE13" s="308"/>
      <c r="AF13" s="308"/>
      <c r="AG13" s="370"/>
      <c r="AH13" s="359"/>
      <c r="AI13" s="359"/>
      <c r="AJ13" s="359"/>
      <c r="AK13" s="359"/>
      <c r="AL13" s="359"/>
      <c r="AM13" s="364"/>
      <c r="AN13" s="364"/>
      <c r="AO13" s="364"/>
      <c r="AP13" s="364"/>
      <c r="AQ13" s="355"/>
      <c r="AR13" s="355"/>
      <c r="AS13" s="365"/>
      <c r="AT13" s="629"/>
      <c r="AU13" s="627" t="str">
        <f>IF(AQ23=AU23,"",IF(AQ23&gt;AU23,AJ25,BA25))</f>
        <v/>
      </c>
      <c r="AV13" s="627"/>
      <c r="BF13" s="76"/>
    </row>
    <row r="14" spans="1:58" x14ac:dyDescent="0.15">
      <c r="M14" s="639"/>
      <c r="N14" s="639"/>
      <c r="O14" s="639"/>
      <c r="P14" s="545"/>
      <c r="Q14" s="363"/>
      <c r="AA14" s="538"/>
      <c r="AB14" s="538"/>
      <c r="AC14" s="485"/>
      <c r="AD14" s="485"/>
      <c r="AE14" s="537"/>
      <c r="AF14" s="537"/>
      <c r="AG14" s="537"/>
      <c r="AS14" s="366"/>
      <c r="AT14" s="629"/>
      <c r="AU14" s="627"/>
      <c r="AV14" s="627"/>
      <c r="BF14" s="114"/>
    </row>
    <row r="15" spans="1:58" x14ac:dyDescent="0.15">
      <c r="M15" s="639"/>
      <c r="N15" s="639"/>
      <c r="O15" s="639"/>
      <c r="P15" s="545"/>
      <c r="Q15" s="553" t="s">
        <v>628</v>
      </c>
      <c r="R15" s="485"/>
      <c r="S15" s="485"/>
      <c r="T15" s="485"/>
      <c r="U15" s="485"/>
      <c r="V15" s="485"/>
      <c r="W15" s="485"/>
      <c r="X15" s="485"/>
      <c r="Y15" s="485"/>
      <c r="Z15" s="485"/>
      <c r="AA15" s="485"/>
      <c r="AB15" s="485"/>
      <c r="AC15" s="485"/>
      <c r="AD15" s="485"/>
      <c r="AE15" s="485"/>
      <c r="AF15" s="485"/>
      <c r="AG15" s="485"/>
      <c r="AH15" s="485"/>
      <c r="AI15" s="485"/>
      <c r="AJ15" s="485"/>
      <c r="AK15" s="485"/>
      <c r="AL15" s="485"/>
      <c r="AM15" s="485"/>
      <c r="AN15" s="485"/>
      <c r="AO15" s="485"/>
      <c r="AP15" s="485"/>
      <c r="AQ15" s="485"/>
      <c r="AR15" s="485"/>
      <c r="AS15" s="545"/>
      <c r="AT15" s="629"/>
      <c r="AU15" s="627"/>
      <c r="AV15" s="627"/>
      <c r="BF15" s="76"/>
    </row>
    <row r="16" spans="1:58" x14ac:dyDescent="0.15">
      <c r="M16" s="639"/>
      <c r="N16" s="639"/>
      <c r="O16" s="639"/>
      <c r="P16" s="545"/>
      <c r="Q16" s="363"/>
      <c r="AA16" s="538"/>
      <c r="AB16" s="538"/>
      <c r="AC16" s="485"/>
      <c r="AD16" s="485"/>
      <c r="AE16" s="537"/>
      <c r="AF16" s="537"/>
      <c r="AG16" s="537"/>
      <c r="AS16" s="366"/>
      <c r="AT16" s="629"/>
      <c r="AU16" s="627"/>
      <c r="AV16" s="627"/>
      <c r="BF16" s="80" t="s">
        <v>625</v>
      </c>
    </row>
    <row r="17" spans="1:58" x14ac:dyDescent="0.15">
      <c r="M17" s="639"/>
      <c r="N17" s="639"/>
      <c r="O17" s="639"/>
      <c r="P17" s="545"/>
      <c r="Q17" s="605">
        <v>0.54166666666666663</v>
      </c>
      <c r="R17" s="606"/>
      <c r="S17" s="606"/>
      <c r="T17" s="606"/>
      <c r="U17" s="606"/>
      <c r="V17" s="606"/>
      <c r="W17" s="606"/>
      <c r="X17" s="606"/>
      <c r="Y17" s="606"/>
      <c r="Z17" s="606"/>
      <c r="AA17" s="606"/>
      <c r="AB17" s="606"/>
      <c r="AC17" s="606"/>
      <c r="AD17" s="606"/>
      <c r="AE17" s="606"/>
      <c r="AF17" s="606"/>
      <c r="AG17" s="606"/>
      <c r="AH17" s="606"/>
      <c r="AI17" s="606"/>
      <c r="AJ17" s="606"/>
      <c r="AK17" s="606"/>
      <c r="AL17" s="606"/>
      <c r="AM17" s="606"/>
      <c r="AN17" s="606"/>
      <c r="AO17" s="606"/>
      <c r="AP17" s="606"/>
      <c r="AQ17" s="606"/>
      <c r="AR17" s="606"/>
      <c r="AS17" s="607"/>
      <c r="AT17" s="629"/>
      <c r="AU17" s="627"/>
      <c r="AV17" s="627"/>
      <c r="BF17" s="80" t="s">
        <v>627</v>
      </c>
    </row>
    <row r="18" spans="1:58" x14ac:dyDescent="0.15">
      <c r="M18" s="639"/>
      <c r="N18" s="639"/>
      <c r="O18" s="639"/>
      <c r="P18" s="545"/>
      <c r="Q18" s="363"/>
      <c r="AA18" s="75"/>
      <c r="AB18" s="75"/>
      <c r="AC18" s="485"/>
      <c r="AD18" s="485"/>
      <c r="AE18" s="77"/>
      <c r="AF18" s="77"/>
      <c r="AS18" s="366"/>
      <c r="AT18" s="629"/>
      <c r="AU18" s="627"/>
      <c r="AV18" s="627"/>
      <c r="BF18" s="80" t="s">
        <v>628</v>
      </c>
    </row>
    <row r="19" spans="1:58" x14ac:dyDescent="0.15">
      <c r="M19" s="639"/>
      <c r="N19" s="639"/>
      <c r="O19" s="639"/>
      <c r="P19" s="545"/>
      <c r="Q19" s="363"/>
      <c r="AA19" s="538"/>
      <c r="AB19" s="538"/>
      <c r="AC19" s="485"/>
      <c r="AD19" s="485"/>
      <c r="AE19" s="537"/>
      <c r="AF19" s="537"/>
      <c r="AG19" s="537"/>
      <c r="AS19" s="366"/>
      <c r="AT19" s="629"/>
      <c r="AU19" s="627"/>
      <c r="AV19" s="627"/>
      <c r="BF19" s="80" t="s">
        <v>629</v>
      </c>
    </row>
    <row r="20" spans="1:58" x14ac:dyDescent="0.15">
      <c r="P20" s="545"/>
      <c r="Q20" s="363"/>
      <c r="AS20" s="366"/>
      <c r="AT20" s="629"/>
      <c r="BF20" s="80" t="s">
        <v>631</v>
      </c>
    </row>
    <row r="21" spans="1:58" x14ac:dyDescent="0.15">
      <c r="P21" s="545"/>
      <c r="Q21" s="363"/>
      <c r="AS21" s="366"/>
      <c r="AT21" s="629"/>
      <c r="BF21" s="80" t="s">
        <v>632</v>
      </c>
    </row>
    <row r="22" spans="1:58" x14ac:dyDescent="0.15">
      <c r="N22" s="538" t="str">
        <f>IF(M26="","",SUM(M26:M31))</f>
        <v/>
      </c>
      <c r="O22" s="538"/>
      <c r="P22" s="545"/>
      <c r="Q22" s="363"/>
      <c r="R22" s="537" t="str">
        <f>IF(R26="","",SUM(R26:R31))</f>
        <v/>
      </c>
      <c r="S22" s="537"/>
      <c r="T22" s="537"/>
      <c r="AQ22" s="538" t="str">
        <f>IF(AQ26="","",SUM(AQ26:AQ31))</f>
        <v/>
      </c>
      <c r="AR22" s="538"/>
      <c r="AS22" s="366"/>
      <c r="AT22" s="629"/>
      <c r="AU22" s="537" t="str">
        <f>IF(AU26="","",SUM(AU26:AU31))</f>
        <v/>
      </c>
      <c r="AV22" s="537"/>
      <c r="AW22" s="537"/>
      <c r="BF22" s="80" t="s">
        <v>633</v>
      </c>
    </row>
    <row r="23" spans="1:58" s="376" customFormat="1" hidden="1" x14ac:dyDescent="0.15">
      <c r="A23" s="375"/>
      <c r="D23" s="375"/>
      <c r="E23" s="375"/>
      <c r="F23" s="375"/>
      <c r="G23" s="378"/>
      <c r="H23" s="379"/>
      <c r="I23" s="379"/>
      <c r="J23" s="381"/>
      <c r="K23" s="381"/>
      <c r="L23" s="375"/>
      <c r="M23" s="375"/>
      <c r="N23" s="614">
        <f>SUM(M26:M32)</f>
        <v>0</v>
      </c>
      <c r="O23" s="614"/>
      <c r="P23" s="545"/>
      <c r="Q23" s="377"/>
      <c r="R23" s="615">
        <f>SUM(R26:R32)</f>
        <v>0</v>
      </c>
      <c r="S23" s="615"/>
      <c r="T23" s="615"/>
      <c r="U23" s="381"/>
      <c r="V23" s="375"/>
      <c r="W23" s="375"/>
      <c r="X23" s="375"/>
      <c r="Y23" s="375"/>
      <c r="Z23" s="375"/>
      <c r="AA23" s="375"/>
      <c r="AB23" s="375"/>
      <c r="AC23" s="378"/>
      <c r="AD23" s="379"/>
      <c r="AE23" s="379"/>
      <c r="AF23" s="379"/>
      <c r="AG23" s="381"/>
      <c r="AH23" s="375"/>
      <c r="AI23" s="375"/>
      <c r="AJ23" s="375"/>
      <c r="AK23" s="375"/>
      <c r="AL23" s="375"/>
      <c r="AQ23" s="614">
        <f>SUM(AQ26:AQ32)</f>
        <v>0</v>
      </c>
      <c r="AR23" s="614"/>
      <c r="AS23" s="382"/>
      <c r="AT23" s="629"/>
      <c r="AU23" s="615">
        <f>SUM(AU26:AU32)</f>
        <v>0</v>
      </c>
      <c r="AV23" s="615"/>
      <c r="AW23" s="615"/>
      <c r="BF23" s="80"/>
    </row>
    <row r="24" spans="1:58" ht="6" customHeight="1" thickBot="1" x14ac:dyDescent="0.2">
      <c r="H24" s="556"/>
      <c r="I24" s="556"/>
      <c r="J24" s="556"/>
      <c r="K24" s="556"/>
      <c r="L24" s="556"/>
      <c r="M24" s="556"/>
      <c r="N24" s="556"/>
      <c r="O24" s="556"/>
      <c r="P24" s="557"/>
      <c r="Q24" s="560"/>
      <c r="R24" s="556"/>
      <c r="S24" s="556"/>
      <c r="T24" s="556"/>
      <c r="U24" s="556"/>
      <c r="V24" s="556"/>
      <c r="W24" s="556"/>
      <c r="X24" s="556"/>
      <c r="AN24" s="611"/>
      <c r="AO24" s="611"/>
      <c r="AP24" s="611"/>
      <c r="AQ24" s="611"/>
      <c r="AR24" s="611"/>
      <c r="AS24" s="612"/>
      <c r="AT24" s="630"/>
      <c r="AU24" s="611"/>
      <c r="AV24" s="611"/>
      <c r="AW24" s="611"/>
      <c r="AX24" s="611"/>
      <c r="AY24" s="611"/>
    </row>
    <row r="25" spans="1:58" ht="6" customHeight="1" thickTop="1" x14ac:dyDescent="0.15">
      <c r="E25" s="639" t="str">
        <f>IF(E35=I35,"",IF(E35&gt;I35,C60,N37))</f>
        <v/>
      </c>
      <c r="F25" s="639"/>
      <c r="G25" s="545"/>
      <c r="H25" s="371"/>
      <c r="I25" s="308"/>
      <c r="J25" s="370"/>
      <c r="K25" s="370"/>
      <c r="L25" s="359"/>
      <c r="M25" s="359"/>
      <c r="N25" s="359"/>
      <c r="O25" s="359"/>
      <c r="P25" s="359"/>
      <c r="Q25" s="359"/>
      <c r="R25" s="359"/>
      <c r="S25" s="369"/>
      <c r="T25" s="308"/>
      <c r="U25" s="370"/>
      <c r="V25" s="359"/>
      <c r="W25" s="359"/>
      <c r="X25" s="360"/>
      <c r="Y25" s="553"/>
      <c r="Z25" s="627" t="str">
        <f>IF(V35=Z35,"",IF(V35&gt;Z35,U60,AA60))</f>
        <v/>
      </c>
      <c r="AA25" s="627"/>
      <c r="AJ25" s="639" t="str">
        <f>IF(AK35=AO35,"",IF(AK35&gt;AO35,AH60,AP60))</f>
        <v/>
      </c>
      <c r="AK25" s="639"/>
      <c r="AL25" s="639"/>
      <c r="AM25" s="610"/>
      <c r="AN25" s="367"/>
      <c r="AO25" s="364"/>
      <c r="AP25" s="364"/>
      <c r="AQ25" s="355"/>
      <c r="AR25" s="355"/>
      <c r="AS25" s="364"/>
      <c r="AT25" s="364"/>
      <c r="AU25" s="364"/>
      <c r="AV25" s="364"/>
      <c r="AW25" s="364"/>
      <c r="AX25" s="364"/>
      <c r="AY25" s="365"/>
      <c r="AZ25" s="629"/>
      <c r="BA25" s="627" t="str">
        <f>IF(AW35=BA35,"",IF(AW35&gt;BA35,AV60,BB60))</f>
        <v/>
      </c>
      <c r="BB25" s="627"/>
      <c r="BF25" s="80"/>
    </row>
    <row r="26" spans="1:58" x14ac:dyDescent="0.15">
      <c r="E26" s="639"/>
      <c r="F26" s="639"/>
      <c r="G26" s="545"/>
      <c r="H26" s="307"/>
      <c r="M26" s="538"/>
      <c r="N26" s="538"/>
      <c r="O26" s="538"/>
      <c r="P26" s="485"/>
      <c r="Q26" s="485"/>
      <c r="R26" s="537"/>
      <c r="S26" s="537"/>
      <c r="T26" s="72"/>
      <c r="X26" s="146"/>
      <c r="Y26" s="553"/>
      <c r="Z26" s="627"/>
      <c r="AA26" s="627"/>
      <c r="AJ26" s="639"/>
      <c r="AK26" s="639"/>
      <c r="AL26" s="639"/>
      <c r="AM26" s="610"/>
      <c r="AN26" s="368"/>
      <c r="AQ26" s="538"/>
      <c r="AR26" s="538"/>
      <c r="AS26" s="485"/>
      <c r="AT26" s="485"/>
      <c r="AU26" s="537"/>
      <c r="AV26" s="537"/>
      <c r="AW26" s="76"/>
      <c r="AY26" s="366"/>
      <c r="AZ26" s="629"/>
      <c r="BA26" s="627"/>
      <c r="BB26" s="627"/>
      <c r="BF26" s="80"/>
    </row>
    <row r="27" spans="1:58" x14ac:dyDescent="0.15">
      <c r="E27" s="639"/>
      <c r="F27" s="639"/>
      <c r="G27" s="545"/>
      <c r="H27" s="553" t="s">
        <v>634</v>
      </c>
      <c r="I27" s="485"/>
      <c r="J27" s="485"/>
      <c r="K27" s="485"/>
      <c r="L27" s="485"/>
      <c r="M27" s="485"/>
      <c r="N27" s="485"/>
      <c r="O27" s="485"/>
      <c r="P27" s="485"/>
      <c r="Q27" s="485"/>
      <c r="R27" s="485"/>
      <c r="S27" s="485"/>
      <c r="T27" s="485"/>
      <c r="U27" s="485"/>
      <c r="V27" s="485"/>
      <c r="W27" s="485"/>
      <c r="X27" s="545"/>
      <c r="Y27" s="553"/>
      <c r="Z27" s="627"/>
      <c r="AA27" s="627"/>
      <c r="AJ27" s="639"/>
      <c r="AK27" s="639"/>
      <c r="AL27" s="639"/>
      <c r="AM27" s="610"/>
      <c r="AN27" s="629" t="s">
        <v>635</v>
      </c>
      <c r="AO27" s="520"/>
      <c r="AP27" s="520"/>
      <c r="AQ27" s="520"/>
      <c r="AR27" s="520"/>
      <c r="AS27" s="520"/>
      <c r="AT27" s="520"/>
      <c r="AU27" s="520"/>
      <c r="AV27" s="520"/>
      <c r="AW27" s="520"/>
      <c r="AX27" s="520"/>
      <c r="AY27" s="610"/>
      <c r="AZ27" s="629"/>
      <c r="BA27" s="627"/>
      <c r="BB27" s="627"/>
      <c r="BF27" s="80"/>
    </row>
    <row r="28" spans="1:58" x14ac:dyDescent="0.15">
      <c r="E28" s="639"/>
      <c r="F28" s="639"/>
      <c r="G28" s="545"/>
      <c r="H28" s="307"/>
      <c r="M28" s="75"/>
      <c r="N28" s="75"/>
      <c r="O28" s="75"/>
      <c r="P28" s="76"/>
      <c r="Q28" s="76"/>
      <c r="R28" s="77"/>
      <c r="S28" s="77"/>
      <c r="T28" s="72"/>
      <c r="X28" s="146"/>
      <c r="Y28" s="553"/>
      <c r="Z28" s="627"/>
      <c r="AA28" s="627"/>
      <c r="AJ28" s="639"/>
      <c r="AK28" s="639"/>
      <c r="AL28" s="639"/>
      <c r="AM28" s="610"/>
      <c r="AN28" s="368"/>
      <c r="AQ28" s="75"/>
      <c r="AR28" s="75"/>
      <c r="AS28" s="76"/>
      <c r="AT28" s="76"/>
      <c r="AU28" s="77"/>
      <c r="AV28" s="77"/>
      <c r="AW28" s="76"/>
      <c r="AY28" s="366"/>
      <c r="AZ28" s="629"/>
      <c r="BA28" s="627"/>
      <c r="BB28" s="627"/>
      <c r="BF28" s="80"/>
    </row>
    <row r="29" spans="1:58" x14ac:dyDescent="0.15">
      <c r="E29" s="639"/>
      <c r="F29" s="639"/>
      <c r="G29" s="545"/>
      <c r="H29" s="553" t="s">
        <v>628</v>
      </c>
      <c r="I29" s="485"/>
      <c r="J29" s="485"/>
      <c r="K29" s="485"/>
      <c r="L29" s="485"/>
      <c r="M29" s="485"/>
      <c r="N29" s="485"/>
      <c r="O29" s="485"/>
      <c r="P29" s="485"/>
      <c r="Q29" s="485"/>
      <c r="R29" s="485"/>
      <c r="S29" s="485"/>
      <c r="T29" s="485"/>
      <c r="U29" s="485"/>
      <c r="V29" s="485"/>
      <c r="W29" s="485"/>
      <c r="X29" s="545"/>
      <c r="Y29" s="553"/>
      <c r="Z29" s="627"/>
      <c r="AA29" s="627"/>
      <c r="AJ29" s="639"/>
      <c r="AK29" s="639"/>
      <c r="AL29" s="639"/>
      <c r="AM29" s="610"/>
      <c r="AN29" s="629" t="s">
        <v>629</v>
      </c>
      <c r="AO29" s="520"/>
      <c r="AP29" s="520"/>
      <c r="AQ29" s="520"/>
      <c r="AR29" s="520"/>
      <c r="AS29" s="520"/>
      <c r="AT29" s="520"/>
      <c r="AU29" s="520"/>
      <c r="AV29" s="520"/>
      <c r="AW29" s="520"/>
      <c r="AX29" s="520"/>
      <c r="AY29" s="610"/>
      <c r="AZ29" s="629"/>
      <c r="BA29" s="627"/>
      <c r="BB29" s="627"/>
      <c r="BF29" s="80"/>
    </row>
    <row r="30" spans="1:58" x14ac:dyDescent="0.15">
      <c r="E30" s="639"/>
      <c r="F30" s="639"/>
      <c r="G30" s="545"/>
      <c r="H30" s="307"/>
      <c r="M30" s="538"/>
      <c r="N30" s="538"/>
      <c r="O30" s="538"/>
      <c r="P30" s="485"/>
      <c r="Q30" s="485"/>
      <c r="R30" s="537"/>
      <c r="S30" s="537"/>
      <c r="T30" s="72"/>
      <c r="X30" s="146"/>
      <c r="Y30" s="553"/>
      <c r="Z30" s="627"/>
      <c r="AA30" s="627"/>
      <c r="AJ30" s="639"/>
      <c r="AK30" s="639"/>
      <c r="AL30" s="639"/>
      <c r="AM30" s="610"/>
      <c r="AN30" s="368"/>
      <c r="AQ30" s="538"/>
      <c r="AR30" s="538"/>
      <c r="AS30" s="485"/>
      <c r="AT30" s="485"/>
      <c r="AU30" s="537"/>
      <c r="AV30" s="537"/>
      <c r="AW30" s="76"/>
      <c r="AY30" s="366"/>
      <c r="AZ30" s="629"/>
      <c r="BA30" s="627"/>
      <c r="BB30" s="627"/>
      <c r="BF30" s="80"/>
    </row>
    <row r="31" spans="1:58" x14ac:dyDescent="0.15">
      <c r="E31" s="639"/>
      <c r="F31" s="639"/>
      <c r="G31" s="545"/>
      <c r="H31" s="605">
        <v>0.375</v>
      </c>
      <c r="I31" s="606"/>
      <c r="J31" s="606"/>
      <c r="K31" s="606"/>
      <c r="L31" s="606"/>
      <c r="M31" s="606"/>
      <c r="N31" s="606"/>
      <c r="O31" s="606"/>
      <c r="P31" s="606"/>
      <c r="Q31" s="606"/>
      <c r="R31" s="606"/>
      <c r="S31" s="606"/>
      <c r="T31" s="606"/>
      <c r="U31" s="606"/>
      <c r="V31" s="606"/>
      <c r="W31" s="606"/>
      <c r="X31" s="607"/>
      <c r="Y31" s="553"/>
      <c r="Z31" s="627"/>
      <c r="AA31" s="627"/>
      <c r="AJ31" s="639"/>
      <c r="AK31" s="639"/>
      <c r="AL31" s="639"/>
      <c r="AM31" s="610"/>
      <c r="AN31" s="646">
        <v>0.375</v>
      </c>
      <c r="AO31" s="647"/>
      <c r="AP31" s="647"/>
      <c r="AQ31" s="647"/>
      <c r="AR31" s="647"/>
      <c r="AS31" s="647"/>
      <c r="AT31" s="647"/>
      <c r="AU31" s="647"/>
      <c r="AV31" s="647"/>
      <c r="AW31" s="647"/>
      <c r="AX31" s="647"/>
      <c r="AY31" s="648"/>
      <c r="AZ31" s="629"/>
      <c r="BA31" s="627"/>
      <c r="BB31" s="627"/>
      <c r="BF31" s="80"/>
    </row>
    <row r="32" spans="1:58" x14ac:dyDescent="0.15">
      <c r="E32" s="639"/>
      <c r="F32" s="639"/>
      <c r="G32" s="545"/>
      <c r="H32" s="307"/>
      <c r="M32" s="538"/>
      <c r="N32" s="538"/>
      <c r="O32" s="538"/>
      <c r="P32" s="485"/>
      <c r="Q32" s="485"/>
      <c r="R32" s="537"/>
      <c r="S32" s="537"/>
      <c r="T32" s="77"/>
      <c r="X32" s="146"/>
      <c r="Y32" s="553"/>
      <c r="Z32" s="627"/>
      <c r="AA32" s="627"/>
      <c r="AJ32" s="639"/>
      <c r="AK32" s="639"/>
      <c r="AL32" s="639"/>
      <c r="AM32" s="610"/>
      <c r="AN32" s="368"/>
      <c r="AQ32" s="75"/>
      <c r="AR32" s="75"/>
      <c r="AS32" s="485"/>
      <c r="AT32" s="485"/>
      <c r="AU32" s="537"/>
      <c r="AV32" s="537"/>
      <c r="AW32" s="77"/>
      <c r="AY32" s="366"/>
      <c r="AZ32" s="629"/>
      <c r="BA32" s="627"/>
      <c r="BB32" s="627"/>
      <c r="BF32" s="80"/>
    </row>
    <row r="33" spans="1:58" x14ac:dyDescent="0.15">
      <c r="G33" s="545"/>
      <c r="H33" s="307"/>
      <c r="X33" s="146"/>
      <c r="Y33" s="553"/>
      <c r="AM33" s="610"/>
      <c r="AN33" s="368"/>
      <c r="AU33" s="72"/>
      <c r="AV33" s="75"/>
      <c r="AY33" s="366"/>
      <c r="AZ33" s="629"/>
      <c r="BF33" s="80"/>
    </row>
    <row r="34" spans="1:58" x14ac:dyDescent="0.15">
      <c r="E34" s="538" t="str">
        <f>IF(E38="","",SUM(E38:E41))</f>
        <v/>
      </c>
      <c r="F34" s="538"/>
      <c r="G34" s="545"/>
      <c r="H34" s="307"/>
      <c r="I34" s="537" t="str">
        <f>IF(I38="","",SUM(I38:I41))</f>
        <v/>
      </c>
      <c r="J34" s="537"/>
      <c r="K34" s="537"/>
      <c r="V34" s="538" t="str">
        <f>IF(V38="","",SUM(V38:V41))</f>
        <v/>
      </c>
      <c r="W34" s="538"/>
      <c r="X34" s="146"/>
      <c r="Y34" s="553"/>
      <c r="Z34" s="537" t="str">
        <f>IF(Z38="","",SUM(Z38:Z41))</f>
        <v/>
      </c>
      <c r="AA34" s="537"/>
      <c r="AB34" s="537"/>
      <c r="AK34" s="538" t="str">
        <f>IF(AK38="","",SUM(AK38:AK41))</f>
        <v/>
      </c>
      <c r="AL34" s="538"/>
      <c r="AM34" s="610"/>
      <c r="AN34" s="368"/>
      <c r="AO34" s="537" t="str">
        <f>IF(AO38="","",SUM(AO38:AO41))</f>
        <v/>
      </c>
      <c r="AP34" s="537"/>
      <c r="AQ34" s="537"/>
      <c r="AW34" s="538" t="str">
        <f>IF(AW38="","",SUM(AW38:AW41))</f>
        <v/>
      </c>
      <c r="AX34" s="538"/>
      <c r="AY34" s="366"/>
      <c r="AZ34" s="629"/>
      <c r="BA34" s="537" t="str">
        <f>IF(BA38="","",SUM(BA38:BA41))</f>
        <v/>
      </c>
      <c r="BB34" s="537"/>
      <c r="BC34" s="537"/>
      <c r="BF34" s="80"/>
    </row>
    <row r="35" spans="1:58" s="376" customFormat="1" hidden="1" x14ac:dyDescent="0.15">
      <c r="A35" s="375"/>
      <c r="D35" s="375"/>
      <c r="E35" s="614"/>
      <c r="F35" s="614"/>
      <c r="G35" s="545"/>
      <c r="H35" s="385"/>
      <c r="I35" s="615"/>
      <c r="J35" s="615"/>
      <c r="K35" s="615"/>
      <c r="L35" s="375"/>
      <c r="M35" s="375"/>
      <c r="N35" s="375"/>
      <c r="O35" s="375"/>
      <c r="P35" s="375"/>
      <c r="Q35" s="375"/>
      <c r="R35" s="375"/>
      <c r="S35" s="378"/>
      <c r="T35" s="379"/>
      <c r="U35" s="381"/>
      <c r="V35" s="614"/>
      <c r="W35" s="614"/>
      <c r="X35" s="380"/>
      <c r="Y35" s="553"/>
      <c r="Z35" s="615"/>
      <c r="AA35" s="615"/>
      <c r="AB35" s="615"/>
      <c r="AC35" s="378"/>
      <c r="AD35" s="379"/>
      <c r="AE35" s="379"/>
      <c r="AF35" s="379"/>
      <c r="AG35" s="381"/>
      <c r="AH35" s="375"/>
      <c r="AI35" s="375"/>
      <c r="AJ35" s="375"/>
      <c r="AK35" s="614"/>
      <c r="AL35" s="614"/>
      <c r="AM35" s="610"/>
      <c r="AN35" s="384"/>
      <c r="AO35" s="615"/>
      <c r="AP35" s="615"/>
      <c r="AQ35" s="615"/>
      <c r="AR35" s="383"/>
      <c r="AW35" s="614"/>
      <c r="AX35" s="614"/>
      <c r="AY35" s="382"/>
      <c r="AZ35" s="629"/>
      <c r="BA35" s="615"/>
      <c r="BB35" s="615"/>
      <c r="BC35" s="615"/>
      <c r="BF35" s="105"/>
    </row>
    <row r="36" spans="1:58" ht="6" customHeight="1" thickBot="1" x14ac:dyDescent="0.2">
      <c r="D36" s="556"/>
      <c r="E36" s="556"/>
      <c r="F36" s="556"/>
      <c r="G36" s="557"/>
      <c r="H36" s="560"/>
      <c r="I36" s="556"/>
      <c r="J36" s="556"/>
      <c r="K36" s="556"/>
      <c r="L36" s="556"/>
      <c r="V36" s="556"/>
      <c r="W36" s="556"/>
      <c r="X36" s="557"/>
      <c r="Y36" s="560"/>
      <c r="Z36" s="556"/>
      <c r="AA36" s="556"/>
      <c r="AJ36" s="556"/>
      <c r="AK36" s="556"/>
      <c r="AL36" s="556"/>
      <c r="AM36" s="612"/>
      <c r="AN36" s="630"/>
      <c r="AO36" s="611"/>
      <c r="AP36" s="611"/>
      <c r="AW36" s="611"/>
      <c r="AX36" s="611"/>
      <c r="AY36" s="612"/>
      <c r="AZ36" s="630"/>
      <c r="BA36" s="611"/>
      <c r="BB36" s="611"/>
      <c r="BF36" s="115"/>
    </row>
    <row r="37" spans="1:58" ht="6" customHeight="1" thickTop="1" x14ac:dyDescent="0.15">
      <c r="C37" s="625">
        <f>1</f>
        <v>1</v>
      </c>
      <c r="D37" s="362"/>
      <c r="E37" s="359"/>
      <c r="F37" s="359"/>
      <c r="G37" s="369"/>
      <c r="H37" s="308"/>
      <c r="I37" s="308"/>
      <c r="J37" s="370"/>
      <c r="K37" s="370"/>
      <c r="L37" s="360"/>
      <c r="M37" s="553"/>
      <c r="N37" s="627" t="str">
        <f>IF(J47=N47,"",IF(J47&gt;N47,H60,O60))</f>
        <v/>
      </c>
      <c r="O37" s="627"/>
      <c r="P37" s="627"/>
      <c r="U37" s="640">
        <f>4</f>
        <v>4</v>
      </c>
      <c r="V37" s="362"/>
      <c r="W37" s="359"/>
      <c r="X37" s="359"/>
      <c r="Y37" s="359"/>
      <c r="Z37" s="359"/>
      <c r="AA37" s="360"/>
      <c r="AB37" s="553"/>
      <c r="AH37" s="499">
        <f>6</f>
        <v>6</v>
      </c>
      <c r="AI37" s="640"/>
      <c r="AJ37" s="362"/>
      <c r="AK37" s="359"/>
      <c r="AL37" s="359"/>
      <c r="AM37" s="364"/>
      <c r="AN37" s="364"/>
      <c r="AO37" s="364"/>
      <c r="AP37" s="365"/>
      <c r="AQ37" s="629"/>
      <c r="AV37" s="625">
        <f>8</f>
        <v>8</v>
      </c>
      <c r="AW37" s="367"/>
      <c r="AX37" s="364"/>
      <c r="AY37" s="364"/>
      <c r="AZ37" s="364"/>
      <c r="BA37" s="364"/>
      <c r="BB37" s="365"/>
      <c r="BC37" s="629"/>
    </row>
    <row r="38" spans="1:58" x14ac:dyDescent="0.15">
      <c r="C38" s="625"/>
      <c r="D38" s="363"/>
      <c r="E38" s="538"/>
      <c r="F38" s="538"/>
      <c r="G38" s="485"/>
      <c r="H38" s="485"/>
      <c r="I38" s="537"/>
      <c r="J38" s="537"/>
      <c r="K38" s="537"/>
      <c r="L38" s="146"/>
      <c r="M38" s="553"/>
      <c r="N38" s="627"/>
      <c r="O38" s="627"/>
      <c r="P38" s="627"/>
      <c r="U38" s="640"/>
      <c r="V38" s="608"/>
      <c r="W38" s="538"/>
      <c r="X38" s="485"/>
      <c r="Y38" s="485"/>
      <c r="Z38" s="537"/>
      <c r="AA38" s="609"/>
      <c r="AB38" s="553"/>
      <c r="AH38" s="499"/>
      <c r="AI38" s="640"/>
      <c r="AJ38" s="363"/>
      <c r="AK38" s="538"/>
      <c r="AL38" s="538"/>
      <c r="AM38" s="485"/>
      <c r="AN38" s="485"/>
      <c r="AO38" s="537"/>
      <c r="AP38" s="609"/>
      <c r="AQ38" s="629"/>
      <c r="AV38" s="625"/>
      <c r="AW38" s="608"/>
      <c r="AX38" s="538"/>
      <c r="AY38" s="485"/>
      <c r="AZ38" s="485"/>
      <c r="BA38" s="537"/>
      <c r="BB38" s="609"/>
      <c r="BC38" s="629"/>
    </row>
    <row r="39" spans="1:58" x14ac:dyDescent="0.15">
      <c r="C39" s="625"/>
      <c r="D39" s="553" t="s">
        <v>632</v>
      </c>
      <c r="E39" s="485"/>
      <c r="F39" s="485"/>
      <c r="G39" s="485"/>
      <c r="H39" s="485"/>
      <c r="I39" s="485"/>
      <c r="J39" s="485"/>
      <c r="K39" s="485"/>
      <c r="L39" s="545"/>
      <c r="M39" s="553"/>
      <c r="N39" s="627"/>
      <c r="O39" s="627"/>
      <c r="P39" s="627"/>
      <c r="U39" s="640"/>
      <c r="V39" s="553" t="s">
        <v>630</v>
      </c>
      <c r="W39" s="485"/>
      <c r="X39" s="485"/>
      <c r="Y39" s="485"/>
      <c r="Z39" s="485"/>
      <c r="AA39" s="545"/>
      <c r="AB39" s="553"/>
      <c r="AH39" s="499"/>
      <c r="AI39" s="640"/>
      <c r="AJ39" s="553" t="s">
        <v>632</v>
      </c>
      <c r="AK39" s="485"/>
      <c r="AL39" s="485"/>
      <c r="AM39" s="485"/>
      <c r="AN39" s="485"/>
      <c r="AO39" s="485"/>
      <c r="AP39" s="545"/>
      <c r="AQ39" s="629"/>
      <c r="AV39" s="625"/>
      <c r="AW39" s="553" t="s">
        <v>630</v>
      </c>
      <c r="AX39" s="485"/>
      <c r="AY39" s="485"/>
      <c r="AZ39" s="485"/>
      <c r="BA39" s="485"/>
      <c r="BB39" s="545"/>
      <c r="BC39" s="629"/>
      <c r="BF39" s="115"/>
    </row>
    <row r="40" spans="1:58" x14ac:dyDescent="0.15">
      <c r="C40" s="625"/>
      <c r="D40" s="363"/>
      <c r="G40" s="72"/>
      <c r="H40" s="72"/>
      <c r="I40" s="72"/>
      <c r="J40" s="72"/>
      <c r="K40" s="72"/>
      <c r="L40" s="146"/>
      <c r="M40" s="553"/>
      <c r="N40" s="627"/>
      <c r="O40" s="627"/>
      <c r="P40" s="627"/>
      <c r="U40" s="640"/>
      <c r="V40" s="363"/>
      <c r="AA40" s="146"/>
      <c r="AB40" s="553"/>
      <c r="AH40" s="499"/>
      <c r="AI40" s="640"/>
      <c r="AJ40" s="363"/>
      <c r="AM40" s="72"/>
      <c r="AN40" s="72"/>
      <c r="AO40" s="72"/>
      <c r="AP40" s="146"/>
      <c r="AQ40" s="629"/>
      <c r="AV40" s="625"/>
      <c r="AW40" s="363"/>
      <c r="AX40" s="72"/>
      <c r="AY40" s="72"/>
      <c r="AZ40" s="72"/>
      <c r="BA40" s="72"/>
      <c r="BB40" s="146"/>
      <c r="BC40" s="629"/>
    </row>
    <row r="41" spans="1:58" x14ac:dyDescent="0.15">
      <c r="C41" s="625"/>
      <c r="D41" s="605">
        <v>0.54166666666666663</v>
      </c>
      <c r="E41" s="606"/>
      <c r="F41" s="606"/>
      <c r="G41" s="606"/>
      <c r="H41" s="606"/>
      <c r="I41" s="606"/>
      <c r="J41" s="606"/>
      <c r="K41" s="606"/>
      <c r="L41" s="607"/>
      <c r="M41" s="553"/>
      <c r="N41" s="627"/>
      <c r="O41" s="627"/>
      <c r="P41" s="627"/>
      <c r="U41" s="640"/>
      <c r="V41" s="605">
        <v>0.4375</v>
      </c>
      <c r="W41" s="606"/>
      <c r="X41" s="606"/>
      <c r="Y41" s="606"/>
      <c r="Z41" s="606"/>
      <c r="AA41" s="607"/>
      <c r="AB41" s="553"/>
      <c r="AH41" s="499"/>
      <c r="AI41" s="640"/>
      <c r="AJ41" s="605">
        <v>0.4375</v>
      </c>
      <c r="AK41" s="606"/>
      <c r="AL41" s="606"/>
      <c r="AM41" s="606"/>
      <c r="AN41" s="606"/>
      <c r="AO41" s="606"/>
      <c r="AP41" s="607"/>
      <c r="AQ41" s="629"/>
      <c r="AV41" s="625"/>
      <c r="AW41" s="605">
        <v>0.375</v>
      </c>
      <c r="AX41" s="606"/>
      <c r="AY41" s="606"/>
      <c r="AZ41" s="606"/>
      <c r="BA41" s="606"/>
      <c r="BB41" s="607"/>
      <c r="BC41" s="629"/>
      <c r="BF41" s="422">
        <v>0.375</v>
      </c>
    </row>
    <row r="42" spans="1:58" x14ac:dyDescent="0.15">
      <c r="C42" s="625"/>
      <c r="D42" s="363"/>
      <c r="E42" s="75"/>
      <c r="F42" s="75"/>
      <c r="G42" s="485"/>
      <c r="H42" s="485"/>
      <c r="I42" s="77"/>
      <c r="L42" s="146"/>
      <c r="M42" s="553"/>
      <c r="N42" s="627"/>
      <c r="O42" s="627"/>
      <c r="P42" s="627"/>
      <c r="U42" s="640"/>
      <c r="V42" s="374"/>
      <c r="W42" s="75"/>
      <c r="X42" s="485"/>
      <c r="Y42" s="485"/>
      <c r="Z42" s="537"/>
      <c r="AA42" s="609"/>
      <c r="AB42" s="553"/>
      <c r="AH42" s="499"/>
      <c r="AI42" s="640"/>
      <c r="AJ42" s="363"/>
      <c r="AK42" s="75"/>
      <c r="AL42" s="75"/>
      <c r="AM42" s="485"/>
      <c r="AN42" s="485"/>
      <c r="AO42" s="537"/>
      <c r="AP42" s="609"/>
      <c r="AQ42" s="629"/>
      <c r="AV42" s="625"/>
      <c r="AW42" s="374"/>
      <c r="AX42" s="75"/>
      <c r="AY42" s="485"/>
      <c r="AZ42" s="485"/>
      <c r="BA42" s="537"/>
      <c r="BB42" s="609"/>
      <c r="BC42" s="629"/>
      <c r="BF42" s="422">
        <v>0.4375</v>
      </c>
    </row>
    <row r="43" spans="1:58" x14ac:dyDescent="0.15">
      <c r="C43" s="625"/>
      <c r="D43" s="363"/>
      <c r="E43" s="538"/>
      <c r="F43" s="538"/>
      <c r="G43" s="485"/>
      <c r="H43" s="485"/>
      <c r="I43" s="537"/>
      <c r="J43" s="537"/>
      <c r="K43" s="537"/>
      <c r="L43" s="146"/>
      <c r="M43" s="553"/>
      <c r="N43" s="627"/>
      <c r="O43" s="627"/>
      <c r="P43" s="627"/>
      <c r="U43" s="640"/>
      <c r="V43" s="608"/>
      <c r="W43" s="538"/>
      <c r="X43" s="485"/>
      <c r="Y43" s="485"/>
      <c r="Z43" s="537"/>
      <c r="AA43" s="609"/>
      <c r="AB43" s="553"/>
      <c r="AH43" s="499"/>
      <c r="AI43" s="640"/>
      <c r="AJ43" s="363"/>
      <c r="AK43" s="538"/>
      <c r="AL43" s="538"/>
      <c r="AM43" s="485"/>
      <c r="AN43" s="485"/>
      <c r="AO43" s="537"/>
      <c r="AP43" s="609"/>
      <c r="AQ43" s="629"/>
      <c r="AV43" s="625"/>
      <c r="AW43" s="608"/>
      <c r="AX43" s="538"/>
      <c r="AY43" s="485"/>
      <c r="AZ43" s="485"/>
      <c r="BA43" s="537"/>
      <c r="BB43" s="609"/>
      <c r="BC43" s="629"/>
      <c r="BF43" s="422">
        <v>0.54166666666666663</v>
      </c>
    </row>
    <row r="44" spans="1:58" x14ac:dyDescent="0.15">
      <c r="C44" s="625"/>
      <c r="D44" s="363"/>
      <c r="L44" s="146"/>
      <c r="M44" s="553"/>
      <c r="U44" s="640"/>
      <c r="V44" s="363"/>
      <c r="AA44" s="146"/>
      <c r="AB44" s="553"/>
      <c r="AH44" s="499"/>
      <c r="AI44" s="640"/>
      <c r="AJ44" s="363"/>
      <c r="AP44" s="366"/>
      <c r="AQ44" s="629"/>
      <c r="AV44" s="625"/>
      <c r="AW44" s="368"/>
      <c r="BB44" s="366"/>
      <c r="BC44" s="629"/>
      <c r="BF44" s="127"/>
    </row>
    <row r="45" spans="1:58" x14ac:dyDescent="0.15">
      <c r="C45" s="625"/>
      <c r="D45" s="363"/>
      <c r="L45" s="146"/>
      <c r="M45" s="553"/>
      <c r="U45" s="640"/>
      <c r="V45" s="363"/>
      <c r="AA45" s="146"/>
      <c r="AB45" s="553"/>
      <c r="AH45" s="499"/>
      <c r="AI45" s="640"/>
      <c r="AJ45" s="363"/>
      <c r="AP45" s="366"/>
      <c r="AQ45" s="629"/>
      <c r="AV45" s="625"/>
      <c r="AW45" s="368"/>
      <c r="BB45" s="366"/>
      <c r="BC45" s="629"/>
    </row>
    <row r="46" spans="1:58" x14ac:dyDescent="0.15">
      <c r="C46" s="625"/>
      <c r="D46" s="363"/>
      <c r="J46" s="538" t="str">
        <f>IF(J50="","",SUM(J50:J53))</f>
        <v/>
      </c>
      <c r="K46" s="538"/>
      <c r="L46" s="146"/>
      <c r="M46" s="553"/>
      <c r="N46" s="537" t="str">
        <f>IF(N50="","",SUM(N50:N53))</f>
        <v/>
      </c>
      <c r="O46" s="537"/>
      <c r="P46" s="537"/>
      <c r="U46" s="640"/>
      <c r="V46" s="363"/>
      <c r="AA46" s="146"/>
      <c r="AB46" s="553"/>
      <c r="AH46" s="499"/>
      <c r="AI46" s="640"/>
      <c r="AJ46" s="363"/>
      <c r="AP46" s="366"/>
      <c r="AQ46" s="629"/>
      <c r="AV46" s="625"/>
      <c r="AW46" s="368"/>
      <c r="BB46" s="366"/>
      <c r="BC46" s="629"/>
    </row>
    <row r="47" spans="1:58" s="376" customFormat="1" hidden="1" x14ac:dyDescent="0.15">
      <c r="A47" s="375"/>
      <c r="C47" s="625"/>
      <c r="D47" s="377"/>
      <c r="E47" s="375"/>
      <c r="F47" s="375"/>
      <c r="G47" s="378"/>
      <c r="H47" s="379"/>
      <c r="I47" s="379"/>
      <c r="J47" s="614"/>
      <c r="K47" s="614"/>
      <c r="L47" s="380"/>
      <c r="M47" s="553"/>
      <c r="N47" s="615"/>
      <c r="O47" s="615"/>
      <c r="P47" s="615"/>
      <c r="Q47" s="375"/>
      <c r="R47" s="375"/>
      <c r="S47" s="378"/>
      <c r="T47" s="379"/>
      <c r="U47" s="640"/>
      <c r="V47" s="377"/>
      <c r="W47" s="375"/>
      <c r="X47" s="375"/>
      <c r="Y47" s="375"/>
      <c r="Z47" s="375"/>
      <c r="AA47" s="380"/>
      <c r="AB47" s="553"/>
      <c r="AC47" s="378"/>
      <c r="AD47" s="379"/>
      <c r="AE47" s="379"/>
      <c r="AF47" s="379"/>
      <c r="AG47" s="381"/>
      <c r="AH47" s="499"/>
      <c r="AI47" s="640"/>
      <c r="AJ47" s="377"/>
      <c r="AK47" s="375"/>
      <c r="AL47" s="375"/>
      <c r="AP47" s="382"/>
      <c r="AQ47" s="629"/>
      <c r="AR47" s="383"/>
      <c r="AV47" s="625"/>
      <c r="AW47" s="384"/>
      <c r="BB47" s="382"/>
      <c r="BC47" s="629"/>
    </row>
    <row r="48" spans="1:58" ht="6" customHeight="1" thickBot="1" x14ac:dyDescent="0.2">
      <c r="C48" s="625"/>
      <c r="D48" s="363"/>
      <c r="J48" s="556"/>
      <c r="K48" s="556"/>
      <c r="L48" s="557"/>
      <c r="M48" s="560"/>
      <c r="N48" s="556"/>
      <c r="O48" s="556"/>
      <c r="P48" s="556"/>
      <c r="U48" s="640"/>
      <c r="V48" s="363"/>
      <c r="AA48" s="146"/>
      <c r="AB48" s="553"/>
      <c r="AH48" s="499"/>
      <c r="AI48" s="640"/>
      <c r="AJ48" s="363"/>
      <c r="AP48" s="366"/>
      <c r="AQ48" s="629"/>
      <c r="AV48" s="625"/>
      <c r="AW48" s="368"/>
      <c r="BB48" s="366"/>
      <c r="BC48" s="629"/>
    </row>
    <row r="49" spans="1:148" ht="6" customHeight="1" thickTop="1" x14ac:dyDescent="0.15">
      <c r="C49" s="625"/>
      <c r="D49" s="363"/>
      <c r="H49" s="499">
        <f>2</f>
        <v>2</v>
      </c>
      <c r="I49" s="640"/>
      <c r="J49" s="358"/>
      <c r="K49" s="370"/>
      <c r="L49" s="359"/>
      <c r="M49" s="359"/>
      <c r="N49" s="359"/>
      <c r="O49" s="359"/>
      <c r="P49" s="360"/>
      <c r="Q49" s="553"/>
      <c r="R49" s="485"/>
      <c r="U49" s="640"/>
      <c r="V49" s="363"/>
      <c r="AA49" s="146"/>
      <c r="AB49" s="553"/>
      <c r="AH49" s="499"/>
      <c r="AI49" s="640"/>
      <c r="AJ49" s="363"/>
      <c r="AP49" s="366"/>
      <c r="AQ49" s="629"/>
      <c r="AV49" s="625"/>
      <c r="AW49" s="368"/>
      <c r="BB49" s="366"/>
      <c r="BC49" s="629"/>
    </row>
    <row r="50" spans="1:148" x14ac:dyDescent="0.15">
      <c r="C50" s="625"/>
      <c r="D50" s="363"/>
      <c r="H50" s="499"/>
      <c r="I50" s="640"/>
      <c r="J50" s="608"/>
      <c r="K50" s="538"/>
      <c r="L50" s="485"/>
      <c r="M50" s="485"/>
      <c r="N50" s="537"/>
      <c r="O50" s="537"/>
      <c r="P50" s="609"/>
      <c r="Q50" s="553"/>
      <c r="R50" s="485"/>
      <c r="U50" s="640"/>
      <c r="V50" s="363"/>
      <c r="AA50" s="146"/>
      <c r="AB50" s="553"/>
      <c r="AH50" s="499"/>
      <c r="AI50" s="640"/>
      <c r="AJ50" s="363"/>
      <c r="AP50" s="366"/>
      <c r="AQ50" s="629"/>
      <c r="AV50" s="625"/>
      <c r="AW50" s="368"/>
      <c r="BB50" s="366"/>
      <c r="BC50" s="629"/>
    </row>
    <row r="51" spans="1:148" x14ac:dyDescent="0.15">
      <c r="C51" s="625"/>
      <c r="D51" s="363"/>
      <c r="H51" s="499"/>
      <c r="I51" s="640"/>
      <c r="J51" s="553" t="s">
        <v>632</v>
      </c>
      <c r="K51" s="485"/>
      <c r="L51" s="485"/>
      <c r="M51" s="485"/>
      <c r="N51" s="485"/>
      <c r="O51" s="485"/>
      <c r="P51" s="545"/>
      <c r="Q51" s="553"/>
      <c r="R51" s="485"/>
      <c r="U51" s="640"/>
      <c r="V51" s="363"/>
      <c r="AA51" s="146"/>
      <c r="AB51" s="553"/>
      <c r="AH51" s="499"/>
      <c r="AI51" s="640"/>
      <c r="AJ51" s="363"/>
      <c r="AP51" s="366"/>
      <c r="AQ51" s="629"/>
      <c r="AV51" s="625"/>
      <c r="AW51" s="368"/>
      <c r="BB51" s="366"/>
      <c r="BC51" s="629"/>
    </row>
    <row r="52" spans="1:148" x14ac:dyDescent="0.2">
      <c r="C52" s="625"/>
      <c r="D52" s="363"/>
      <c r="H52" s="499"/>
      <c r="I52" s="640"/>
      <c r="J52" s="363"/>
      <c r="K52" s="72"/>
      <c r="P52" s="146"/>
      <c r="Q52" s="553"/>
      <c r="R52" s="485"/>
      <c r="U52" s="640"/>
      <c r="V52" s="363"/>
      <c r="AA52" s="146"/>
      <c r="AB52" s="553"/>
      <c r="AH52" s="499"/>
      <c r="AI52" s="640"/>
      <c r="AJ52" s="363"/>
      <c r="AP52" s="366"/>
      <c r="AQ52" s="629"/>
      <c r="AV52" s="625"/>
      <c r="AW52" s="368"/>
      <c r="BB52" s="366"/>
      <c r="BC52" s="629"/>
      <c r="BF52" s="124"/>
    </row>
    <row r="53" spans="1:148" x14ac:dyDescent="0.15">
      <c r="C53" s="625"/>
      <c r="D53" s="363"/>
      <c r="H53" s="499"/>
      <c r="I53" s="640"/>
      <c r="J53" s="605">
        <v>0.375</v>
      </c>
      <c r="K53" s="606"/>
      <c r="L53" s="606"/>
      <c r="M53" s="606"/>
      <c r="N53" s="606"/>
      <c r="O53" s="606"/>
      <c r="P53" s="607"/>
      <c r="Q53" s="553"/>
      <c r="R53" s="485"/>
      <c r="U53" s="640"/>
      <c r="V53" s="363"/>
      <c r="AA53" s="146"/>
      <c r="AB53" s="553"/>
      <c r="AH53" s="499"/>
      <c r="AI53" s="640"/>
      <c r="AJ53" s="363"/>
      <c r="AP53" s="366"/>
      <c r="AQ53" s="629"/>
      <c r="AV53" s="625"/>
      <c r="AW53" s="368"/>
      <c r="BB53" s="366"/>
      <c r="BC53" s="629"/>
    </row>
    <row r="54" spans="1:148" x14ac:dyDescent="0.15">
      <c r="C54" s="625"/>
      <c r="D54" s="363"/>
      <c r="H54" s="499"/>
      <c r="I54" s="640"/>
      <c r="J54" s="374"/>
      <c r="K54" s="75"/>
      <c r="L54" s="485" t="str">
        <f>IF(OR(SUM(J50:J53)&lt;&gt;SUM(N50:N53),J53=""),"","PK")</f>
        <v/>
      </c>
      <c r="M54" s="485"/>
      <c r="N54" s="77"/>
      <c r="O54" s="77"/>
      <c r="P54" s="372"/>
      <c r="Q54" s="553"/>
      <c r="R54" s="485"/>
      <c r="U54" s="640"/>
      <c r="V54" s="363"/>
      <c r="AA54" s="146"/>
      <c r="AB54" s="553"/>
      <c r="AH54" s="499"/>
      <c r="AI54" s="640"/>
      <c r="AJ54" s="363"/>
      <c r="AP54" s="366"/>
      <c r="AQ54" s="629"/>
      <c r="AV54" s="625"/>
      <c r="AW54" s="368"/>
      <c r="BB54" s="366"/>
      <c r="BC54" s="629"/>
      <c r="BF54" s="126"/>
    </row>
    <row r="55" spans="1:148" x14ac:dyDescent="0.15">
      <c r="C55" s="625"/>
      <c r="D55" s="363"/>
      <c r="H55" s="499"/>
      <c r="I55" s="640"/>
      <c r="J55" s="608"/>
      <c r="K55" s="538"/>
      <c r="L55" s="485" t="str">
        <f>IF(OR(SUM(J50:J53)&lt;&gt;SUM(N50:N53),J53=""),"","－")</f>
        <v/>
      </c>
      <c r="M55" s="485"/>
      <c r="N55" s="537"/>
      <c r="O55" s="537"/>
      <c r="P55" s="609"/>
      <c r="Q55" s="553"/>
      <c r="R55" s="485"/>
      <c r="U55" s="640"/>
      <c r="V55" s="363"/>
      <c r="AA55" s="146"/>
      <c r="AB55" s="553"/>
      <c r="AH55" s="499"/>
      <c r="AI55" s="640"/>
      <c r="AJ55" s="363"/>
      <c r="AP55" s="366"/>
      <c r="AQ55" s="629"/>
      <c r="AV55" s="625"/>
      <c r="AW55" s="368"/>
      <c r="BB55" s="366"/>
      <c r="BC55" s="629"/>
      <c r="BF55" s="76"/>
    </row>
    <row r="56" spans="1:148" x14ac:dyDescent="0.15">
      <c r="C56" s="625"/>
      <c r="D56" s="363"/>
      <c r="H56" s="499"/>
      <c r="I56" s="640"/>
      <c r="J56" s="361"/>
      <c r="P56" s="146"/>
      <c r="Q56" s="553"/>
      <c r="R56" s="485"/>
      <c r="U56" s="640"/>
      <c r="V56" s="363"/>
      <c r="AA56" s="146"/>
      <c r="AB56" s="553"/>
      <c r="AH56" s="499"/>
      <c r="AI56" s="640"/>
      <c r="AJ56" s="363"/>
      <c r="AP56" s="366"/>
      <c r="AQ56" s="629"/>
      <c r="AV56" s="625"/>
      <c r="AW56" s="368"/>
      <c r="BB56" s="366"/>
      <c r="BC56" s="629"/>
      <c r="BF56" s="114"/>
    </row>
    <row r="57" spans="1:148" x14ac:dyDescent="0.15">
      <c r="C57" s="625"/>
      <c r="D57" s="363"/>
      <c r="H57" s="499"/>
      <c r="I57" s="640"/>
      <c r="J57" s="361"/>
      <c r="P57" s="146"/>
      <c r="Q57" s="553"/>
      <c r="R57" s="485"/>
      <c r="U57" s="640"/>
      <c r="V57" s="363"/>
      <c r="AA57" s="146"/>
      <c r="AB57" s="553"/>
      <c r="AH57" s="499"/>
      <c r="AI57" s="640"/>
      <c r="AJ57" s="363"/>
      <c r="AP57" s="366"/>
      <c r="AQ57" s="629"/>
      <c r="AV57" s="625"/>
      <c r="AW57" s="368"/>
      <c r="BB57" s="366"/>
      <c r="BC57" s="629"/>
      <c r="BF57" s="76"/>
    </row>
    <row r="58" spans="1:148" x14ac:dyDescent="0.15">
      <c r="C58" s="625"/>
      <c r="D58" s="363"/>
      <c r="H58" s="499"/>
      <c r="I58" s="640"/>
      <c r="J58" s="361"/>
      <c r="P58" s="146"/>
      <c r="Q58" s="553"/>
      <c r="R58" s="485"/>
      <c r="U58" s="640"/>
      <c r="V58" s="363"/>
      <c r="AA58" s="146"/>
      <c r="AB58" s="553"/>
      <c r="AH58" s="499"/>
      <c r="AI58" s="640"/>
      <c r="AJ58" s="363"/>
      <c r="AP58" s="366"/>
      <c r="AQ58" s="629"/>
      <c r="AV58" s="625"/>
      <c r="AW58" s="368"/>
      <c r="BB58" s="366"/>
      <c r="BC58" s="629"/>
      <c r="BF58" s="76"/>
    </row>
    <row r="59" spans="1:148" s="105" customFormat="1" x14ac:dyDescent="0.15">
      <c r="A59" s="76"/>
      <c r="C59" s="626"/>
      <c r="D59" s="373"/>
      <c r="E59" s="76"/>
      <c r="F59" s="76"/>
      <c r="G59" s="76"/>
      <c r="H59" s="641"/>
      <c r="I59" s="642"/>
      <c r="J59" s="307"/>
      <c r="K59" s="76"/>
      <c r="L59" s="76"/>
      <c r="M59" s="76"/>
      <c r="N59" s="76"/>
      <c r="O59" s="637">
        <f>3</f>
        <v>3</v>
      </c>
      <c r="P59" s="638"/>
      <c r="Q59" s="643"/>
      <c r="R59" s="637"/>
      <c r="S59" s="76"/>
      <c r="T59" s="76"/>
      <c r="U59" s="642"/>
      <c r="V59" s="307"/>
      <c r="W59" s="76"/>
      <c r="X59" s="76"/>
      <c r="Y59" s="76"/>
      <c r="Z59" s="76"/>
      <c r="AA59" s="145">
        <f>5</f>
        <v>5</v>
      </c>
      <c r="AB59" s="643"/>
      <c r="AC59" s="76"/>
      <c r="AD59" s="76"/>
      <c r="AE59" s="76"/>
      <c r="AF59" s="76"/>
      <c r="AG59" s="76"/>
      <c r="AH59" s="641"/>
      <c r="AI59" s="642"/>
      <c r="AJ59" s="307"/>
      <c r="AK59" s="76"/>
      <c r="AL59" s="76"/>
      <c r="AP59" s="356">
        <f>7</f>
        <v>7</v>
      </c>
      <c r="AQ59" s="636"/>
      <c r="AV59" s="626"/>
      <c r="AW59" s="357"/>
      <c r="BB59" s="356">
        <f>9</f>
        <v>9</v>
      </c>
      <c r="BC59" s="636"/>
      <c r="BF59" s="76"/>
    </row>
    <row r="60" spans="1:148" s="407" customFormat="1" ht="113.25" customHeight="1" x14ac:dyDescent="0.15">
      <c r="C60" s="631" t="str">
        <f>IF(ISERROR(MATCH(C37,予選学校名!$H$3:$H$16,0)),"",INDEX(予選学校名!$H$3:$K$16,MATCH(C37,予選学校名!$H$3:$H$16,0),2))</f>
        <v>松任</v>
      </c>
      <c r="D60" s="632"/>
      <c r="H60" s="631" t="str">
        <f>IF(ISERROR(MATCH(H49,予選学校名!$H$3:$H$16,0)),"",INDEX(予選学校名!$H$3:$K$16,MATCH(H49,予選学校名!$H$3:$H$16,0),2))</f>
        <v>美川</v>
      </c>
      <c r="I60" s="633"/>
      <c r="J60" s="632"/>
      <c r="O60" s="631" t="str">
        <f>IF(ISERROR(MATCH(O59,予選学校名!$H$3:$H$16,0)),"",INDEX(予選学校名!$H$3:$K$16,MATCH(O59,予選学校名!$H$3:$H$16,0),2))</f>
        <v>光野･笠間</v>
      </c>
      <c r="P60" s="633"/>
      <c r="Q60" s="633"/>
      <c r="R60" s="632"/>
      <c r="U60" s="631" t="str">
        <f>IF(ISERROR(MATCH(U37,予選学校名!$H$3:$H$16,0)),"",INDEX(予選学校名!$H$3:$K$16,MATCH(U37,予選学校名!$H$3:$H$16,0),2))</f>
        <v>松陽･丸内</v>
      </c>
      <c r="V60" s="632"/>
      <c r="AA60" s="631" t="str">
        <f>IF(ISERROR(MATCH(AA59,予選学校名!$H$3:$H$16,0)),"",INDEX(予選学校名!$H$3:$K$16,MATCH(AA59,予選学校名!$H$3:$H$16,0),2))</f>
        <v>能美ＳＣ</v>
      </c>
      <c r="AB60" s="633"/>
      <c r="AC60" s="632"/>
      <c r="AH60" s="631" t="str">
        <f>IF(ISERROR(MATCH(AH37,予選学校名!$H$3:$H$16,0)),"",INDEX(予選学校名!$H$3:$K$16,MATCH(AH37,予選学校名!$H$3:$H$16,0),2))</f>
        <v>野々市</v>
      </c>
      <c r="AI60" s="633"/>
      <c r="AJ60" s="633"/>
      <c r="AK60" s="632"/>
      <c r="AP60" s="631" t="str">
        <f>IF(ISERROR(MATCH(AP59,予選学校名!$H$3:$H$16,0)),"",INDEX(予選学校名!$H$3:$K$16,MATCH(AP59,予選学校名!$H$3:$H$16,0),2))</f>
        <v>北辰</v>
      </c>
      <c r="AQ60" s="632"/>
      <c r="AV60" s="631" t="str">
        <f>IF(ISERROR(MATCH(AV37,予選学校名!$H$3:$H$16,0)),"",INDEX(予選学校名!$H$3:$K$16,MATCH(AV37,予選学校名!$H$3:$H$16,0),2))</f>
        <v>北星</v>
      </c>
      <c r="AW60" s="632"/>
      <c r="BB60" s="631" t="str">
        <f>IF(ISERROR(MATCH(BB59,予選学校名!$H$3:$H$16,0)),"",INDEX(予選学校名!$H$3:$K$16,MATCH(BB59,予選学校名!$H$3:$H$16,0),2))</f>
        <v>布水</v>
      </c>
      <c r="BC60" s="632"/>
      <c r="BF60" s="76"/>
    </row>
    <row r="61" spans="1:148" x14ac:dyDescent="0.15">
      <c r="BF61" s="76"/>
    </row>
    <row r="62" spans="1:148" s="76" customFormat="1" ht="30.75" customHeight="1" x14ac:dyDescent="0.2">
      <c r="N62" s="105"/>
      <c r="AZ62" s="521"/>
      <c r="BA62" s="521"/>
      <c r="BB62" s="521"/>
      <c r="BC62" s="521"/>
      <c r="BD62" s="144"/>
      <c r="BE62" s="144"/>
      <c r="BF62" s="123"/>
      <c r="BG62" s="144"/>
      <c r="BH62" s="144"/>
      <c r="BI62" s="144"/>
      <c r="BJ62" s="144"/>
      <c r="BK62" s="144"/>
      <c r="BL62" s="144"/>
      <c r="BM62" s="144"/>
      <c r="BN62" s="522"/>
      <c r="BO62" s="522"/>
      <c r="BP62" s="522"/>
      <c r="BQ62" s="522"/>
      <c r="BR62" s="522"/>
      <c r="BS62" s="522"/>
      <c r="BT62" s="522"/>
      <c r="BU62" s="522"/>
      <c r="BV62" s="522"/>
      <c r="BW62" s="522"/>
      <c r="BX62" s="522"/>
      <c r="BY62" s="522"/>
      <c r="BZ62" s="522"/>
      <c r="CA62" s="522"/>
      <c r="CB62" s="144"/>
      <c r="CC62" s="144"/>
      <c r="CD62" s="144"/>
      <c r="CE62" s="144"/>
      <c r="CF62" s="144"/>
      <c r="CG62" s="144"/>
      <c r="CH62" s="144"/>
      <c r="CI62" s="144"/>
      <c r="CJ62" s="144"/>
      <c r="CK62" s="144"/>
      <c r="DW62" s="105"/>
      <c r="ER62" s="75"/>
    </row>
    <row r="63" spans="1:148" s="105" customFormat="1" ht="15.75" customHeight="1" thickBot="1" x14ac:dyDescent="0.2">
      <c r="K63" s="617" t="s">
        <v>615</v>
      </c>
      <c r="L63" s="618"/>
      <c r="M63" s="618"/>
      <c r="N63" s="618"/>
      <c r="O63" s="618"/>
      <c r="P63" s="618"/>
      <c r="Q63" s="618"/>
      <c r="R63" s="618"/>
      <c r="S63" s="618"/>
      <c r="T63" s="618"/>
      <c r="U63" s="619"/>
      <c r="V63" s="518"/>
      <c r="W63" s="520"/>
      <c r="X63" s="520"/>
      <c r="Y63" s="520"/>
      <c r="Z63" s="520"/>
      <c r="AE63" s="628" t="str">
        <f>IF(AF65="","",SUM(AF65:AI70))</f>
        <v/>
      </c>
      <c r="AF63" s="628"/>
      <c r="AG63" s="628"/>
      <c r="AH63" s="628"/>
      <c r="AI63" s="628"/>
      <c r="AJ63" s="628"/>
      <c r="AK63" s="628"/>
      <c r="AL63" s="628"/>
      <c r="AM63" s="628"/>
      <c r="AN63" s="628"/>
      <c r="AO63" s="628"/>
      <c r="AP63" s="628"/>
      <c r="AQ63" s="623" t="s">
        <v>636</v>
      </c>
      <c r="AR63" s="623"/>
      <c r="AS63" s="623"/>
      <c r="AT63" s="623"/>
      <c r="AU63" s="623"/>
      <c r="AV63" s="623"/>
      <c r="AW63" s="623"/>
      <c r="AX63" s="623"/>
      <c r="AY63" s="623"/>
      <c r="AZ63" s="150"/>
      <c r="BA63" s="150"/>
      <c r="BB63" s="150"/>
      <c r="BC63" s="150"/>
      <c r="BD63" s="150"/>
      <c r="BE63" s="150"/>
      <c r="BF63" s="76"/>
      <c r="BG63" s="150"/>
      <c r="BH63" s="150"/>
      <c r="BO63" s="62"/>
    </row>
    <row r="64" spans="1:148" s="105" customFormat="1" ht="15" customHeight="1" thickTop="1" x14ac:dyDescent="0.15">
      <c r="K64" s="620"/>
      <c r="L64" s="621"/>
      <c r="M64" s="621"/>
      <c r="N64" s="621"/>
      <c r="O64" s="621"/>
      <c r="P64" s="621"/>
      <c r="Q64" s="621"/>
      <c r="R64" s="621"/>
      <c r="S64" s="621"/>
      <c r="T64" s="621"/>
      <c r="U64" s="622"/>
      <c r="V64" s="518"/>
      <c r="W64" s="520"/>
      <c r="X64" s="520"/>
      <c r="Y64" s="520"/>
      <c r="Z64" s="520"/>
      <c r="AD64" s="610"/>
      <c r="AE64" s="393"/>
      <c r="AF64" s="355"/>
      <c r="AG64" s="355"/>
      <c r="AH64" s="355"/>
      <c r="AI64" s="355"/>
      <c r="AJ64" s="355"/>
      <c r="AK64" s="355"/>
      <c r="AL64" s="355"/>
      <c r="AM64" s="355"/>
      <c r="AN64" s="355"/>
      <c r="AO64" s="355"/>
      <c r="AP64" s="355"/>
      <c r="AQ64" s="623"/>
      <c r="AR64" s="623"/>
      <c r="AS64" s="623"/>
      <c r="AT64" s="623"/>
      <c r="AU64" s="623"/>
      <c r="AV64" s="623"/>
      <c r="AW64" s="623"/>
      <c r="AX64" s="623"/>
      <c r="AY64" s="623"/>
      <c r="AZ64" s="150"/>
      <c r="BA64" s="150"/>
      <c r="BB64" s="150"/>
      <c r="BC64" s="150"/>
      <c r="BD64" s="150"/>
      <c r="BE64" s="150"/>
      <c r="BF64" s="126"/>
      <c r="BG64" s="150"/>
      <c r="BH64" s="150"/>
      <c r="BO64" s="62"/>
    </row>
    <row r="65" spans="20:67" s="105" customFormat="1" x14ac:dyDescent="0.15">
      <c r="AD65" s="610"/>
      <c r="AE65" s="357"/>
      <c r="AF65" s="500"/>
      <c r="AG65" s="500"/>
      <c r="AH65" s="500"/>
      <c r="AI65" s="500"/>
      <c r="AJ65" s="485"/>
      <c r="AK65" s="485"/>
      <c r="AL65" s="498"/>
      <c r="AM65" s="498"/>
      <c r="AN65" s="498"/>
      <c r="AO65" s="498"/>
      <c r="BF65" s="140"/>
      <c r="BO65" s="62"/>
    </row>
    <row r="66" spans="20:67" s="105" customFormat="1" x14ac:dyDescent="0.15">
      <c r="AA66" s="504" t="str">
        <f>IF(AF65="","",SUM(AF65:AI68))</f>
        <v/>
      </c>
      <c r="AB66" s="504"/>
      <c r="AC66" s="504"/>
      <c r="AD66" s="610"/>
      <c r="AE66" s="590" t="s">
        <v>633</v>
      </c>
      <c r="AF66" s="588"/>
      <c r="AG66" s="588"/>
      <c r="AH66" s="588"/>
      <c r="AI66" s="588"/>
      <c r="AJ66" s="588"/>
      <c r="AK66" s="588"/>
      <c r="AL66" s="588"/>
      <c r="AM66" s="588"/>
      <c r="AN66" s="588"/>
      <c r="AO66" s="588"/>
      <c r="AP66" s="588"/>
      <c r="BF66" s="409"/>
      <c r="BO66" s="62"/>
    </row>
    <row r="67" spans="20:67" s="105" customFormat="1" ht="15" thickBot="1" x14ac:dyDescent="0.2">
      <c r="T67" s="616" t="str">
        <f>IF(AE63=AE72,"",IF(AE63&gt;AE72,AQ63,AQ71))</f>
        <v/>
      </c>
      <c r="U67" s="616"/>
      <c r="V67" s="616"/>
      <c r="W67" s="616"/>
      <c r="X67" s="616"/>
      <c r="Y67" s="616"/>
      <c r="Z67" s="616"/>
      <c r="AA67" s="611"/>
      <c r="AB67" s="611"/>
      <c r="AC67" s="611"/>
      <c r="AD67" s="612"/>
      <c r="AE67" s="357"/>
      <c r="AF67" s="500"/>
      <c r="AG67" s="500"/>
      <c r="AH67" s="500"/>
      <c r="AI67" s="500"/>
      <c r="AJ67" s="485"/>
      <c r="AK67" s="485"/>
      <c r="AL67" s="498"/>
      <c r="AM67" s="498"/>
      <c r="AN67" s="498"/>
      <c r="AO67" s="498"/>
      <c r="BO67" s="62"/>
    </row>
    <row r="68" spans="20:67" s="105" customFormat="1" ht="15" thickTop="1" x14ac:dyDescent="0.15">
      <c r="T68" s="616"/>
      <c r="U68" s="616"/>
      <c r="V68" s="616"/>
      <c r="W68" s="616"/>
      <c r="X68" s="616"/>
      <c r="Y68" s="616"/>
      <c r="Z68" s="616"/>
      <c r="AD68" s="610"/>
      <c r="AE68" s="357"/>
      <c r="AF68" s="645">
        <v>0.54166666666666663</v>
      </c>
      <c r="AG68" s="645"/>
      <c r="AH68" s="645"/>
      <c r="AI68" s="645"/>
      <c r="AJ68" s="645"/>
      <c r="AK68" s="645"/>
      <c r="AL68" s="645"/>
      <c r="AM68" s="645"/>
      <c r="AN68" s="645"/>
      <c r="AO68" s="645"/>
      <c r="AP68" s="645"/>
      <c r="BO68" s="62"/>
    </row>
    <row r="69" spans="20:67" s="105" customFormat="1" x14ac:dyDescent="0.2">
      <c r="AA69" s="504" t="str">
        <f>IF(AL65="","",SUM(AL65:AO68))</f>
        <v/>
      </c>
      <c r="AB69" s="504"/>
      <c r="AC69" s="504"/>
      <c r="AD69" s="610"/>
      <c r="AE69" s="357"/>
      <c r="AF69" s="72"/>
      <c r="AG69" s="72"/>
      <c r="AH69" s="72"/>
      <c r="AJ69" s="499"/>
      <c r="AK69" s="499"/>
      <c r="AL69" s="133"/>
      <c r="AM69" s="72"/>
      <c r="AN69" s="72"/>
      <c r="AO69" s="72"/>
      <c r="BF69" s="76"/>
      <c r="BO69" s="62"/>
    </row>
    <row r="70" spans="20:67" s="105" customFormat="1" x14ac:dyDescent="0.15">
      <c r="AD70" s="610"/>
      <c r="AE70" s="357"/>
      <c r="AF70" s="500"/>
      <c r="AG70" s="500"/>
      <c r="AH70" s="500"/>
      <c r="AI70" s="500"/>
      <c r="AJ70" s="485" t="str">
        <f>IF(OR(SUM(AF65:AF68)&lt;&gt;SUM(AL65:AL68),AF68=""),"","－")</f>
        <v/>
      </c>
      <c r="AK70" s="485"/>
      <c r="AL70" s="498"/>
      <c r="AM70" s="498"/>
      <c r="AN70" s="498"/>
      <c r="AO70" s="498"/>
      <c r="BF70" s="76"/>
      <c r="BO70" s="62"/>
    </row>
    <row r="71" spans="20:67" s="105" customFormat="1" ht="15" customHeight="1" thickBot="1" x14ac:dyDescent="0.2">
      <c r="AD71" s="610"/>
      <c r="AE71" s="387"/>
      <c r="AF71" s="388"/>
      <c r="AG71" s="388"/>
      <c r="AH71" s="388"/>
      <c r="AI71" s="388"/>
      <c r="AJ71" s="388"/>
      <c r="AK71" s="388"/>
      <c r="AL71" s="388"/>
      <c r="AM71" s="388"/>
      <c r="AN71" s="388"/>
      <c r="AO71" s="388"/>
      <c r="AP71" s="388"/>
      <c r="AQ71" s="623" t="s">
        <v>637</v>
      </c>
      <c r="AR71" s="623"/>
      <c r="AS71" s="623"/>
      <c r="AT71" s="623"/>
      <c r="AU71" s="623"/>
      <c r="AV71" s="623"/>
      <c r="AW71" s="623"/>
      <c r="AX71" s="623"/>
      <c r="AY71" s="623"/>
      <c r="AZ71" s="150"/>
      <c r="BA71" s="150"/>
      <c r="BB71" s="150"/>
      <c r="BC71" s="150"/>
      <c r="BD71" s="150"/>
      <c r="BE71" s="150"/>
      <c r="BF71" s="76"/>
      <c r="BG71" s="150"/>
      <c r="BH71" s="150"/>
      <c r="BO71" s="62"/>
    </row>
    <row r="72" spans="20:67" s="105" customFormat="1" ht="15.75" customHeight="1" thickTop="1" x14ac:dyDescent="0.15">
      <c r="AE72" s="624" t="str">
        <f>IF(AL65="","",SUM(AL65:AO70))</f>
        <v/>
      </c>
      <c r="AF72" s="624"/>
      <c r="AG72" s="624"/>
      <c r="AH72" s="624"/>
      <c r="AI72" s="624"/>
      <c r="AJ72" s="624"/>
      <c r="AK72" s="624"/>
      <c r="AL72" s="624"/>
      <c r="AM72" s="624"/>
      <c r="AN72" s="624"/>
      <c r="AO72" s="624"/>
      <c r="AP72" s="624"/>
      <c r="AQ72" s="623"/>
      <c r="AR72" s="623"/>
      <c r="AS72" s="623"/>
      <c r="AT72" s="623"/>
      <c r="AU72" s="623"/>
      <c r="AV72" s="623"/>
      <c r="AW72" s="623"/>
      <c r="AX72" s="623"/>
      <c r="AY72" s="623"/>
      <c r="AZ72" s="150"/>
      <c r="BA72" s="150"/>
      <c r="BB72" s="150"/>
      <c r="BC72" s="150"/>
      <c r="BD72" s="150"/>
      <c r="BE72" s="150"/>
      <c r="BG72" s="150"/>
      <c r="BH72" s="150"/>
      <c r="BO72" s="62"/>
    </row>
    <row r="73" spans="20:67" s="105" customFormat="1" x14ac:dyDescent="0.15">
      <c r="BD73" s="62"/>
    </row>
  </sheetData>
  <mergeCells count="205">
    <mergeCell ref="G5:J5"/>
    <mergeCell ref="L5:AG5"/>
    <mergeCell ref="AI5:AO5"/>
    <mergeCell ref="L6:AG6"/>
    <mergeCell ref="AI6:AO6"/>
    <mergeCell ref="BA6:BB6"/>
    <mergeCell ref="G3:J3"/>
    <mergeCell ref="L3:AG3"/>
    <mergeCell ref="AI3:AO3"/>
    <mergeCell ref="G4:J4"/>
    <mergeCell ref="L4:AG4"/>
    <mergeCell ref="AI4:AO4"/>
    <mergeCell ref="H24:O24"/>
    <mergeCell ref="Q24:X24"/>
    <mergeCell ref="AN24:AS24"/>
    <mergeCell ref="Q8:T8"/>
    <mergeCell ref="U8:AO8"/>
    <mergeCell ref="AC9:AC12"/>
    <mergeCell ref="AA10:AB10"/>
    <mergeCell ref="AE10:AG10"/>
    <mergeCell ref="AA11:AB11"/>
    <mergeCell ref="AE11:AG11"/>
    <mergeCell ref="Q12:AB12"/>
    <mergeCell ref="AD12:AS12"/>
    <mergeCell ref="AU22:AW22"/>
    <mergeCell ref="N23:O23"/>
    <mergeCell ref="R23:T23"/>
    <mergeCell ref="AQ23:AR23"/>
    <mergeCell ref="AU23:AW23"/>
    <mergeCell ref="AC18:AD18"/>
    <mergeCell ref="AA19:AB19"/>
    <mergeCell ref="AC19:AD19"/>
    <mergeCell ref="AE19:AG19"/>
    <mergeCell ref="N22:O22"/>
    <mergeCell ref="R22:T22"/>
    <mergeCell ref="AU13:AV19"/>
    <mergeCell ref="AA16:AB16"/>
    <mergeCell ref="AC16:AD16"/>
    <mergeCell ref="AE16:AG16"/>
    <mergeCell ref="M13:O19"/>
    <mergeCell ref="P13:P24"/>
    <mergeCell ref="AT13:AT24"/>
    <mergeCell ref="AA14:AB14"/>
    <mergeCell ref="AC14:AD14"/>
    <mergeCell ref="AE14:AG14"/>
    <mergeCell ref="Q17:AS17"/>
    <mergeCell ref="Q15:AS15"/>
    <mergeCell ref="AQ22:AR22"/>
    <mergeCell ref="AU24:AY24"/>
    <mergeCell ref="E25:F32"/>
    <mergeCell ref="G25:G36"/>
    <mergeCell ref="Y25:Y36"/>
    <mergeCell ref="Z25:AA32"/>
    <mergeCell ref="AJ25:AL32"/>
    <mergeCell ref="AM25:AM36"/>
    <mergeCell ref="AN31:AY31"/>
    <mergeCell ref="AN29:AY29"/>
    <mergeCell ref="H31:X31"/>
    <mergeCell ref="H29:X29"/>
    <mergeCell ref="M30:O30"/>
    <mergeCell ref="P30:Q30"/>
    <mergeCell ref="R30:S30"/>
    <mergeCell ref="AQ30:AR30"/>
    <mergeCell ref="AS30:AT30"/>
    <mergeCell ref="AU30:AV30"/>
    <mergeCell ref="E34:F34"/>
    <mergeCell ref="I34:K34"/>
    <mergeCell ref="V34:W34"/>
    <mergeCell ref="Z34:AB34"/>
    <mergeCell ref="AK34:AL34"/>
    <mergeCell ref="AO34:AQ34"/>
    <mergeCell ref="M32:O32"/>
    <mergeCell ref="P32:Q32"/>
    <mergeCell ref="R32:S32"/>
    <mergeCell ref="AS32:AT32"/>
    <mergeCell ref="AU32:AV32"/>
    <mergeCell ref="AW34:AX34"/>
    <mergeCell ref="BA34:BC34"/>
    <mergeCell ref="E35:F35"/>
    <mergeCell ref="I35:K35"/>
    <mergeCell ref="V35:W35"/>
    <mergeCell ref="Z35:AB35"/>
    <mergeCell ref="AK35:AL35"/>
    <mergeCell ref="AO35:AQ35"/>
    <mergeCell ref="AW35:AX35"/>
    <mergeCell ref="BA35:BC35"/>
    <mergeCell ref="AZ25:AZ36"/>
    <mergeCell ref="BA25:BB32"/>
    <mergeCell ref="M26:O26"/>
    <mergeCell ref="P26:Q26"/>
    <mergeCell ref="R26:S26"/>
    <mergeCell ref="AQ26:AR26"/>
    <mergeCell ref="AS26:AT26"/>
    <mergeCell ref="AU26:AV26"/>
    <mergeCell ref="AW36:AY36"/>
    <mergeCell ref="BA36:BB36"/>
    <mergeCell ref="C37:C59"/>
    <mergeCell ref="M37:M48"/>
    <mergeCell ref="N37:P43"/>
    <mergeCell ref="U37:U59"/>
    <mergeCell ref="AB37:AB59"/>
    <mergeCell ref="AH37:AI59"/>
    <mergeCell ref="AQ37:AQ59"/>
    <mergeCell ref="AV37:AV59"/>
    <mergeCell ref="D36:F36"/>
    <mergeCell ref="H36:L36"/>
    <mergeCell ref="V36:X36"/>
    <mergeCell ref="Z36:AA36"/>
    <mergeCell ref="AJ36:AL36"/>
    <mergeCell ref="AN36:AP36"/>
    <mergeCell ref="G42:H42"/>
    <mergeCell ref="X42:Y42"/>
    <mergeCell ref="Z42:AA42"/>
    <mergeCell ref="AM42:AN42"/>
    <mergeCell ref="AO42:AP42"/>
    <mergeCell ref="J46:K46"/>
    <mergeCell ref="N46:P46"/>
    <mergeCell ref="J47:K47"/>
    <mergeCell ref="N47:P47"/>
    <mergeCell ref="J48:L48"/>
    <mergeCell ref="AW39:BB39"/>
    <mergeCell ref="AJ41:AP41"/>
    <mergeCell ref="AJ39:AP39"/>
    <mergeCell ref="V41:AA41"/>
    <mergeCell ref="V39:AA39"/>
    <mergeCell ref="D41:L41"/>
    <mergeCell ref="D39:L39"/>
    <mergeCell ref="AW38:AX38"/>
    <mergeCell ref="AY38:AZ38"/>
    <mergeCell ref="BA38:BB38"/>
    <mergeCell ref="E38:F38"/>
    <mergeCell ref="G38:H38"/>
    <mergeCell ref="I38:K38"/>
    <mergeCell ref="V38:W38"/>
    <mergeCell ref="X38:Y38"/>
    <mergeCell ref="Z38:AA38"/>
    <mergeCell ref="AK38:AL38"/>
    <mergeCell ref="AM38:AN38"/>
    <mergeCell ref="AO38:AP38"/>
    <mergeCell ref="AY43:AZ43"/>
    <mergeCell ref="BA43:BB43"/>
    <mergeCell ref="E43:F43"/>
    <mergeCell ref="G43:H43"/>
    <mergeCell ref="I43:K43"/>
    <mergeCell ref="V43:W43"/>
    <mergeCell ref="X43:Y43"/>
    <mergeCell ref="Z43:AA43"/>
    <mergeCell ref="AW41:BB41"/>
    <mergeCell ref="C60:D60"/>
    <mergeCell ref="H60:J60"/>
    <mergeCell ref="O60:R60"/>
    <mergeCell ref="U60:V60"/>
    <mergeCell ref="AA60:AC60"/>
    <mergeCell ref="Q49:R59"/>
    <mergeCell ref="BC37:BC59"/>
    <mergeCell ref="N48:P48"/>
    <mergeCell ref="AK43:AL43"/>
    <mergeCell ref="AM43:AN43"/>
    <mergeCell ref="AO43:AP43"/>
    <mergeCell ref="L54:M54"/>
    <mergeCell ref="J55:K55"/>
    <mergeCell ref="L55:M55"/>
    <mergeCell ref="N55:P55"/>
    <mergeCell ref="H49:I59"/>
    <mergeCell ref="J50:K50"/>
    <mergeCell ref="L50:M50"/>
    <mergeCell ref="N50:P50"/>
    <mergeCell ref="J53:P53"/>
    <mergeCell ref="J51:P51"/>
    <mergeCell ref="AY42:AZ42"/>
    <mergeCell ref="BA42:BB42"/>
    <mergeCell ref="AW43:AX43"/>
    <mergeCell ref="AE66:AP66"/>
    <mergeCell ref="V63:Z64"/>
    <mergeCell ref="AH60:AK60"/>
    <mergeCell ref="AP60:AQ60"/>
    <mergeCell ref="AV60:AW60"/>
    <mergeCell ref="BB60:BC60"/>
    <mergeCell ref="AZ62:BC62"/>
    <mergeCell ref="BN62:CA62"/>
    <mergeCell ref="O59:P59"/>
    <mergeCell ref="AN27:AY27"/>
    <mergeCell ref="H27:X27"/>
    <mergeCell ref="AA69:AC69"/>
    <mergeCell ref="AJ69:AK69"/>
    <mergeCell ref="AF70:AI70"/>
    <mergeCell ref="AJ70:AK70"/>
    <mergeCell ref="AL70:AO70"/>
    <mergeCell ref="AQ71:AY72"/>
    <mergeCell ref="AE72:AP72"/>
    <mergeCell ref="T67:Z68"/>
    <mergeCell ref="AA67:AD67"/>
    <mergeCell ref="AF67:AI67"/>
    <mergeCell ref="AJ67:AK67"/>
    <mergeCell ref="AL67:AO67"/>
    <mergeCell ref="AD68:AD71"/>
    <mergeCell ref="AF68:AP68"/>
    <mergeCell ref="K63:U64"/>
    <mergeCell ref="AE63:AP63"/>
    <mergeCell ref="AQ63:AY64"/>
    <mergeCell ref="AD64:AD66"/>
    <mergeCell ref="AF65:AI65"/>
    <mergeCell ref="AJ65:AK65"/>
    <mergeCell ref="AL65:AO65"/>
    <mergeCell ref="AA66:AC66"/>
  </mergeCells>
  <phoneticPr fontId="2"/>
  <conditionalFormatting sqref="C37:C59">
    <cfRule type="expression" dxfId="119" priority="47">
      <formula>$E$35&lt;=$I$35</formula>
    </cfRule>
  </conditionalFormatting>
  <conditionalFormatting sqref="D36:F36">
    <cfRule type="expression" dxfId="118" priority="20">
      <formula>$E$35&lt;=$I$35</formula>
    </cfRule>
  </conditionalFormatting>
  <conditionalFormatting sqref="G25:G36">
    <cfRule type="expression" dxfId="117" priority="524">
      <formula>$E$35=$I$35</formula>
    </cfRule>
    <cfRule type="expression" dxfId="116" priority="523">
      <formula>$E$35&lt;$I$35</formula>
    </cfRule>
  </conditionalFormatting>
  <conditionalFormatting sqref="H49:I59">
    <cfRule type="expression" dxfId="115" priority="46">
      <formula>$J$47&lt;=$N$47</formula>
    </cfRule>
  </conditionalFormatting>
  <conditionalFormatting sqref="H36:L36">
    <cfRule type="expression" dxfId="114" priority="19">
      <formula>$I$35&lt;=$E$35</formula>
    </cfRule>
  </conditionalFormatting>
  <conditionalFormatting sqref="H24:O24">
    <cfRule type="expression" dxfId="113" priority="12">
      <formula>$N$23&lt;=$R$23</formula>
    </cfRule>
  </conditionalFormatting>
  <conditionalFormatting sqref="J48:L48">
    <cfRule type="expression" dxfId="112" priority="22">
      <formula>$J$47&lt;=$N$47</formula>
    </cfRule>
  </conditionalFormatting>
  <conditionalFormatting sqref="M37:M48">
    <cfRule type="expression" dxfId="111" priority="44">
      <formula>$N$47=$J$47</formula>
    </cfRule>
    <cfRule type="expression" dxfId="110" priority="37">
      <formula>$N$47&lt;$J$47</formula>
    </cfRule>
  </conditionalFormatting>
  <conditionalFormatting sqref="N48:P48">
    <cfRule type="expression" dxfId="109" priority="21">
      <formula>$N$47&lt;=$J$47</formula>
    </cfRule>
  </conditionalFormatting>
  <conditionalFormatting sqref="P13:P24">
    <cfRule type="expression" dxfId="108" priority="28">
      <formula>$N$23=$R$23</formula>
    </cfRule>
    <cfRule type="expression" dxfId="107" priority="27">
      <formula>$N$23&lt;$R$23</formula>
    </cfRule>
  </conditionalFormatting>
  <conditionalFormatting sqref="Q49:R59">
    <cfRule type="expression" dxfId="106" priority="43">
      <formula>$N$47&lt;=$J$47</formula>
    </cfRule>
  </conditionalFormatting>
  <conditionalFormatting sqref="Q24:X24">
    <cfRule type="expression" dxfId="105" priority="11">
      <formula>$R$23&lt;=$N$23</formula>
    </cfRule>
  </conditionalFormatting>
  <conditionalFormatting sqref="Q12:AB12">
    <cfRule type="expression" dxfId="104" priority="8">
      <formula>$AA$11&lt;=$AE$11</formula>
    </cfRule>
  </conditionalFormatting>
  <conditionalFormatting sqref="U37:U59">
    <cfRule type="expression" dxfId="103" priority="45">
      <formula>$V$35&lt;=$Z$35</formula>
    </cfRule>
  </conditionalFormatting>
  <conditionalFormatting sqref="V36:X36">
    <cfRule type="expression" dxfId="102" priority="18">
      <formula>$V$35&lt;=$Z$35</formula>
    </cfRule>
  </conditionalFormatting>
  <conditionalFormatting sqref="Y25:Y36">
    <cfRule type="expression" dxfId="101" priority="527">
      <formula>$Z$35&lt;$V$35</formula>
    </cfRule>
    <cfRule type="expression" dxfId="100" priority="528">
      <formula>$Z$35=$V$35</formula>
    </cfRule>
  </conditionalFormatting>
  <conditionalFormatting sqref="Z36:AA36">
    <cfRule type="expression" dxfId="99" priority="17">
      <formula>$Z$35&lt;=$V$35</formula>
    </cfRule>
  </conditionalFormatting>
  <conditionalFormatting sqref="AA67:AD67">
    <cfRule type="expression" dxfId="98" priority="1">
      <formula>$AE$63&lt;$AE$72</formula>
    </cfRule>
    <cfRule type="expression" dxfId="97" priority="2">
      <formula>$AE$63=$AE$72</formula>
    </cfRule>
  </conditionalFormatting>
  <conditionalFormatting sqref="AB37:AB59">
    <cfRule type="expression" dxfId="96" priority="42">
      <formula>$Z$35&lt;=$V$35</formula>
    </cfRule>
  </conditionalFormatting>
  <conditionalFormatting sqref="AC9:AC12">
    <cfRule type="expression" dxfId="95" priority="23">
      <formula>$AA$11&lt;$AE$11</formula>
    </cfRule>
    <cfRule type="expression" dxfId="94" priority="24">
      <formula>$AA$11=$AE$11</formula>
    </cfRule>
  </conditionalFormatting>
  <conditionalFormatting sqref="AD64:AD66">
    <cfRule type="expression" dxfId="93" priority="4">
      <formula>$AE$63&lt;=$AE$72</formula>
    </cfRule>
  </conditionalFormatting>
  <conditionalFormatting sqref="AD68:AD71">
    <cfRule type="expression" dxfId="92" priority="3">
      <formula>$AE$72&lt;=$AE$63</formula>
    </cfRule>
  </conditionalFormatting>
  <conditionalFormatting sqref="AD12:AS12">
    <cfRule type="expression" dxfId="91" priority="7">
      <formula>$AE$11&lt;=$AA$11</formula>
    </cfRule>
  </conditionalFormatting>
  <conditionalFormatting sqref="AE63">
    <cfRule type="expression" dxfId="90" priority="48">
      <formula>#REF!&gt;=$DH$78</formula>
    </cfRule>
  </conditionalFormatting>
  <conditionalFormatting sqref="AE72">
    <cfRule type="expression" dxfId="89" priority="49">
      <formula>$DH$78&gt;=#REF!</formula>
    </cfRule>
  </conditionalFormatting>
  <conditionalFormatting sqref="AE63:AP63">
    <cfRule type="expression" dxfId="88" priority="6">
      <formula>$AE$63&lt;=$AE$72</formula>
    </cfRule>
  </conditionalFormatting>
  <conditionalFormatting sqref="AE72:AP72">
    <cfRule type="expression" dxfId="87" priority="5">
      <formula>$AE$72&lt;=$AE$63</formula>
    </cfRule>
  </conditionalFormatting>
  <conditionalFormatting sqref="AH37:AI59">
    <cfRule type="expression" dxfId="86" priority="41">
      <formula>$AK$35&lt;=$AO$35</formula>
    </cfRule>
  </conditionalFormatting>
  <conditionalFormatting sqref="AJ36:AL36">
    <cfRule type="expression" dxfId="85" priority="16">
      <formula>$AK$35&lt;=$AO$35</formula>
    </cfRule>
  </conditionalFormatting>
  <conditionalFormatting sqref="AM25:AM36">
    <cfRule type="expression" dxfId="84" priority="531">
      <formula>$AK$35&lt;$AO$35</formula>
    </cfRule>
    <cfRule type="expression" dxfId="83" priority="532">
      <formula>$AK$35=$AO$35</formula>
    </cfRule>
  </conditionalFormatting>
  <conditionalFormatting sqref="AN36:AP36">
    <cfRule type="expression" dxfId="82" priority="15">
      <formula>$AO$35&lt;=$AK$35</formula>
    </cfRule>
  </conditionalFormatting>
  <conditionalFormatting sqref="AN24:AS24">
    <cfRule type="expression" dxfId="81" priority="10">
      <formula>$AQ$23&lt;=$AU$23</formula>
    </cfRule>
  </conditionalFormatting>
  <conditionalFormatting sqref="AQ37:AQ59">
    <cfRule type="expression" dxfId="80" priority="40">
      <formula>$AO$35&lt;=$AK$35</formula>
    </cfRule>
  </conditionalFormatting>
  <conditionalFormatting sqref="AT13:AT24">
    <cfRule type="expression" dxfId="79" priority="26">
      <formula>$AU$23=$AQ$23</formula>
    </cfRule>
    <cfRule type="expression" dxfId="78" priority="25">
      <formula>$AU$23&lt;$AQ$23</formula>
    </cfRule>
  </conditionalFormatting>
  <conditionalFormatting sqref="AU24:AY24">
    <cfRule type="expression" dxfId="77" priority="9">
      <formula>$AU$23&lt;=$AQ$23</formula>
    </cfRule>
  </conditionalFormatting>
  <conditionalFormatting sqref="AV37:AV59">
    <cfRule type="expression" dxfId="76" priority="39">
      <formula>$AW$35&lt;=$BA$35</formula>
    </cfRule>
  </conditionalFormatting>
  <conditionalFormatting sqref="AW36:AY36">
    <cfRule type="expression" dxfId="75" priority="14">
      <formula>$AW$35&lt;=$BA$35</formula>
    </cfRule>
  </conditionalFormatting>
  <conditionalFormatting sqref="AZ25:AZ36">
    <cfRule type="expression" dxfId="74" priority="535">
      <formula>$BA$35&lt;$AW$35</formula>
    </cfRule>
    <cfRule type="expression" dxfId="73" priority="536">
      <formula>$BA$35=$AW$35</formula>
    </cfRule>
  </conditionalFormatting>
  <conditionalFormatting sqref="BA36:BB36">
    <cfRule type="expression" dxfId="72" priority="13">
      <formula>$BA$35&lt;=$AW$35</formula>
    </cfRule>
  </conditionalFormatting>
  <conditionalFormatting sqref="BC37:BC59">
    <cfRule type="expression" dxfId="71" priority="38">
      <formula>$BA$35&lt;=$AW$35</formula>
    </cfRule>
  </conditionalFormatting>
  <dataValidations count="2">
    <dataValidation type="list" allowBlank="1" showInputMessage="1" showErrorMessage="1" sqref="AE66:AP66 Q15:AS15 H29:X29 AN29:AY29 AW39:BB39 AJ39:AP39 V39:AA39 D39:L39 J51:P51" xr:uid="{DCEF059E-4D9B-41EB-9F7D-6E530C254C74}">
      <formula1>$BF$17:$BF$23</formula1>
    </dataValidation>
    <dataValidation type="list" allowBlank="1" showInputMessage="1" showErrorMessage="1" sqref="J53:P53 D41:L41 V41:AA41 AJ41:AP41 AW41:BB41 AN31:AY31 H31:X31 Q17:AS17 AF68:AP68" xr:uid="{793D00F1-97F4-4BBB-AFAE-361B235EF43D}">
      <formula1>$BF$41:$BF$46</formula1>
    </dataValidation>
  </dataValidations>
  <printOptions horizontalCentered="1"/>
  <pageMargins left="0.39370078740157483" right="0.39370078740157483" top="0.59055118110236227" bottom="0.59055118110236227" header="0.31496062992125984" footer="0.31496062992125984"/>
  <pageSetup paperSize="9" scale="7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1"/>
  </sheetPr>
  <dimension ref="B1:J15"/>
  <sheetViews>
    <sheetView showGridLines="0" zoomScaleNormal="100" workbookViewId="0">
      <selection activeCell="J25" sqref="J25"/>
    </sheetView>
  </sheetViews>
  <sheetFormatPr defaultColWidth="9" defaultRowHeight="14.25" x14ac:dyDescent="0.2"/>
  <cols>
    <col min="1" max="1" width="2.375" style="158" customWidth="1"/>
    <col min="2" max="2" width="8.375" style="158" customWidth="1"/>
    <col min="3" max="3" width="10.5" style="158" bestFit="1" customWidth="1"/>
    <col min="4" max="5" width="9.5" style="158" bestFit="1" customWidth="1"/>
    <col min="6" max="6" width="26.125" style="158" bestFit="1" customWidth="1"/>
    <col min="7" max="7" width="10.25" style="158" bestFit="1" customWidth="1"/>
    <col min="8" max="8" width="9" style="158"/>
    <col min="9" max="9" width="26.125" style="158" bestFit="1" customWidth="1"/>
    <col min="10" max="16384" width="9" style="158"/>
  </cols>
  <sheetData>
    <row r="1" spans="2:10" s="153" customFormat="1" ht="15" thickBot="1" x14ac:dyDescent="0.25"/>
    <row r="2" spans="2:10" s="153" customFormat="1" ht="15" hidden="1" thickBot="1" x14ac:dyDescent="0.25">
      <c r="D2" s="153">
        <v>2</v>
      </c>
      <c r="E2" s="153">
        <v>3</v>
      </c>
      <c r="F2" s="153">
        <v>4</v>
      </c>
    </row>
    <row r="3" spans="2:10" ht="15" thickBot="1" x14ac:dyDescent="0.25">
      <c r="B3" s="154" t="s">
        <v>2</v>
      </c>
      <c r="C3" s="155" t="s">
        <v>3</v>
      </c>
      <c r="D3" s="156" t="s">
        <v>4</v>
      </c>
      <c r="E3" s="650" t="s">
        <v>5</v>
      </c>
      <c r="F3" s="651"/>
      <c r="G3" s="156" t="s">
        <v>103</v>
      </c>
      <c r="H3" s="157" t="s">
        <v>71</v>
      </c>
    </row>
    <row r="4" spans="2:10" ht="15" thickTop="1" x14ac:dyDescent="0.2">
      <c r="B4" s="159">
        <v>1</v>
      </c>
      <c r="C4" s="160" t="str">
        <f>IF('北(⑦23)'!A3="","",'北(⑦23)'!A3)</f>
        <v/>
      </c>
      <c r="D4" s="402" t="str">
        <f>IF($C4="","",IF(VLOOKUP($C4,予選学校名!$C$3:$F$32,D$2,FALSE)="","",VLOOKUP($C4,予選学校名!$C$3:$F$32,D$2,FALSE)))</f>
        <v/>
      </c>
      <c r="E4" s="402" t="str">
        <f>IF($C4="","",IF(VLOOKUP($C4,予選学校名!$C$3:$F$32,E$2,FALSE)="","",VLOOKUP($C4,予選学校名!$C$3:$F$32,E$2,FALSE)))</f>
        <v/>
      </c>
      <c r="F4" s="402" t="str">
        <f>IF($C4="","",IF(VLOOKUP($C4,予選学校名!$C$3:$F$32,F$2,FALSE)="","",VLOOKUP($C4,予選学校名!$C$3:$F$32,F$2,FALSE)))</f>
        <v/>
      </c>
      <c r="G4" s="161" t="s">
        <v>104</v>
      </c>
      <c r="H4" s="162" t="s">
        <v>74</v>
      </c>
      <c r="I4" s="158" t="str">
        <f>IF(E4="",F4,E4&amp;"立"&amp;C4&amp;"中学校")</f>
        <v/>
      </c>
      <c r="J4" s="158" t="str">
        <f>G4&amp;H4</f>
        <v>北加賀１位</v>
      </c>
    </row>
    <row r="5" spans="2:10" x14ac:dyDescent="0.2">
      <c r="B5" s="163">
        <v>2</v>
      </c>
      <c r="C5" s="160" t="str">
        <f>IF('北(⑦23)'!A4="","",'北(⑦23)'!A4)</f>
        <v/>
      </c>
      <c r="D5" s="402" t="str">
        <f>IF($C5="","",IF(VLOOKUP($C5,予選学校名!$C$3:$F$32,D$2,FALSE)="","",VLOOKUP($C5,予選学校名!$C$3:$F$32,D$2,FALSE)))</f>
        <v/>
      </c>
      <c r="E5" s="402" t="str">
        <f>IF($C5="","",IF(VLOOKUP($C5,予選学校名!$C$3:$F$32,E$2,FALSE)="","",VLOOKUP($C5,予選学校名!$C$3:$F$32,E$2,FALSE)))</f>
        <v/>
      </c>
      <c r="F5" s="402" t="str">
        <f>IF($C5="","",IF(VLOOKUP($C5,予選学校名!$C$3:$F$32,F$2,FALSE)="","",VLOOKUP($C5,予選学校名!$C$3:$F$32,F$2,FALSE)))</f>
        <v/>
      </c>
      <c r="G5" s="164" t="s">
        <v>104</v>
      </c>
      <c r="H5" s="165" t="s">
        <v>76</v>
      </c>
      <c r="I5" s="158" t="str">
        <f t="shared" ref="I5:I15" si="0">IF(E5="",F5,E5&amp;"立"&amp;C5&amp;"中学校")</f>
        <v/>
      </c>
      <c r="J5" s="158" t="str">
        <f t="shared" ref="J5:J10" si="1">G5&amp;H5</f>
        <v>北加賀２位</v>
      </c>
    </row>
    <row r="6" spans="2:10" x14ac:dyDescent="0.2">
      <c r="B6" s="163">
        <v>3</v>
      </c>
      <c r="C6" s="160" t="str">
        <f>IF('北(⑦23)'!A5="","",'北(⑦23)'!A5)</f>
        <v/>
      </c>
      <c r="D6" s="402" t="str">
        <f>IF($C6="","",IF(VLOOKUP($C6,予選学校名!$C$3:$F$32,D$2,FALSE)="","",VLOOKUP($C6,予選学校名!$C$3:$F$32,D$2,FALSE)))</f>
        <v/>
      </c>
      <c r="E6" s="402" t="str">
        <f>IF($C6="","",IF(VLOOKUP($C6,予選学校名!$C$3:$F$32,E$2,FALSE)="","",VLOOKUP($C6,予選学校名!$C$3:$F$32,E$2,FALSE)))</f>
        <v/>
      </c>
      <c r="F6" s="402" t="str">
        <f>IF($C6="","",IF(VLOOKUP($C6,予選学校名!$C$3:$F$32,F$2,FALSE)="","",VLOOKUP($C6,予選学校名!$C$3:$F$32,F$2,FALSE)))</f>
        <v/>
      </c>
      <c r="G6" s="164" t="s">
        <v>104</v>
      </c>
      <c r="H6" s="165" t="s">
        <v>77</v>
      </c>
      <c r="I6" s="158" t="str">
        <f t="shared" si="0"/>
        <v/>
      </c>
      <c r="J6" s="158" t="str">
        <f t="shared" si="1"/>
        <v>北加賀３位</v>
      </c>
    </row>
    <row r="7" spans="2:10" x14ac:dyDescent="0.2">
      <c r="B7" s="163">
        <v>4</v>
      </c>
      <c r="C7" s="160" t="str">
        <f>IF('北(⑦23)'!A6="","",'北(⑦23)'!A6)</f>
        <v/>
      </c>
      <c r="D7" s="402" t="str">
        <f>IF($C7="","",IF(VLOOKUP($C7,予選学校名!$C$3:$F$32,D$2,FALSE)="","",VLOOKUP($C7,予選学校名!$C$3:$F$32,D$2,FALSE)))</f>
        <v/>
      </c>
      <c r="E7" s="402" t="str">
        <f>IF($C7="","",IF(VLOOKUP($C7,予選学校名!$C$3:$F$32,E$2,FALSE)="","",VLOOKUP($C7,予選学校名!$C$3:$F$32,E$2,FALSE)))</f>
        <v/>
      </c>
      <c r="F7" s="402" t="str">
        <f>IF($C7="","",IF(VLOOKUP($C7,予選学校名!$C$3:$F$32,F$2,FALSE)="","",VLOOKUP($C7,予選学校名!$C$3:$F$32,F$2,FALSE)))</f>
        <v/>
      </c>
      <c r="G7" s="164" t="s">
        <v>104</v>
      </c>
      <c r="H7" s="165" t="s">
        <v>77</v>
      </c>
      <c r="I7" s="158" t="str">
        <f t="shared" si="0"/>
        <v/>
      </c>
      <c r="J7" s="158" t="str">
        <f t="shared" si="1"/>
        <v>北加賀３位</v>
      </c>
    </row>
    <row r="8" spans="2:10" x14ac:dyDescent="0.2">
      <c r="B8" s="163">
        <v>5</v>
      </c>
      <c r="C8" s="160" t="str">
        <f>IF('北(⑦23)'!A7="","",'北(⑦23)'!A7)</f>
        <v/>
      </c>
      <c r="D8" s="402" t="str">
        <f>IF($C8="","",IF(VLOOKUP($C8,予選学校名!$C$3:$F$32,D$2,FALSE)="","",VLOOKUP($C8,予選学校名!$C$3:$F$32,D$2,FALSE)))</f>
        <v/>
      </c>
      <c r="E8" s="402" t="str">
        <f>IF($C8="","",IF(VLOOKUP($C8,予選学校名!$C$3:$F$32,E$2,FALSE)="","",VLOOKUP($C8,予選学校名!$C$3:$F$32,E$2,FALSE)))</f>
        <v/>
      </c>
      <c r="F8" s="402" t="str">
        <f>IF($C8="","",IF(VLOOKUP($C8,予選学校名!$C$3:$F$32,F$2,FALSE)="","",VLOOKUP($C8,予選学校名!$C$3:$F$32,F$2,FALSE)))</f>
        <v/>
      </c>
      <c r="G8" s="164" t="s">
        <v>104</v>
      </c>
      <c r="H8" s="165" t="s">
        <v>75</v>
      </c>
      <c r="I8" s="158" t="str">
        <f t="shared" si="0"/>
        <v/>
      </c>
      <c r="J8" s="158" t="str">
        <f t="shared" si="1"/>
        <v>北加賀代表</v>
      </c>
    </row>
    <row r="9" spans="2:10" x14ac:dyDescent="0.2">
      <c r="B9" s="163">
        <v>6</v>
      </c>
      <c r="C9" s="160" t="str">
        <f>IF('北(⑦23)'!A8="","",'北(⑦23)'!A8)</f>
        <v/>
      </c>
      <c r="D9" s="402" t="str">
        <f>IF($C9="","",IF(VLOOKUP($C9,予選学校名!$C$3:$F$32,D$2,FALSE)="","",VLOOKUP($C9,予選学校名!$C$3:$F$32,D$2,FALSE)))</f>
        <v/>
      </c>
      <c r="E9" s="402" t="str">
        <f>IF($C9="","",IF(VLOOKUP($C9,予選学校名!$C$3:$F$32,E$2,FALSE)="","",VLOOKUP($C9,予選学校名!$C$3:$F$32,E$2,FALSE)))</f>
        <v/>
      </c>
      <c r="F9" s="402" t="str">
        <f>IF($C9="","",IF(VLOOKUP($C9,予選学校名!$C$3:$F$32,F$2,FALSE)="","",VLOOKUP($C9,予選学校名!$C$3:$F$32,F$2,FALSE)))</f>
        <v/>
      </c>
      <c r="G9" s="164" t="s">
        <v>104</v>
      </c>
      <c r="H9" s="165" t="s">
        <v>75</v>
      </c>
      <c r="I9" s="158" t="str">
        <f t="shared" si="0"/>
        <v/>
      </c>
      <c r="J9" s="158" t="str">
        <f t="shared" si="1"/>
        <v>北加賀代表</v>
      </c>
    </row>
    <row r="10" spans="2:10" ht="15" thickBot="1" x14ac:dyDescent="0.25">
      <c r="B10" s="166">
        <v>7</v>
      </c>
      <c r="C10" s="167" t="str">
        <f>IF('北(⑦23)'!A9="","",'北(⑦23)'!A9)</f>
        <v/>
      </c>
      <c r="D10" s="403" t="str">
        <f>IF($C10="","",IF(VLOOKUP($C10,予選学校名!$C$3:$F$32,D$2,FALSE)="","",VLOOKUP($C10,予選学校名!$C$3:$F$32,D$2,FALSE)))</f>
        <v/>
      </c>
      <c r="E10" s="403" t="str">
        <f>IF($C10="","",IF(VLOOKUP($C10,予選学校名!$C$3:$F$32,E$2,FALSE)="","",VLOOKUP($C10,予選学校名!$C$3:$F$32,E$2,FALSE)))</f>
        <v/>
      </c>
      <c r="F10" s="403" t="str">
        <f>IF($C10="","",IF(VLOOKUP($C10,予選学校名!$C$3:$F$32,F$2,FALSE)="","",VLOOKUP($C10,予選学校名!$C$3:$F$32,F$2,FALSE)))</f>
        <v/>
      </c>
      <c r="G10" s="168" t="s">
        <v>104</v>
      </c>
      <c r="H10" s="169" t="s">
        <v>75</v>
      </c>
      <c r="I10" s="158" t="str">
        <f t="shared" si="0"/>
        <v/>
      </c>
      <c r="J10" s="158" t="str">
        <f t="shared" si="1"/>
        <v>北加賀代表</v>
      </c>
    </row>
    <row r="11" spans="2:10" ht="15" thickTop="1" x14ac:dyDescent="0.2">
      <c r="B11" s="170">
        <v>8</v>
      </c>
      <c r="C11" s="171" t="str">
        <f>IF('南(③9)'!A3="","",'南(③9)'!A3)</f>
        <v/>
      </c>
      <c r="D11" s="404" t="str">
        <f>IF($C11="","",IF(VLOOKUP($C11,予選学校名!$I$3:$L$18,D$2,FALSE)="","",VLOOKUP($C11,予選学校名!$I$3:$L$18,D$2,FALSE)))</f>
        <v/>
      </c>
      <c r="E11" s="404" t="str">
        <f>IF($C11="","",IF(VLOOKUP($C11,予選学校名!$I$3:$L$18,E$2,FALSE)="","",VLOOKUP($C11,予選学校名!$I$3:$L$18,E$2,FALSE)))</f>
        <v/>
      </c>
      <c r="F11" s="404" t="str">
        <f>IF($C11="","",IF(VLOOKUP($C11,予選学校名!$I$3:$L$18,F$2,FALSE)="","",VLOOKUP($C11,予選学校名!$I$3:$L$18,F$2,FALSE)))</f>
        <v/>
      </c>
      <c r="G11" s="172" t="s">
        <v>105</v>
      </c>
      <c r="H11" s="173" t="s">
        <v>74</v>
      </c>
      <c r="I11" s="158" t="str">
        <f t="shared" si="0"/>
        <v/>
      </c>
      <c r="J11" s="158" t="str">
        <f t="shared" ref="J11:J15" si="2">G11&amp;H11</f>
        <v>南加賀１位</v>
      </c>
    </row>
    <row r="12" spans="2:10" x14ac:dyDescent="0.2">
      <c r="B12" s="163">
        <v>9</v>
      </c>
      <c r="C12" s="174" t="str">
        <f>IF('南(③9)'!A4="","",'南(③9)'!A4)</f>
        <v/>
      </c>
      <c r="D12" s="402" t="str">
        <f>IF($C12="","",IF(VLOOKUP($C12,予選学校名!$I$3:$L$18,D$2,FALSE)="","",VLOOKUP($C12,予選学校名!$I$3:$L$18,D$2,FALSE)))</f>
        <v/>
      </c>
      <c r="E12" s="402" t="str">
        <f>IF($C12="","",IF(VLOOKUP($C12,予選学校名!$I$3:$L$18,E$2,FALSE)="","",VLOOKUP($C12,予選学校名!$I$3:$L$18,E$2,FALSE)))</f>
        <v/>
      </c>
      <c r="F12" s="402" t="str">
        <f>IF($C12="","",IF(VLOOKUP($C12,予選学校名!$I$3:$L$18,F$2,FALSE)="","",VLOOKUP($C12,予選学校名!$I$3:$L$18,F$2,FALSE)))</f>
        <v/>
      </c>
      <c r="G12" s="164" t="s">
        <v>105</v>
      </c>
      <c r="H12" s="165" t="s">
        <v>76</v>
      </c>
      <c r="I12" s="158" t="str">
        <f t="shared" si="0"/>
        <v/>
      </c>
      <c r="J12" s="158" t="str">
        <f t="shared" si="2"/>
        <v>南加賀２位</v>
      </c>
    </row>
    <row r="13" spans="2:10" ht="15" thickBot="1" x14ac:dyDescent="0.25">
      <c r="B13" s="166">
        <v>10</v>
      </c>
      <c r="C13" s="167" t="str">
        <f>IF('南(③9)'!A5="","",'南(③9)'!A5)</f>
        <v/>
      </c>
      <c r="D13" s="405" t="str">
        <f>IF($C13="","",IF(VLOOKUP($C13,予選学校名!$I$3:$L$18,D$2,FALSE)="","",VLOOKUP($C13,予選学校名!$I$3:$L$18,D$2,FALSE)))</f>
        <v/>
      </c>
      <c r="E13" s="405" t="str">
        <f>IF($C13="","",IF(VLOOKUP($C13,予選学校名!$I$3:$L$18,E$2,FALSE)="","",VLOOKUP($C13,予選学校名!$I$3:$L$18,E$2,FALSE)))</f>
        <v/>
      </c>
      <c r="F13" s="405" t="str">
        <f>IF($C13="","",IF(VLOOKUP($C13,予選学校名!$I$3:$L$18,F$2,FALSE)="","",VLOOKUP($C13,予選学校名!$I$3:$L$18,F$2,FALSE)))</f>
        <v/>
      </c>
      <c r="G13" s="168" t="s">
        <v>105</v>
      </c>
      <c r="H13" s="169" t="s">
        <v>77</v>
      </c>
      <c r="I13" s="158" t="str">
        <f t="shared" si="0"/>
        <v/>
      </c>
      <c r="J13" s="158" t="str">
        <f t="shared" si="2"/>
        <v>南加賀３位</v>
      </c>
    </row>
    <row r="14" spans="2:10" ht="15" thickTop="1" x14ac:dyDescent="0.2">
      <c r="B14" s="159">
        <v>11</v>
      </c>
      <c r="C14" s="160" t="str">
        <f>IF('能登(②5時刻)'!A6="","",'能登(②5時刻)'!A6)</f>
        <v/>
      </c>
      <c r="D14" s="402" t="str">
        <f>IF($C14="","",IF(VLOOKUP($C14,予選学校名!$I$22:$L$32,D$2,FALSE)="","",VLOOKUP($C14,予選学校名!$I$22:$L$32,D$2,FALSE)))</f>
        <v/>
      </c>
      <c r="E14" s="402" t="str">
        <f>IF($C14="","",IF(VLOOKUP($C14,予選学校名!$I$22:$L$32,E$2,FALSE)="","",VLOOKUP($C14,予選学校名!$I$22:$L$32,E$2,FALSE)))</f>
        <v/>
      </c>
      <c r="F14" s="402" t="str">
        <f>IF($C14="","",IF(VLOOKUP($C14,予選学校名!$I$22:$L$32,F$2,FALSE)="","",VLOOKUP($C14,予選学校名!$I$22:$L$32,F$2,FALSE)))</f>
        <v/>
      </c>
      <c r="G14" s="161" t="s">
        <v>106</v>
      </c>
      <c r="H14" s="162" t="s">
        <v>74</v>
      </c>
      <c r="I14" s="158" t="str">
        <f t="shared" si="0"/>
        <v/>
      </c>
      <c r="J14" s="158" t="str">
        <f t="shared" si="2"/>
        <v>能登地区１位</v>
      </c>
    </row>
    <row r="15" spans="2:10" ht="15" thickBot="1" x14ac:dyDescent="0.25">
      <c r="B15" s="175">
        <v>12</v>
      </c>
      <c r="C15" s="176" t="str">
        <f>IF('能登(②5時刻)'!A7="","",'能登(②5時刻)'!A7)</f>
        <v/>
      </c>
      <c r="D15" s="406" t="str">
        <f>IF($C15="","",IF(VLOOKUP($C15,予選学校名!$I$22:$L$32,D$2,FALSE)="","",VLOOKUP($C15,予選学校名!$I$22:$L$32,D$2,FALSE)))</f>
        <v/>
      </c>
      <c r="E15" s="406" t="str">
        <f>IF($C15="","",IF(VLOOKUP($C15,予選学校名!$I$22:$L$32,E$2,FALSE)="","",VLOOKUP($C15,予選学校名!$I$22:$L$32,E$2,FALSE)))</f>
        <v/>
      </c>
      <c r="F15" s="406" t="str">
        <f>IF($C15="","",IF(VLOOKUP($C15,予選学校名!$I$22:$L$32,F$2,FALSE)="","",VLOOKUP($C15,予選学校名!$I$22:$L$32,F$2,FALSE)))</f>
        <v/>
      </c>
      <c r="G15" s="177" t="s">
        <v>106</v>
      </c>
      <c r="H15" s="178" t="s">
        <v>76</v>
      </c>
      <c r="I15" s="158" t="str">
        <f t="shared" si="0"/>
        <v/>
      </c>
      <c r="J15" s="158" t="str">
        <f t="shared" si="2"/>
        <v>能登地区２位</v>
      </c>
    </row>
  </sheetData>
  <customSheetViews>
    <customSheetView guid="{707C167D-1A80-466C-A9D0-D4070F8B83C9}" showGridLines="0" hiddenRows="1" showRuler="0">
      <selection activeCell="E24" sqref="E24"/>
      <pageMargins left="0" right="0" top="0" bottom="0" header="0" footer="0"/>
      <pageSetup paperSize="9" orientation="portrait" r:id="rId1"/>
      <headerFooter alignWithMargins="0"/>
    </customSheetView>
  </customSheetViews>
  <mergeCells count="1">
    <mergeCell ref="E3:F3"/>
  </mergeCells>
  <phoneticPr fontId="2"/>
  <pageMargins left="0.78700000000000003" right="0.78700000000000003" top="0.98399999999999999" bottom="0.98399999999999999" header="0.51200000000000001" footer="0.51200000000000001"/>
  <pageSetup paperSize="9" orientation="portrait" r:id="rId2"/>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BF8BA-0FD2-4474-B840-A20639334BB5}">
  <sheetPr codeName="Sheet1">
    <tabColor theme="1"/>
    <pageSetUpPr fitToPage="1"/>
  </sheetPr>
  <dimension ref="A1:CC77"/>
  <sheetViews>
    <sheetView showGridLines="0" zoomScale="90" zoomScaleNormal="90" workbookViewId="0">
      <selection activeCell="CI49" sqref="CI49"/>
    </sheetView>
  </sheetViews>
  <sheetFormatPr defaultColWidth="9" defaultRowHeight="14.25" x14ac:dyDescent="0.15"/>
  <cols>
    <col min="1" max="1" width="6.875" style="72" customWidth="1"/>
    <col min="2" max="3" width="2.875" style="72" customWidth="1"/>
    <col min="4" max="7" width="1.375" style="72" customWidth="1"/>
    <col min="8" max="8" width="2.875" style="72" customWidth="1"/>
    <col min="9" max="10" width="1.375" style="72" customWidth="1"/>
    <col min="11" max="12" width="2.875" style="72" customWidth="1"/>
    <col min="13" max="14" width="1.375" style="72" customWidth="1"/>
    <col min="15" max="16" width="2.875" style="72" customWidth="1"/>
    <col min="17" max="18" width="1.375" style="72" customWidth="1"/>
    <col min="19" max="19" width="2.875" style="72" customWidth="1"/>
    <col min="20" max="23" width="1.375" style="72" customWidth="1"/>
    <col min="24" max="25" width="2.875" style="72" customWidth="1"/>
    <col min="26" max="27" width="1.375" style="72" customWidth="1"/>
    <col min="28" max="29" width="2.875" style="72" customWidth="1"/>
    <col min="30" max="33" width="1.375" style="72" customWidth="1"/>
    <col min="34" max="34" width="2.875" style="72" customWidth="1"/>
    <col min="35" max="36" width="1.375" style="72" customWidth="1"/>
    <col min="37" max="38" width="2.875" style="72" customWidth="1"/>
    <col min="39" max="40" width="1.375" style="72" customWidth="1"/>
    <col min="41" max="42" width="2.875" style="72" customWidth="1"/>
    <col min="43" max="44" width="1.375" style="72" customWidth="1"/>
    <col min="45" max="45" width="2.875" style="72" customWidth="1"/>
    <col min="46" max="49" width="1.375" style="72" customWidth="1"/>
    <col min="50" max="51" width="2.875" style="72" customWidth="1"/>
    <col min="52" max="52" width="0.875" style="72" customWidth="1"/>
    <col min="53" max="53" width="2.5" style="72" customWidth="1"/>
    <col min="54" max="54" width="4" style="72" customWidth="1"/>
    <col min="55" max="59" width="1.875" style="72" customWidth="1"/>
    <col min="60" max="61" width="1.375" style="72" customWidth="1"/>
    <col min="62" max="71" width="1.875" style="72" customWidth="1"/>
    <col min="72" max="72" width="4.5" style="72" bestFit="1" customWidth="1"/>
    <col min="73" max="73" width="2.375" style="72" bestFit="1" customWidth="1"/>
    <col min="74" max="81" width="3" style="72" bestFit="1" customWidth="1"/>
    <col min="82" max="16384" width="9" style="72"/>
  </cols>
  <sheetData>
    <row r="1" spans="1:81" ht="19.5" x14ac:dyDescent="0.15">
      <c r="A1" s="656" t="str">
        <f ca="1">"令和"&amp;IF(YEAR(NOW())=2019,"元",YEAR(NOW())-2018)&amp;"年度 第"&amp;YEAR(NOW())-1999+37&amp;"回 石川県中学校サッカー大会 "&amp;IF(S8="","会場および試合開始時刻","試合結果")</f>
        <v>令和7年度 第63回 石川県中学校サッカー大会 会場および試合開始時刻</v>
      </c>
      <c r="B1" s="656"/>
      <c r="C1" s="656"/>
      <c r="D1" s="656"/>
      <c r="E1" s="656"/>
      <c r="F1" s="656"/>
      <c r="G1" s="656"/>
      <c r="H1" s="656"/>
      <c r="I1" s="656"/>
      <c r="J1" s="656"/>
      <c r="K1" s="656"/>
      <c r="L1" s="656"/>
      <c r="M1" s="656"/>
      <c r="N1" s="656"/>
      <c r="O1" s="656"/>
      <c r="P1" s="656"/>
      <c r="Q1" s="656"/>
      <c r="R1" s="656"/>
      <c r="S1" s="656"/>
      <c r="T1" s="656"/>
      <c r="U1" s="656"/>
      <c r="V1" s="656"/>
      <c r="W1" s="656"/>
      <c r="X1" s="656"/>
      <c r="Y1" s="656"/>
      <c r="Z1" s="656"/>
      <c r="AA1" s="656"/>
      <c r="AB1" s="656"/>
      <c r="AC1" s="656"/>
      <c r="AD1" s="656"/>
      <c r="AE1" s="656"/>
      <c r="AF1" s="656"/>
      <c r="AG1" s="656"/>
      <c r="AH1" s="656"/>
      <c r="AI1" s="656"/>
      <c r="AJ1" s="656"/>
      <c r="AK1" s="656"/>
      <c r="AL1" s="656"/>
      <c r="AM1" s="656"/>
      <c r="AN1" s="656"/>
      <c r="AO1" s="656"/>
      <c r="AP1" s="656"/>
      <c r="AQ1" s="656"/>
      <c r="AR1" s="656"/>
      <c r="AS1" s="656"/>
      <c r="AT1" s="656"/>
      <c r="AU1" s="656"/>
      <c r="AV1" s="656"/>
      <c r="AW1" s="656"/>
      <c r="AX1" s="656"/>
      <c r="AY1" s="656"/>
    </row>
    <row r="2" spans="1:81" ht="9" customHeight="1" x14ac:dyDescent="0.15"/>
    <row r="3" spans="1:81" ht="18.75" customHeight="1" x14ac:dyDescent="0.2">
      <c r="B3" s="80" t="s">
        <v>107</v>
      </c>
      <c r="C3" s="77"/>
      <c r="D3" s="77"/>
      <c r="E3" s="179" t="str">
        <f>IF(Y12&gt;AB12,K14,AO14)</f>
        <v/>
      </c>
      <c r="F3" s="657" t="str">
        <f>IF($S$8="","",INDEX($B$74:$AY$77,2,MATCH(E3,$B$74:$AY$74,0)))</f>
        <v/>
      </c>
      <c r="G3" s="657"/>
      <c r="H3" s="657"/>
      <c r="I3" s="657"/>
      <c r="J3" s="657"/>
      <c r="K3" s="657"/>
      <c r="L3" s="657"/>
      <c r="M3" s="657"/>
      <c r="N3" s="657"/>
      <c r="O3" s="657"/>
      <c r="P3" s="657"/>
      <c r="Q3" s="657"/>
      <c r="R3" s="657"/>
      <c r="S3" s="657"/>
      <c r="T3" s="658" t="str">
        <f>IF($S$8="","","("&amp;INDEX(県体学校名!$C$4:$J$15,MATCH(E3,県体学校名!$C$4:$C$15,0),2)&amp;")")</f>
        <v/>
      </c>
      <c r="U3" s="658"/>
      <c r="V3" s="658"/>
      <c r="W3" s="658"/>
      <c r="X3" s="658"/>
      <c r="Y3" s="659" t="str">
        <f ca="1">IF(F3="","","【北信越大会出場("&amp;CHOOSE(MOD(YEAR(NOW()),5)+1,"福井","富山","長野","石川","新潟")&amp;"県開催)】")</f>
        <v/>
      </c>
      <c r="Z3" s="659"/>
      <c r="AA3" s="659"/>
      <c r="AB3" s="659"/>
      <c r="AC3" s="659"/>
      <c r="AD3" s="659"/>
      <c r="AE3" s="659"/>
      <c r="AF3" s="659"/>
      <c r="AG3" s="659"/>
      <c r="AH3" s="659"/>
      <c r="AI3" s="659"/>
      <c r="AJ3" s="659"/>
      <c r="AK3" s="659"/>
      <c r="AL3" s="659"/>
      <c r="AM3" s="659"/>
      <c r="AN3" s="132"/>
      <c r="AO3" s="132"/>
      <c r="AP3" s="132"/>
      <c r="AQ3" s="132"/>
      <c r="AR3" s="132"/>
      <c r="AS3" s="132"/>
      <c r="AT3" s="132"/>
      <c r="AU3" s="132"/>
      <c r="AV3" s="132"/>
      <c r="AY3" s="179"/>
    </row>
    <row r="4" spans="1:81" ht="18.75" customHeight="1" x14ac:dyDescent="0.2">
      <c r="B4" s="80" t="s">
        <v>108</v>
      </c>
      <c r="C4" s="77"/>
      <c r="D4" s="77"/>
      <c r="E4" s="179" t="str">
        <f>IF(Y12&lt;AB12,K14,AO14)</f>
        <v/>
      </c>
      <c r="F4" s="657" t="str">
        <f>IF($S$8="","",INDEX($B$74:$AY$77,2,MATCH(E4,$B$74:$AY$74,0)))</f>
        <v/>
      </c>
      <c r="G4" s="657"/>
      <c r="H4" s="657"/>
      <c r="I4" s="657"/>
      <c r="J4" s="657"/>
      <c r="K4" s="657"/>
      <c r="L4" s="657"/>
      <c r="M4" s="657"/>
      <c r="N4" s="657"/>
      <c r="O4" s="657"/>
      <c r="P4" s="657"/>
      <c r="Q4" s="657"/>
      <c r="R4" s="657"/>
      <c r="S4" s="657"/>
      <c r="T4" s="660" t="str">
        <f>IF($S$8="","","("&amp;INDEX(県体学校名!$C$4:$J$15,MATCH(E4,県体学校名!$C$4:$C$15,0),2)&amp;")")</f>
        <v/>
      </c>
      <c r="U4" s="660"/>
      <c r="V4" s="660"/>
      <c r="W4" s="660"/>
      <c r="X4" s="660"/>
      <c r="Y4" s="659" t="str">
        <f ca="1">IF(F4="","","【北信越大会出場("&amp;CHOOSE(MOD(YEAR(NOW()),5)+1,"福井","富山","長野","石川","新潟")&amp;"県開催)】")</f>
        <v/>
      </c>
      <c r="Z4" s="659"/>
      <c r="AA4" s="659"/>
      <c r="AB4" s="659"/>
      <c r="AC4" s="659"/>
      <c r="AD4" s="659"/>
      <c r="AE4" s="659"/>
      <c r="AF4" s="659"/>
      <c r="AG4" s="659"/>
      <c r="AH4" s="659"/>
      <c r="AI4" s="659"/>
      <c r="AJ4" s="659"/>
      <c r="AK4" s="659"/>
      <c r="AL4" s="659"/>
      <c r="AM4" s="659"/>
      <c r="AN4" s="132"/>
      <c r="AO4" s="132"/>
      <c r="AP4" s="132"/>
      <c r="AQ4" s="132"/>
      <c r="AR4" s="132"/>
      <c r="AS4" s="132"/>
      <c r="AT4" s="132"/>
      <c r="AU4" s="132"/>
      <c r="AV4" s="132"/>
      <c r="AY4" s="179"/>
      <c r="BC4" s="58"/>
      <c r="BT4" s="132">
        <f ca="1">YEAR(NOW())</f>
        <v>2025</v>
      </c>
      <c r="BU4" s="132">
        <f>7</f>
        <v>7</v>
      </c>
      <c r="BV4" s="132">
        <f>12</f>
        <v>12</v>
      </c>
      <c r="BW4" s="132">
        <f>BV4+1</f>
        <v>13</v>
      </c>
      <c r="BX4" s="132">
        <f t="shared" ref="BX4:CC4" si="0">BW4+1</f>
        <v>14</v>
      </c>
      <c r="BY4" s="132">
        <f t="shared" si="0"/>
        <v>15</v>
      </c>
      <c r="BZ4" s="132">
        <f t="shared" si="0"/>
        <v>16</v>
      </c>
      <c r="CA4" s="132">
        <f t="shared" si="0"/>
        <v>17</v>
      </c>
      <c r="CB4" s="132">
        <f t="shared" si="0"/>
        <v>18</v>
      </c>
      <c r="CC4" s="132">
        <f t="shared" si="0"/>
        <v>19</v>
      </c>
    </row>
    <row r="5" spans="1:81" ht="18.75" customHeight="1" x14ac:dyDescent="0.2">
      <c r="B5" s="80" t="s">
        <v>109</v>
      </c>
      <c r="C5" s="77"/>
      <c r="D5" s="77"/>
      <c r="E5" s="179" t="str">
        <f>IF(BF9="",IF(OR(E3=C28,E3=W28),IF(L26&gt;O26,W28,C28),IF(AL26&gt;AO26,AW28,AC28)),BF9)</f>
        <v/>
      </c>
      <c r="F5" s="657" t="str">
        <f>IF($S$8="","",INDEX($B$74:$AY$77,2,MATCH(E5,$B$74:$AY$74,0)))</f>
        <v/>
      </c>
      <c r="G5" s="657"/>
      <c r="H5" s="657"/>
      <c r="I5" s="657"/>
      <c r="J5" s="657"/>
      <c r="K5" s="657"/>
      <c r="L5" s="657"/>
      <c r="M5" s="657"/>
      <c r="N5" s="657"/>
      <c r="O5" s="657"/>
      <c r="P5" s="657"/>
      <c r="Q5" s="657"/>
      <c r="R5" s="657"/>
      <c r="S5" s="657"/>
      <c r="T5" s="660" t="str">
        <f>IF($S$8="","","("&amp;INDEX(県体学校名!$C$4:$J$15,MATCH(E5,県体学校名!$C$4:$C$15,0),2)&amp;")")</f>
        <v/>
      </c>
      <c r="U5" s="660"/>
      <c r="V5" s="660"/>
      <c r="W5" s="660"/>
      <c r="X5" s="660"/>
      <c r="Y5" s="659" t="str">
        <f ca="1">IF(BF9="","","【北信越大会出場("&amp;CHOOSE(MOD(YEAR(NOW()),5)+1,"福井","富山","長野","石川","新潟")&amp;"県開催)】")</f>
        <v/>
      </c>
      <c r="Z5" s="659"/>
      <c r="AA5" s="659"/>
      <c r="AB5" s="659"/>
      <c r="AC5" s="659"/>
      <c r="AD5" s="659"/>
      <c r="AE5" s="659"/>
      <c r="AF5" s="659"/>
      <c r="AG5" s="659"/>
      <c r="AH5" s="659"/>
      <c r="AI5" s="659"/>
      <c r="AJ5" s="659"/>
      <c r="AK5" s="659"/>
      <c r="AL5" s="659"/>
      <c r="AM5" s="659"/>
      <c r="AN5" s="132"/>
      <c r="AO5" s="132"/>
      <c r="AP5" s="132"/>
      <c r="AQ5" s="132"/>
      <c r="AR5" s="132"/>
      <c r="AS5" s="132"/>
      <c r="AT5" s="132"/>
      <c r="AU5" s="132"/>
      <c r="AV5" s="132"/>
      <c r="AY5" s="179"/>
      <c r="BC5" s="58" t="s">
        <v>666</v>
      </c>
      <c r="BH5" s="58"/>
      <c r="BM5" s="526" t="b">
        <v>0</v>
      </c>
      <c r="BN5" s="526"/>
      <c r="BO5" s="526"/>
      <c r="BR5" s="76"/>
      <c r="BS5" s="76"/>
      <c r="BT5" s="309"/>
      <c r="BU5" s="132"/>
      <c r="BV5" s="132" t="str">
        <f t="shared" ref="BV5:CC5" ca="1" si="1">CHOOSE(WEEKDAY(DATE($BT$4,$BU$4,BV4)),"","○","","","","","","")</f>
        <v/>
      </c>
      <c r="BW5" s="132" t="str">
        <f t="shared" ca="1" si="1"/>
        <v/>
      </c>
      <c r="BX5" s="132" t="str">
        <f t="shared" ca="1" si="1"/>
        <v>○</v>
      </c>
      <c r="BY5" s="132" t="str">
        <f t="shared" ca="1" si="1"/>
        <v/>
      </c>
      <c r="BZ5" s="132" t="str">
        <f t="shared" ca="1" si="1"/>
        <v/>
      </c>
      <c r="CA5" s="132" t="str">
        <f t="shared" ca="1" si="1"/>
        <v/>
      </c>
      <c r="CB5" s="132" t="str">
        <f t="shared" ca="1" si="1"/>
        <v/>
      </c>
      <c r="CC5" s="132" t="str">
        <f t="shared" ca="1" si="1"/>
        <v/>
      </c>
    </row>
    <row r="6" spans="1:81" ht="18.75" customHeight="1" x14ac:dyDescent="0.15">
      <c r="D6" s="304"/>
      <c r="E6" s="179" t="str">
        <f>IF(BF9="",IF(OR(E3=C28,E3=W28),IF(AL26&gt;AO26,AW28,AC28),IF(L26&gt;O26,W28,C28)),IF(BF9=BC24,BI24,BC24))</f>
        <v/>
      </c>
      <c r="F6" s="657" t="str">
        <f>IF($S$8="","",INDEX($B$74:$AY$77,2,MATCH(E6,$B$74:$AY$74,0)))</f>
        <v/>
      </c>
      <c r="G6" s="657"/>
      <c r="H6" s="657"/>
      <c r="I6" s="657"/>
      <c r="J6" s="657"/>
      <c r="K6" s="657"/>
      <c r="L6" s="657"/>
      <c r="M6" s="657"/>
      <c r="N6" s="657"/>
      <c r="O6" s="657"/>
      <c r="P6" s="657"/>
      <c r="Q6" s="657"/>
      <c r="R6" s="657"/>
      <c r="S6" s="657"/>
      <c r="T6" s="660" t="str">
        <f>IF($S$8="","","("&amp;INDEX(県体学校名!$C$4:$J$15,MATCH(E6,県体学校名!$C$4:$C$15,0),2)&amp;")")</f>
        <v/>
      </c>
      <c r="U6" s="660"/>
      <c r="V6" s="660"/>
      <c r="W6" s="660"/>
      <c r="X6" s="660"/>
      <c r="AN6" s="132"/>
      <c r="AO6" s="132"/>
      <c r="AP6" s="662" t="s">
        <v>79</v>
      </c>
      <c r="AQ6" s="662"/>
      <c r="AR6" s="662"/>
      <c r="AS6" s="662"/>
      <c r="AT6" s="662"/>
      <c r="AU6" s="662"/>
      <c r="AV6" s="662"/>
      <c r="AW6" s="662"/>
      <c r="AX6" s="662"/>
      <c r="AY6" s="179"/>
    </row>
    <row r="7" spans="1:81" ht="9.75" customHeight="1" x14ac:dyDescent="0.15">
      <c r="AP7" s="662"/>
      <c r="AQ7" s="662"/>
      <c r="AR7" s="662"/>
      <c r="AS7" s="662"/>
      <c r="AT7" s="662"/>
      <c r="AU7" s="662"/>
      <c r="AV7" s="662"/>
      <c r="AW7" s="662"/>
      <c r="AX7" s="662"/>
      <c r="BC7" s="485" t="str">
        <f>IF(BM5=FALSE,"","【第3代表決定戦】")</f>
        <v/>
      </c>
      <c r="BD7" s="485"/>
      <c r="BE7" s="485"/>
      <c r="BF7" s="485"/>
      <c r="BG7" s="485"/>
      <c r="BH7" s="485"/>
      <c r="BI7" s="485"/>
      <c r="BJ7" s="485"/>
      <c r="BK7" s="485"/>
      <c r="BL7" s="485"/>
      <c r="BM7" s="485"/>
      <c r="BN7" s="485"/>
    </row>
    <row r="8" spans="1:81" ht="9.75" customHeight="1" x14ac:dyDescent="0.15">
      <c r="N8" s="521" t="s">
        <v>73</v>
      </c>
      <c r="O8" s="521"/>
      <c r="P8" s="521"/>
      <c r="Q8" s="521"/>
      <c r="R8" s="521"/>
      <c r="S8" s="663" t="str">
        <f>IF(OR(Y12=AB12,Y15=""),"",INDEX($B$74:$AY$77,2,MATCH(IF(Y12&gt;AB12,K14,AO14),$B$74:$AY$74,0)))</f>
        <v/>
      </c>
      <c r="T8" s="663"/>
      <c r="U8" s="663"/>
      <c r="V8" s="663"/>
      <c r="W8" s="663"/>
      <c r="X8" s="663"/>
      <c r="Y8" s="663"/>
      <c r="Z8" s="663"/>
      <c r="AA8" s="663"/>
      <c r="AB8" s="663"/>
      <c r="AC8" s="663"/>
      <c r="AD8" s="663"/>
      <c r="AE8" s="663"/>
      <c r="AF8" s="663"/>
      <c r="AG8" s="663"/>
      <c r="AH8" s="663"/>
      <c r="AI8" s="664" t="str">
        <f>IF(E3="","","("&amp;INDEX(県体学校名!$C$4:$J$15,MATCH(IF(Y12&gt;AB12,K14,AO14),県体学校名!$C$4:$C$15,0),2)&amp;")")</f>
        <v/>
      </c>
      <c r="AJ8" s="664"/>
      <c r="AK8" s="664"/>
      <c r="AL8" s="664"/>
      <c r="AM8" s="664"/>
      <c r="AS8" s="499" t="str">
        <f>IF(AU15="","",IF(AU12&gt;AX12,AP23,AX23))</f>
        <v/>
      </c>
      <c r="AT8" s="499"/>
      <c r="AU8" s="499"/>
      <c r="AV8" s="499"/>
      <c r="AW8" s="499"/>
      <c r="AX8" s="499"/>
      <c r="AY8" s="499"/>
      <c r="BC8" s="485"/>
      <c r="BD8" s="485"/>
      <c r="BE8" s="485"/>
      <c r="BF8" s="485"/>
      <c r="BG8" s="485"/>
      <c r="BH8" s="485"/>
      <c r="BI8" s="485"/>
      <c r="BJ8" s="485"/>
      <c r="BK8" s="485"/>
      <c r="BL8" s="485"/>
      <c r="BM8" s="485"/>
      <c r="BN8" s="485"/>
    </row>
    <row r="9" spans="1:81" ht="9" customHeight="1" x14ac:dyDescent="0.15">
      <c r="N9" s="521"/>
      <c r="O9" s="521"/>
      <c r="P9" s="521"/>
      <c r="Q9" s="521"/>
      <c r="R9" s="521"/>
      <c r="S9" s="663"/>
      <c r="T9" s="663"/>
      <c r="U9" s="663"/>
      <c r="V9" s="663"/>
      <c r="W9" s="663"/>
      <c r="X9" s="663"/>
      <c r="Y9" s="663"/>
      <c r="Z9" s="663"/>
      <c r="AA9" s="663"/>
      <c r="AB9" s="663"/>
      <c r="AC9" s="663"/>
      <c r="AD9" s="663"/>
      <c r="AE9" s="663"/>
      <c r="AF9" s="663"/>
      <c r="AG9" s="663"/>
      <c r="AH9" s="663"/>
      <c r="AI9" s="664"/>
      <c r="AJ9" s="664"/>
      <c r="AK9" s="664"/>
      <c r="AL9" s="664"/>
      <c r="AM9" s="664"/>
      <c r="AS9" s="499"/>
      <c r="AT9" s="499"/>
      <c r="AU9" s="499"/>
      <c r="AV9" s="499"/>
      <c r="AW9" s="499"/>
      <c r="AX9" s="499"/>
      <c r="AY9" s="499"/>
      <c r="BF9" s="485" t="str">
        <f>IF(OR(BG12=BJ12,BG15=""),"",IF(BG12&gt;BJ12,BC24,BI24))</f>
        <v/>
      </c>
      <c r="BG9" s="485"/>
      <c r="BH9" s="485"/>
      <c r="BI9" s="485"/>
      <c r="BJ9" s="485"/>
      <c r="BK9" s="485"/>
    </row>
    <row r="10" spans="1:81" ht="9" customHeight="1" x14ac:dyDescent="0.2">
      <c r="N10" s="88"/>
      <c r="O10" s="88"/>
      <c r="P10" s="88"/>
      <c r="Q10" s="88"/>
      <c r="R10" s="88"/>
      <c r="S10" s="311"/>
      <c r="T10" s="311"/>
      <c r="U10" s="311"/>
      <c r="V10" s="311"/>
      <c r="W10" s="311"/>
      <c r="X10" s="311"/>
      <c r="Y10" s="311"/>
      <c r="Z10" s="311"/>
      <c r="AA10" s="311"/>
      <c r="AB10" s="311"/>
      <c r="AC10" s="311"/>
      <c r="AD10" s="665" t="str">
        <f ca="1">IF(S8="","","【"&amp;INDEX(歴代優勝校!$D$2:$D$101,YEAR(NOW())-1962,1)&amp;"】")</f>
        <v/>
      </c>
      <c r="AE10" s="665"/>
      <c r="AF10" s="665"/>
      <c r="AG10" s="665"/>
      <c r="AH10" s="665"/>
      <c r="AI10" s="665"/>
      <c r="AJ10" s="665"/>
      <c r="AK10" s="665"/>
      <c r="AL10" s="665"/>
      <c r="AM10" s="665"/>
      <c r="AS10" s="123"/>
      <c r="AT10" s="123"/>
      <c r="AU10" s="123"/>
      <c r="AV10" s="123"/>
      <c r="AW10" s="123"/>
      <c r="AX10" s="123"/>
      <c r="AY10" s="123"/>
      <c r="BF10" s="485"/>
      <c r="BG10" s="485"/>
      <c r="BH10" s="485"/>
      <c r="BI10" s="485"/>
      <c r="BJ10" s="485"/>
      <c r="BK10" s="485"/>
    </row>
    <row r="11" spans="1:81" s="132" customFormat="1" ht="10.5" customHeight="1" x14ac:dyDescent="0.15">
      <c r="A11" s="661" t="s">
        <v>619</v>
      </c>
      <c r="B11" s="661"/>
      <c r="X11" s="666" t="str">
        <f>IF(Y15="","",SUM(Y15:Y18))</f>
        <v/>
      </c>
      <c r="Y11" s="666"/>
      <c r="Z11" s="667"/>
      <c r="AB11" s="669" t="str">
        <f>IF(AB15="","",SUM(AB15:AB18))</f>
        <v/>
      </c>
      <c r="AC11" s="669"/>
      <c r="AD11" s="665"/>
      <c r="AE11" s="665"/>
      <c r="AF11" s="665"/>
      <c r="AG11" s="665"/>
      <c r="AH11" s="665"/>
      <c r="AI11" s="665"/>
      <c r="AJ11" s="665"/>
      <c r="AK11" s="665"/>
      <c r="AL11" s="665"/>
      <c r="AM11" s="665"/>
      <c r="AN11" s="72"/>
      <c r="AO11" s="72"/>
      <c r="AP11" s="72"/>
      <c r="AS11" s="143"/>
      <c r="AT11" s="143"/>
      <c r="AU11" s="143"/>
      <c r="AV11" s="140"/>
      <c r="AX11" s="189"/>
      <c r="AY11" s="189"/>
      <c r="BG11" s="132" t="str">
        <f>IF(BG15="","",SUM(BG15:BG18))</f>
        <v/>
      </c>
      <c r="BH11" s="667"/>
      <c r="BJ11" s="189" t="str">
        <f>IF(BJ15="","",SUM(BJ15:BJ18))</f>
        <v/>
      </c>
      <c r="BK11" s="76"/>
      <c r="BL11" s="72"/>
      <c r="BM11" s="72"/>
      <c r="BN11" s="72"/>
      <c r="BQ11" s="143"/>
      <c r="BR11" s="143"/>
      <c r="BS11" s="143"/>
    </row>
    <row r="12" spans="1:81" s="181" customFormat="1" ht="9" hidden="1" customHeight="1" x14ac:dyDescent="0.15">
      <c r="A12" s="661"/>
      <c r="B12" s="661"/>
      <c r="Y12" s="181">
        <f>SUM(Y15:Y20)</f>
        <v>0</v>
      </c>
      <c r="Z12" s="667"/>
      <c r="AB12" s="182">
        <f>SUM(AB15:AB20)</f>
        <v>0</v>
      </c>
      <c r="AV12" s="140"/>
      <c r="BG12" s="181">
        <f>SUM(BG15:BG20)</f>
        <v>0</v>
      </c>
      <c r="BH12" s="667"/>
      <c r="BJ12" s="182">
        <f>SUM(BJ15:BJ20)</f>
        <v>0</v>
      </c>
    </row>
    <row r="13" spans="1:81" s="132" customFormat="1" ht="3.75" customHeight="1" thickBot="1" x14ac:dyDescent="0.2">
      <c r="A13" s="661"/>
      <c r="B13" s="661"/>
      <c r="N13" s="670"/>
      <c r="O13" s="670"/>
      <c r="P13" s="670"/>
      <c r="Q13" s="670"/>
      <c r="R13" s="670"/>
      <c r="S13" s="670"/>
      <c r="T13" s="670"/>
      <c r="U13" s="670"/>
      <c r="V13" s="670"/>
      <c r="W13" s="670"/>
      <c r="X13" s="670"/>
      <c r="Y13" s="670"/>
      <c r="Z13" s="668"/>
      <c r="AA13" s="670"/>
      <c r="AB13" s="670"/>
      <c r="AC13" s="670"/>
      <c r="AD13" s="670"/>
      <c r="AE13" s="670"/>
      <c r="AF13" s="670"/>
      <c r="AG13" s="670"/>
      <c r="AH13" s="670"/>
      <c r="AI13" s="670"/>
      <c r="AJ13" s="670"/>
      <c r="AK13" s="670"/>
      <c r="AL13" s="670"/>
      <c r="AM13" s="670"/>
      <c r="AS13" s="140"/>
      <c r="AT13" s="140"/>
      <c r="AU13" s="140"/>
      <c r="AV13" s="140"/>
      <c r="AW13" s="140"/>
      <c r="AX13" s="140"/>
      <c r="AY13" s="140"/>
      <c r="BF13" s="670"/>
      <c r="BG13" s="670"/>
      <c r="BH13" s="668"/>
      <c r="BI13" s="671"/>
      <c r="BJ13" s="670"/>
      <c r="BK13" s="670"/>
      <c r="BQ13" s="140"/>
      <c r="BR13" s="140"/>
      <c r="BS13" s="140"/>
    </row>
    <row r="14" spans="1:81" s="132" customFormat="1" ht="3.75" customHeight="1" thickTop="1" x14ac:dyDescent="0.15">
      <c r="K14" s="652" t="str">
        <f>IF(OR(L26=O26,L29=""),"",IF(L26&gt;O26,C28,W28))</f>
        <v/>
      </c>
      <c r="L14" s="652"/>
      <c r="M14" s="653"/>
      <c r="N14" s="313"/>
      <c r="O14" s="314"/>
      <c r="P14" s="314"/>
      <c r="Q14" s="314"/>
      <c r="R14" s="314"/>
      <c r="S14" s="314"/>
      <c r="T14" s="314"/>
      <c r="U14" s="314"/>
      <c r="V14" s="314"/>
      <c r="W14" s="314"/>
      <c r="X14" s="314"/>
      <c r="Y14" s="314"/>
      <c r="Z14" s="314"/>
      <c r="AA14" s="314"/>
      <c r="AB14" s="314"/>
      <c r="AC14" s="314"/>
      <c r="AD14" s="314"/>
      <c r="AE14" s="314"/>
      <c r="AF14" s="314"/>
      <c r="AG14" s="314"/>
      <c r="AH14" s="314"/>
      <c r="AI14" s="314"/>
      <c r="AJ14" s="314"/>
      <c r="AK14" s="314"/>
      <c r="AL14" s="314"/>
      <c r="AM14" s="315"/>
      <c r="AN14" s="673"/>
      <c r="AO14" s="684" t="str">
        <f>IF(OR(AL26=AO26,AL29=""),"",IF(AL26&gt;AO26,AC28,AW28))</f>
        <v/>
      </c>
      <c r="AP14" s="684"/>
      <c r="AR14" s="140"/>
      <c r="AZ14" s="140"/>
      <c r="BE14" s="653"/>
      <c r="BF14" s="313"/>
      <c r="BG14" s="314"/>
      <c r="BH14" s="314"/>
      <c r="BI14" s="314"/>
      <c r="BJ14" s="314"/>
      <c r="BK14" s="315"/>
      <c r="BL14" s="673"/>
      <c r="BM14" s="316"/>
      <c r="BN14" s="316"/>
      <c r="BP14" s="140"/>
    </row>
    <row r="15" spans="1:81" s="132" customFormat="1" ht="10.5" customHeight="1" x14ac:dyDescent="0.15">
      <c r="A15" s="312" t="s">
        <v>131</v>
      </c>
      <c r="B15" s="317" t="s">
        <v>607</v>
      </c>
      <c r="C15" s="317"/>
      <c r="D15" s="180"/>
      <c r="E15" s="180"/>
      <c r="F15" s="180"/>
      <c r="G15" s="180"/>
      <c r="H15" s="180"/>
      <c r="I15" s="180"/>
      <c r="J15" s="180"/>
      <c r="K15" s="652"/>
      <c r="L15" s="652"/>
      <c r="M15" s="654"/>
      <c r="N15" s="318"/>
      <c r="Y15" s="183"/>
      <c r="Z15" s="501" t="s">
        <v>72</v>
      </c>
      <c r="AA15" s="501"/>
      <c r="AB15" s="184"/>
      <c r="AM15" s="319"/>
      <c r="AN15" s="674"/>
      <c r="AO15" s="684"/>
      <c r="AP15" s="684"/>
      <c r="AR15" s="140"/>
      <c r="AV15" s="140"/>
      <c r="AW15" s="140"/>
      <c r="AX15" s="189"/>
      <c r="AZ15" s="140"/>
      <c r="BE15" s="653"/>
      <c r="BF15" s="318"/>
      <c r="BG15" s="183"/>
      <c r="BH15" s="501" t="str">
        <f>IF(BM5=FALSE,"","－")</f>
        <v/>
      </c>
      <c r="BI15" s="501"/>
      <c r="BJ15" s="184"/>
      <c r="BK15" s="319"/>
      <c r="BL15" s="673"/>
      <c r="BM15" s="316"/>
      <c r="BN15" s="316"/>
      <c r="BP15" s="140"/>
    </row>
    <row r="16" spans="1:81" s="132" customFormat="1" ht="10.5" customHeight="1" x14ac:dyDescent="0.15">
      <c r="A16" s="312" t="s">
        <v>113</v>
      </c>
      <c r="B16" s="317" t="s">
        <v>608</v>
      </c>
      <c r="C16" s="317"/>
      <c r="D16" s="180"/>
      <c r="E16" s="180"/>
      <c r="F16" s="180"/>
      <c r="G16" s="180"/>
      <c r="H16" s="180"/>
      <c r="I16" s="180"/>
      <c r="J16" s="180"/>
      <c r="K16" s="652"/>
      <c r="L16" s="652"/>
      <c r="M16" s="654"/>
      <c r="N16" s="318"/>
      <c r="Y16" s="183"/>
      <c r="Z16" s="501" t="s">
        <v>72</v>
      </c>
      <c r="AA16" s="501"/>
      <c r="AB16" s="184"/>
      <c r="AM16" s="319"/>
      <c r="AN16" s="674"/>
      <c r="AO16" s="684"/>
      <c r="AP16" s="684"/>
      <c r="AR16" s="140"/>
      <c r="AV16" s="140"/>
      <c r="AW16" s="140"/>
      <c r="AX16" s="189"/>
      <c r="AZ16" s="140"/>
      <c r="BE16" s="653"/>
      <c r="BF16" s="318"/>
      <c r="BG16" s="183"/>
      <c r="BH16" s="501" t="str">
        <f>IF(BM5=FALSE,"","－")</f>
        <v/>
      </c>
      <c r="BI16" s="501"/>
      <c r="BJ16" s="184"/>
      <c r="BK16" s="319"/>
      <c r="BL16" s="673"/>
      <c r="BM16" s="316"/>
      <c r="BN16" s="316"/>
      <c r="BP16" s="140"/>
    </row>
    <row r="17" spans="1:71" s="132" customFormat="1" ht="10.5" customHeight="1" x14ac:dyDescent="0.15">
      <c r="A17" s="312" t="s">
        <v>617</v>
      </c>
      <c r="B17" s="317" t="s">
        <v>609</v>
      </c>
      <c r="C17" s="317"/>
      <c r="D17" s="180"/>
      <c r="E17" s="180"/>
      <c r="F17" s="180"/>
      <c r="G17" s="180"/>
      <c r="H17" s="180"/>
      <c r="I17" s="180"/>
      <c r="J17" s="180"/>
      <c r="K17" s="652"/>
      <c r="L17" s="652"/>
      <c r="M17" s="654"/>
      <c r="N17" s="318"/>
      <c r="Y17" s="183"/>
      <c r="Z17" s="501" t="str">
        <f>IF(OR(AB16="",SUM(Y15:Y16)&lt;&gt;SUM(AB15:AB16)),"","－")</f>
        <v/>
      </c>
      <c r="AA17" s="501"/>
      <c r="AB17" s="184"/>
      <c r="AM17" s="319"/>
      <c r="AN17" s="674"/>
      <c r="AO17" s="684"/>
      <c r="AP17" s="684"/>
      <c r="AR17" s="140"/>
      <c r="AV17" s="140"/>
      <c r="AW17" s="140"/>
      <c r="AX17" s="189"/>
      <c r="AZ17" s="140"/>
      <c r="BE17" s="653"/>
      <c r="BF17" s="318"/>
      <c r="BG17" s="183"/>
      <c r="BH17" s="501" t="str">
        <f>IF(OR(BG15="",SUM(BG15:BG16)&lt;&gt;SUM(BJ15:BJ16)),"","－")</f>
        <v/>
      </c>
      <c r="BI17" s="501"/>
      <c r="BJ17" s="184"/>
      <c r="BK17" s="319"/>
      <c r="BL17" s="673"/>
      <c r="BM17" s="316"/>
      <c r="BN17" s="316"/>
      <c r="BP17" s="140"/>
    </row>
    <row r="18" spans="1:71" s="132" customFormat="1" ht="10.5" customHeight="1" x14ac:dyDescent="0.15">
      <c r="A18" s="312" t="s">
        <v>618</v>
      </c>
      <c r="B18" s="317" t="s">
        <v>610</v>
      </c>
      <c r="C18" s="317"/>
      <c r="D18" s="180"/>
      <c r="E18" s="180"/>
      <c r="F18" s="180"/>
      <c r="G18" s="180"/>
      <c r="H18" s="180"/>
      <c r="I18" s="180"/>
      <c r="J18" s="180"/>
      <c r="K18" s="652"/>
      <c r="L18" s="652"/>
      <c r="M18" s="654"/>
      <c r="N18" s="318"/>
      <c r="Y18" s="183"/>
      <c r="Z18" s="501" t="str">
        <f>IF(OR(AB16="",SUM(Y15:Y16)&lt;&gt;SUM(AB15:AB16)),"","－")</f>
        <v/>
      </c>
      <c r="AA18" s="501"/>
      <c r="AB18" s="184"/>
      <c r="AM18" s="319"/>
      <c r="AN18" s="674"/>
      <c r="AO18" s="684"/>
      <c r="AP18" s="684"/>
      <c r="AR18" s="140"/>
      <c r="AV18" s="140"/>
      <c r="AW18" s="140"/>
      <c r="AX18" s="189"/>
      <c r="AZ18" s="140"/>
      <c r="BE18" s="653"/>
      <c r="BF18" s="318"/>
      <c r="BG18" s="183"/>
      <c r="BH18" s="501" t="str">
        <f>IF(OR(BG15="",SUM(BG15:BG16)&lt;&gt;SUM(BJ15:BJ16)),"","－")</f>
        <v/>
      </c>
      <c r="BI18" s="501"/>
      <c r="BJ18" s="184"/>
      <c r="BK18" s="319"/>
      <c r="BL18" s="673"/>
      <c r="BM18" s="316"/>
      <c r="BN18" s="316"/>
      <c r="BP18" s="140"/>
    </row>
    <row r="19" spans="1:71" s="132" customFormat="1" ht="10.5" customHeight="1" x14ac:dyDescent="0.15">
      <c r="A19" s="312" t="s">
        <v>591</v>
      </c>
      <c r="B19" s="317" t="s">
        <v>611</v>
      </c>
      <c r="C19" s="320"/>
      <c r="K19" s="652"/>
      <c r="L19" s="652"/>
      <c r="M19" s="654"/>
      <c r="N19" s="318"/>
      <c r="Y19" s="501" t="str">
        <f>IF(OR(AB18="",SUM(Y15:Y18)&lt;&gt;SUM(AB15:AB18)),"","PK")</f>
        <v/>
      </c>
      <c r="Z19" s="501"/>
      <c r="AA19" s="501"/>
      <c r="AB19" s="501"/>
      <c r="AM19" s="319"/>
      <c r="AN19" s="674"/>
      <c r="AO19" s="684"/>
      <c r="AP19" s="684"/>
      <c r="AR19" s="140"/>
      <c r="AV19" s="140"/>
      <c r="AW19" s="140"/>
      <c r="AX19" s="189"/>
      <c r="AZ19" s="140"/>
      <c r="BE19" s="653"/>
      <c r="BF19" s="318"/>
      <c r="BG19" s="501" t="str">
        <f>IF(OR(BJ18="",SUM(BG15:BG18)&lt;&gt;SUM(BJ15:BJ18)),"","PK")</f>
        <v/>
      </c>
      <c r="BH19" s="501"/>
      <c r="BI19" s="501"/>
      <c r="BJ19" s="501"/>
      <c r="BK19" s="319"/>
      <c r="BL19" s="673"/>
      <c r="BM19" s="316"/>
      <c r="BN19" s="316"/>
      <c r="BP19" s="140"/>
    </row>
    <row r="20" spans="1:71" s="132" customFormat="1" ht="10.5" customHeight="1" x14ac:dyDescent="0.15">
      <c r="K20" s="652"/>
      <c r="L20" s="652"/>
      <c r="M20" s="654"/>
      <c r="N20" s="318"/>
      <c r="Y20" s="183"/>
      <c r="Z20" s="501" t="str">
        <f>IF(OR(AB18="",SUM(Y15:Y18)&lt;&gt;SUM(AB15:AB18)),"","－")</f>
        <v/>
      </c>
      <c r="AA20" s="501"/>
      <c r="AB20" s="184"/>
      <c r="AM20" s="319"/>
      <c r="AN20" s="674"/>
      <c r="AO20" s="684"/>
      <c r="AP20" s="684"/>
      <c r="AR20" s="140"/>
      <c r="AV20" s="140"/>
      <c r="AW20" s="140"/>
      <c r="AX20" s="189"/>
      <c r="AZ20" s="140"/>
      <c r="BE20" s="653"/>
      <c r="BF20" s="318"/>
      <c r="BG20" s="183"/>
      <c r="BH20" s="501" t="str">
        <f>IF(OR(BJ18="",SUM(BG15:BG18)&lt;&gt;SUM(BJ15:BJ18)),"","－")</f>
        <v/>
      </c>
      <c r="BI20" s="501"/>
      <c r="BJ20" s="184"/>
      <c r="BK20" s="319"/>
      <c r="BL20" s="673"/>
      <c r="BM20" s="316"/>
      <c r="BN20" s="316"/>
      <c r="BP20" s="140"/>
    </row>
    <row r="21" spans="1:71" s="132" customFormat="1" ht="10.5" customHeight="1" x14ac:dyDescent="0.15">
      <c r="K21" s="652"/>
      <c r="L21" s="652"/>
      <c r="M21" s="654"/>
      <c r="N21" s="318"/>
      <c r="X21" s="504" t="s">
        <v>655</v>
      </c>
      <c r="Y21" s="504"/>
      <c r="Z21" s="696" t="s">
        <v>669</v>
      </c>
      <c r="AA21" s="696"/>
      <c r="AB21" s="696"/>
      <c r="AC21" s="696"/>
      <c r="AM21" s="319"/>
      <c r="AN21" s="674"/>
      <c r="AO21" s="684"/>
      <c r="AP21" s="684"/>
      <c r="AR21" s="140"/>
      <c r="AS21" s="187"/>
      <c r="AT21" s="187"/>
      <c r="AU21" s="187"/>
      <c r="AV21" s="187"/>
      <c r="AW21" s="187"/>
      <c r="AX21" s="187"/>
      <c r="AY21" s="187"/>
      <c r="AZ21" s="140"/>
      <c r="BE21" s="653"/>
      <c r="BF21" s="717" t="s">
        <v>657</v>
      </c>
      <c r="BG21" s="538"/>
      <c r="BH21" s="696" t="s">
        <v>669</v>
      </c>
      <c r="BI21" s="696"/>
      <c r="BJ21" s="696"/>
      <c r="BK21" s="716"/>
      <c r="BL21" s="673"/>
      <c r="BM21" s="316"/>
      <c r="BN21" s="316"/>
      <c r="BP21" s="140"/>
      <c r="BQ21" s="187"/>
      <c r="BR21" s="187"/>
      <c r="BS21" s="187"/>
    </row>
    <row r="22" spans="1:71" s="132" customFormat="1" ht="10.5" customHeight="1" x14ac:dyDescent="0.15">
      <c r="K22" s="652"/>
      <c r="L22" s="652"/>
      <c r="M22" s="654"/>
      <c r="N22" s="318"/>
      <c r="X22" s="140"/>
      <c r="Y22" s="140"/>
      <c r="Z22" s="140"/>
      <c r="AA22" s="140"/>
      <c r="AB22" s="140"/>
      <c r="AC22" s="140"/>
      <c r="AM22" s="319"/>
      <c r="AN22" s="674"/>
      <c r="AO22" s="684"/>
      <c r="AP22" s="684"/>
      <c r="AR22" s="140"/>
      <c r="AS22" s="187"/>
      <c r="AT22" s="187"/>
      <c r="AU22" s="187"/>
      <c r="AV22" s="187"/>
      <c r="AW22" s="187"/>
      <c r="AX22" s="187"/>
      <c r="AY22" s="187"/>
      <c r="AZ22" s="140"/>
      <c r="BE22" s="653"/>
      <c r="BF22" s="714"/>
      <c r="BG22" s="712"/>
      <c r="BH22" s="712"/>
      <c r="BI22" s="712"/>
      <c r="BJ22" s="712"/>
      <c r="BK22" s="715"/>
      <c r="BL22" s="673"/>
      <c r="BM22" s="316"/>
      <c r="BN22" s="316"/>
      <c r="BP22" s="140"/>
      <c r="BQ22" s="187"/>
      <c r="BR22" s="187"/>
      <c r="BS22" s="187"/>
    </row>
    <row r="23" spans="1:71" s="132" customFormat="1" ht="10.5" customHeight="1" x14ac:dyDescent="0.15">
      <c r="A23" s="72" t="s">
        <v>110</v>
      </c>
      <c r="K23" s="652"/>
      <c r="L23" s="652"/>
      <c r="M23" s="654"/>
      <c r="N23" s="714" t="s">
        <v>648</v>
      </c>
      <c r="O23" s="712"/>
      <c r="P23" s="712"/>
      <c r="Q23" s="712"/>
      <c r="R23" s="712"/>
      <c r="S23" s="712"/>
      <c r="T23" s="712"/>
      <c r="U23" s="712"/>
      <c r="V23" s="712"/>
      <c r="W23" s="712"/>
      <c r="X23" s="712"/>
      <c r="Y23" s="712"/>
      <c r="Z23" s="712"/>
      <c r="AA23" s="712"/>
      <c r="AB23" s="712"/>
      <c r="AC23" s="712"/>
      <c r="AD23" s="712"/>
      <c r="AE23" s="712"/>
      <c r="AF23" s="712"/>
      <c r="AG23" s="712"/>
      <c r="AH23" s="712"/>
      <c r="AI23" s="712"/>
      <c r="AJ23" s="712"/>
      <c r="AK23" s="712"/>
      <c r="AL23" s="712"/>
      <c r="AM23" s="715"/>
      <c r="AN23" s="674"/>
      <c r="AO23" s="684"/>
      <c r="AP23" s="684"/>
      <c r="AQ23" s="188"/>
      <c r="AR23" s="188"/>
      <c r="AS23" s="188"/>
      <c r="AT23" s="188"/>
      <c r="AU23" s="188"/>
      <c r="AX23" s="188"/>
      <c r="AY23" s="188"/>
      <c r="AZ23" s="188"/>
      <c r="BA23" s="188"/>
      <c r="BE23" s="653"/>
      <c r="BF23" s="714" t="str">
        <f>IF(OR(BM5=FALSE,BG15&lt;&gt;""),"","【１２】")</f>
        <v/>
      </c>
      <c r="BG23" s="712"/>
      <c r="BH23" s="712"/>
      <c r="BI23" s="712"/>
      <c r="BJ23" s="712"/>
      <c r="BK23" s="715"/>
      <c r="BL23" s="673"/>
      <c r="BM23" s="316"/>
      <c r="BN23" s="316"/>
      <c r="BO23" s="188"/>
      <c r="BP23" s="188"/>
      <c r="BQ23" s="188"/>
      <c r="BR23" s="188"/>
      <c r="BS23" s="188"/>
    </row>
    <row r="24" spans="1:71" s="132" customFormat="1" ht="10.5" customHeight="1" x14ac:dyDescent="0.15">
      <c r="A24" s="423">
        <f ca="1">DATE(BT4,BU4,INDEX($BV$4:$CB$4,1,MATCH("○",$BV$5:$CB$5,0))+5)</f>
        <v>45857</v>
      </c>
      <c r="K24" s="652"/>
      <c r="L24" s="652"/>
      <c r="M24" s="654"/>
      <c r="N24" s="318"/>
      <c r="O24" s="669"/>
      <c r="P24" s="669"/>
      <c r="AK24" s="666"/>
      <c r="AL24" s="666"/>
      <c r="AM24" s="319"/>
      <c r="AN24" s="674"/>
      <c r="AO24" s="684"/>
      <c r="AP24" s="684"/>
      <c r="AQ24" s="188"/>
      <c r="AR24" s="188"/>
      <c r="AS24" s="188"/>
      <c r="AT24" s="188"/>
      <c r="AU24" s="188"/>
      <c r="AX24" s="188"/>
      <c r="AY24" s="188"/>
      <c r="AZ24" s="188"/>
      <c r="BA24" s="188"/>
      <c r="BC24" s="672" t="str">
        <f>IF(BM5=FALSE,"",IF(K14=C28,W28,C28))</f>
        <v/>
      </c>
      <c r="BD24" s="672"/>
      <c r="BE24" s="672"/>
      <c r="BF24" s="672"/>
      <c r="BG24" s="672"/>
      <c r="BH24" s="672"/>
      <c r="BI24" s="672" t="str">
        <f>IF(BM5=FALSE,"",IF(AO14=AC28,AW28,AC28))</f>
        <v/>
      </c>
      <c r="BJ24" s="672"/>
      <c r="BK24" s="672"/>
      <c r="BL24" s="672"/>
      <c r="BM24" s="672"/>
      <c r="BN24" s="672"/>
      <c r="BO24" s="188"/>
      <c r="BP24" s="188"/>
      <c r="BQ24" s="188"/>
      <c r="BR24" s="188"/>
      <c r="BS24" s="188"/>
    </row>
    <row r="25" spans="1:71" s="132" customFormat="1" ht="10.5" customHeight="1" x14ac:dyDescent="0.15">
      <c r="A25" s="75" t="str">
        <f ca="1">"("&amp;CHOOSE(WEEKDAY(A24),"日","月","火","水","木","金","土")&amp;")"</f>
        <v>(土)</v>
      </c>
      <c r="K25" s="666" t="str">
        <f>IF(L29="","",SUM(L29:L32))</f>
        <v/>
      </c>
      <c r="L25" s="666"/>
      <c r="M25" s="654"/>
      <c r="N25" s="318"/>
      <c r="O25" s="669" t="str">
        <f>IF(O29="","",SUM(O29:O32))</f>
        <v/>
      </c>
      <c r="P25" s="669"/>
      <c r="AK25" s="666" t="str">
        <f>IF(AL29="","",SUM(AL29:AL32))</f>
        <v/>
      </c>
      <c r="AL25" s="666"/>
      <c r="AM25" s="319"/>
      <c r="AN25" s="674"/>
      <c r="AO25" s="669" t="str">
        <f>IF(AO29="","",SUM(AO29:AO32))</f>
        <v/>
      </c>
      <c r="AP25" s="669"/>
      <c r="AQ25" s="188"/>
      <c r="AR25" s="188"/>
      <c r="AS25" s="188"/>
      <c r="AT25" s="188"/>
      <c r="AU25" s="188"/>
      <c r="AX25" s="188"/>
      <c r="AY25" s="188"/>
      <c r="AZ25" s="188"/>
      <c r="BA25" s="188"/>
      <c r="BC25" s="672"/>
      <c r="BD25" s="672"/>
      <c r="BE25" s="672"/>
      <c r="BF25" s="672"/>
      <c r="BG25" s="672"/>
      <c r="BH25" s="672"/>
      <c r="BI25" s="672"/>
      <c r="BJ25" s="672"/>
      <c r="BK25" s="672"/>
      <c r="BL25" s="672"/>
      <c r="BM25" s="672"/>
      <c r="BN25" s="672"/>
      <c r="BO25" s="188"/>
      <c r="BP25" s="188"/>
      <c r="BQ25" s="188"/>
      <c r="BR25" s="188"/>
      <c r="BS25" s="188"/>
    </row>
    <row r="26" spans="1:71" s="132" customFormat="1" ht="9" hidden="1" customHeight="1" x14ac:dyDescent="0.15">
      <c r="A26" s="75"/>
      <c r="K26" s="181"/>
      <c r="L26" s="181">
        <f>SUM(L29:L34)</f>
        <v>0</v>
      </c>
      <c r="M26" s="654"/>
      <c r="N26" s="318"/>
      <c r="O26" s="182">
        <f>SUM(O29:O34)</f>
        <v>0</v>
      </c>
      <c r="P26" s="181"/>
      <c r="AK26" s="181"/>
      <c r="AL26" s="181">
        <f>SUM(AL29:AL34)</f>
        <v>0</v>
      </c>
      <c r="AM26" s="319"/>
      <c r="AN26" s="674"/>
      <c r="AO26" s="182">
        <f>SUM(AO29:AO34)</f>
        <v>0</v>
      </c>
      <c r="AP26" s="181"/>
      <c r="AQ26" s="188"/>
      <c r="AR26" s="188"/>
      <c r="AS26" s="188"/>
      <c r="AT26" s="188"/>
      <c r="AU26" s="188"/>
      <c r="AX26" s="188"/>
      <c r="AY26" s="188"/>
      <c r="AZ26" s="188"/>
      <c r="BA26" s="188"/>
      <c r="BM26" s="182"/>
      <c r="BN26" s="181"/>
      <c r="BO26" s="188"/>
      <c r="BP26" s="188"/>
      <c r="BQ26" s="188"/>
      <c r="BR26" s="188"/>
      <c r="BS26" s="188"/>
    </row>
    <row r="27" spans="1:71" s="132" customFormat="1" ht="3.75" customHeight="1" thickBot="1" x14ac:dyDescent="0.2">
      <c r="A27" s="72"/>
      <c r="F27" s="677"/>
      <c r="G27" s="677"/>
      <c r="H27" s="677"/>
      <c r="I27" s="677"/>
      <c r="J27" s="677"/>
      <c r="K27" s="677"/>
      <c r="L27" s="677"/>
      <c r="M27" s="655"/>
      <c r="N27" s="676"/>
      <c r="O27" s="677"/>
      <c r="P27" s="677"/>
      <c r="Q27" s="677"/>
      <c r="R27" s="677"/>
      <c r="S27" s="677"/>
      <c r="T27" s="677"/>
      <c r="U27" s="677"/>
      <c r="AF27" s="677"/>
      <c r="AG27" s="677"/>
      <c r="AH27" s="677"/>
      <c r="AI27" s="677"/>
      <c r="AJ27" s="677"/>
      <c r="AK27" s="677"/>
      <c r="AL27" s="677"/>
      <c r="AM27" s="678"/>
      <c r="AN27" s="675"/>
      <c r="AO27" s="677"/>
      <c r="AP27" s="677"/>
      <c r="AQ27" s="677"/>
      <c r="AR27" s="677"/>
      <c r="AS27" s="677"/>
      <c r="AT27" s="677"/>
      <c r="AU27" s="677"/>
      <c r="BM27" s="501"/>
      <c r="BN27" s="501"/>
      <c r="BO27" s="501"/>
      <c r="BP27" s="501"/>
      <c r="BQ27" s="501"/>
      <c r="BR27" s="501"/>
      <c r="BS27" s="501"/>
    </row>
    <row r="28" spans="1:71" s="181" customFormat="1" ht="3.75" customHeight="1" thickTop="1" x14ac:dyDescent="0.15">
      <c r="A28" s="130"/>
      <c r="C28" s="652" t="str">
        <f>IF(OR(D40=G40,C43=""),"",IF(D40&gt;G40,B74,K42))</f>
        <v/>
      </c>
      <c r="D28" s="652"/>
      <c r="E28" s="679"/>
      <c r="F28" s="321"/>
      <c r="G28" s="322"/>
      <c r="H28" s="322"/>
      <c r="I28" s="322"/>
      <c r="J28" s="322"/>
      <c r="K28" s="322"/>
      <c r="L28" s="322"/>
      <c r="M28" s="322"/>
      <c r="N28" s="322"/>
      <c r="O28" s="322"/>
      <c r="P28" s="322"/>
      <c r="Q28" s="322"/>
      <c r="R28" s="322"/>
      <c r="S28" s="322"/>
      <c r="T28" s="322"/>
      <c r="U28" s="323"/>
      <c r="V28" s="681"/>
      <c r="W28" s="684" t="str">
        <f>IF(OR(T40=W40,S43=""),"",IF(T40&gt;W40,O42,X74))</f>
        <v/>
      </c>
      <c r="X28" s="684"/>
      <c r="Z28" s="685"/>
      <c r="AA28" s="685"/>
      <c r="AC28" s="652" t="str">
        <f>IF(OR(AD40=AG40,AC43=""),"",IF(AD40&gt;AG40,AB74,AK42))</f>
        <v/>
      </c>
      <c r="AD28" s="652"/>
      <c r="AE28" s="679"/>
      <c r="AF28" s="321"/>
      <c r="AG28" s="322"/>
      <c r="AH28" s="322"/>
      <c r="AI28" s="322"/>
      <c r="AJ28" s="322"/>
      <c r="AK28" s="322"/>
      <c r="AL28" s="322"/>
      <c r="AM28" s="322"/>
      <c r="AN28" s="322"/>
      <c r="AO28" s="322"/>
      <c r="AP28" s="322"/>
      <c r="AQ28" s="322"/>
      <c r="AR28" s="322"/>
      <c r="AS28" s="322"/>
      <c r="AT28" s="322"/>
      <c r="AU28" s="323"/>
      <c r="AV28" s="681"/>
      <c r="AW28" s="684" t="str">
        <f>IF(OR(AT40=AW40,AS43=""),"",IF(AT40&gt;AW40,AO42,AX74))</f>
        <v/>
      </c>
      <c r="AX28" s="684"/>
      <c r="BD28" s="132"/>
      <c r="BE28" s="132"/>
      <c r="BF28" s="132"/>
      <c r="BG28" s="132"/>
      <c r="BH28" s="132"/>
      <c r="BI28" s="132"/>
      <c r="BJ28" s="132"/>
      <c r="BK28" s="132"/>
      <c r="BL28" s="132"/>
    </row>
    <row r="29" spans="1:71" s="132" customFormat="1" ht="10.5" customHeight="1" x14ac:dyDescent="0.15">
      <c r="A29" s="72"/>
      <c r="C29" s="652"/>
      <c r="D29" s="652"/>
      <c r="E29" s="640"/>
      <c r="F29" s="324"/>
      <c r="J29" s="140"/>
      <c r="L29" s="183"/>
      <c r="M29" s="501" t="s">
        <v>72</v>
      </c>
      <c r="N29" s="501"/>
      <c r="O29" s="184"/>
      <c r="Q29" s="140"/>
      <c r="U29" s="325"/>
      <c r="V29" s="682"/>
      <c r="W29" s="684"/>
      <c r="X29" s="684"/>
      <c r="Z29" s="501"/>
      <c r="AA29" s="501"/>
      <c r="AC29" s="652"/>
      <c r="AD29" s="652"/>
      <c r="AE29" s="640"/>
      <c r="AF29" s="324"/>
      <c r="AL29" s="183"/>
      <c r="AM29" s="501" t="s">
        <v>72</v>
      </c>
      <c r="AN29" s="501"/>
      <c r="AO29" s="184"/>
      <c r="AU29" s="325"/>
      <c r="AV29" s="682"/>
      <c r="AW29" s="684"/>
      <c r="AX29" s="684"/>
    </row>
    <row r="30" spans="1:71" s="132" customFormat="1" ht="10.5" customHeight="1" x14ac:dyDescent="0.15">
      <c r="A30" s="72"/>
      <c r="C30" s="652"/>
      <c r="D30" s="652"/>
      <c r="E30" s="640"/>
      <c r="F30" s="326"/>
      <c r="G30" s="185"/>
      <c r="H30" s="185"/>
      <c r="I30" s="140"/>
      <c r="L30" s="183"/>
      <c r="M30" s="501" t="s">
        <v>72</v>
      </c>
      <c r="N30" s="501"/>
      <c r="O30" s="184"/>
      <c r="R30" s="140"/>
      <c r="S30" s="186"/>
      <c r="T30" s="186"/>
      <c r="U30" s="327"/>
      <c r="V30" s="682"/>
      <c r="W30" s="684"/>
      <c r="X30" s="684"/>
      <c r="AC30" s="652"/>
      <c r="AD30" s="652"/>
      <c r="AE30" s="640"/>
      <c r="AF30" s="326"/>
      <c r="AG30" s="185"/>
      <c r="AH30" s="185"/>
      <c r="AI30" s="140"/>
      <c r="AL30" s="183"/>
      <c r="AM30" s="501" t="s">
        <v>72</v>
      </c>
      <c r="AN30" s="501"/>
      <c r="AO30" s="184"/>
      <c r="AR30" s="140"/>
      <c r="AS30" s="186"/>
      <c r="AT30" s="186"/>
      <c r="AU30" s="327"/>
      <c r="AV30" s="682"/>
      <c r="AW30" s="684"/>
      <c r="AX30" s="684"/>
    </row>
    <row r="31" spans="1:71" s="132" customFormat="1" ht="10.5" customHeight="1" x14ac:dyDescent="0.15">
      <c r="A31" s="72"/>
      <c r="C31" s="652"/>
      <c r="D31" s="652"/>
      <c r="E31" s="640"/>
      <c r="F31" s="326"/>
      <c r="G31" s="185"/>
      <c r="H31" s="185"/>
      <c r="I31" s="140"/>
      <c r="L31" s="183"/>
      <c r="M31" s="501" t="str">
        <f>IF(OR(O30="",SUM(L29:L30)&lt;&gt;SUM(O29:O30)),"","－")</f>
        <v/>
      </c>
      <c r="N31" s="501"/>
      <c r="O31" s="184"/>
      <c r="R31" s="140"/>
      <c r="S31" s="186"/>
      <c r="T31" s="186"/>
      <c r="U31" s="327"/>
      <c r="V31" s="682"/>
      <c r="W31" s="684"/>
      <c r="X31" s="684"/>
      <c r="AC31" s="652"/>
      <c r="AD31" s="652"/>
      <c r="AE31" s="640"/>
      <c r="AF31" s="326"/>
      <c r="AG31" s="185"/>
      <c r="AH31" s="185"/>
      <c r="AI31" s="140"/>
      <c r="AL31" s="183"/>
      <c r="AM31" s="501" t="str">
        <f>IF(OR(AO30="",SUM(AL29:AL30)&lt;&gt;SUM(AO29:AO30)),"","－")</f>
        <v/>
      </c>
      <c r="AN31" s="501"/>
      <c r="AO31" s="184"/>
      <c r="AR31" s="140"/>
      <c r="AS31" s="186"/>
      <c r="AT31" s="186"/>
      <c r="AU31" s="327"/>
      <c r="AV31" s="682"/>
      <c r="AW31" s="684"/>
      <c r="AX31" s="684"/>
    </row>
    <row r="32" spans="1:71" s="132" customFormat="1" ht="10.5" customHeight="1" x14ac:dyDescent="0.15">
      <c r="A32" s="72"/>
      <c r="C32" s="652"/>
      <c r="D32" s="652"/>
      <c r="E32" s="640"/>
      <c r="F32" s="326"/>
      <c r="G32" s="185"/>
      <c r="H32" s="185"/>
      <c r="I32" s="140"/>
      <c r="L32" s="183"/>
      <c r="M32" s="501" t="str">
        <f>IF(OR(O30="",SUM(L29:L30)&lt;&gt;SUM(O29:O30)),"","－")</f>
        <v/>
      </c>
      <c r="N32" s="501"/>
      <c r="O32" s="184"/>
      <c r="R32" s="140"/>
      <c r="S32" s="186"/>
      <c r="T32" s="186"/>
      <c r="U32" s="327"/>
      <c r="V32" s="682"/>
      <c r="W32" s="684"/>
      <c r="X32" s="684"/>
      <c r="AC32" s="652"/>
      <c r="AD32" s="652"/>
      <c r="AE32" s="640"/>
      <c r="AF32" s="326"/>
      <c r="AG32" s="185"/>
      <c r="AH32" s="185"/>
      <c r="AI32" s="140"/>
      <c r="AL32" s="183"/>
      <c r="AM32" s="501" t="str">
        <f>IF(OR(AO30="",SUM(AL29:AL30)&lt;&gt;SUM(AO29:AO30)),"","－")</f>
        <v/>
      </c>
      <c r="AN32" s="501"/>
      <c r="AO32" s="184"/>
      <c r="AR32" s="140"/>
      <c r="AS32" s="186"/>
      <c r="AT32" s="186"/>
      <c r="AU32" s="327"/>
      <c r="AV32" s="682"/>
      <c r="AW32" s="684"/>
      <c r="AX32" s="684"/>
    </row>
    <row r="33" spans="1:64" s="132" customFormat="1" ht="10.5" customHeight="1" x14ac:dyDescent="0.15">
      <c r="A33" s="72"/>
      <c r="C33" s="652"/>
      <c r="D33" s="652"/>
      <c r="E33" s="640"/>
      <c r="F33" s="326"/>
      <c r="G33" s="185"/>
      <c r="H33" s="185"/>
      <c r="I33" s="140"/>
      <c r="L33" s="501" t="str">
        <f>IF(OR(O32="",SUM(L29:L32)&lt;&gt;SUM(O29:O32)),"","PK")</f>
        <v/>
      </c>
      <c r="M33" s="501"/>
      <c r="N33" s="501"/>
      <c r="O33" s="501"/>
      <c r="R33" s="140"/>
      <c r="S33" s="186"/>
      <c r="T33" s="186"/>
      <c r="U33" s="327"/>
      <c r="V33" s="682"/>
      <c r="W33" s="684"/>
      <c r="X33" s="684"/>
      <c r="AC33" s="652"/>
      <c r="AD33" s="652"/>
      <c r="AE33" s="640"/>
      <c r="AF33" s="326"/>
      <c r="AG33" s="185"/>
      <c r="AH33" s="185"/>
      <c r="AI33" s="140"/>
      <c r="AL33" s="501" t="str">
        <f>IF(OR(AO32="",SUM(AL29:AL32)&lt;&gt;SUM(AO29:AO32)),"","PK")</f>
        <v/>
      </c>
      <c r="AM33" s="501"/>
      <c r="AN33" s="501"/>
      <c r="AO33" s="501"/>
      <c r="AR33" s="140"/>
      <c r="AS33" s="186"/>
      <c r="AT33" s="186"/>
      <c r="AU33" s="327"/>
      <c r="AV33" s="682"/>
      <c r="AW33" s="684"/>
      <c r="AX33" s="684"/>
    </row>
    <row r="34" spans="1:64" s="132" customFormat="1" ht="10.5" customHeight="1" x14ac:dyDescent="0.15">
      <c r="A34" s="72"/>
      <c r="C34" s="652"/>
      <c r="D34" s="652"/>
      <c r="E34" s="640"/>
      <c r="F34" s="326"/>
      <c r="G34" s="185"/>
      <c r="H34" s="185"/>
      <c r="I34" s="140"/>
      <c r="L34" s="183"/>
      <c r="M34" s="501" t="str">
        <f>IF(OR(O32="",SUM(L29:L32)&lt;&gt;SUM(O29:O32)),"","－")</f>
        <v/>
      </c>
      <c r="N34" s="501"/>
      <c r="O34" s="184"/>
      <c r="R34" s="140"/>
      <c r="S34" s="186"/>
      <c r="T34" s="186"/>
      <c r="U34" s="327"/>
      <c r="V34" s="682"/>
      <c r="W34" s="684"/>
      <c r="X34" s="684"/>
      <c r="AC34" s="652"/>
      <c r="AD34" s="652"/>
      <c r="AE34" s="640"/>
      <c r="AF34" s="326"/>
      <c r="AG34" s="185"/>
      <c r="AH34" s="185"/>
      <c r="AI34" s="140"/>
      <c r="AL34" s="183"/>
      <c r="AM34" s="501" t="str">
        <f>IF(OR(AO32="",SUM(AL29:AL32)&lt;&gt;SUM(AO29:AO32)),"","－")</f>
        <v/>
      </c>
      <c r="AN34" s="501"/>
      <c r="AO34" s="184"/>
      <c r="AR34" s="140"/>
      <c r="AS34" s="186"/>
      <c r="AT34" s="186"/>
      <c r="AU34" s="327"/>
      <c r="AV34" s="682"/>
      <c r="AW34" s="684"/>
      <c r="AX34" s="684"/>
    </row>
    <row r="35" spans="1:64" ht="10.5" customHeight="1" x14ac:dyDescent="0.15">
      <c r="C35" s="652"/>
      <c r="D35" s="652"/>
      <c r="E35" s="640"/>
      <c r="F35" s="425"/>
      <c r="G35" s="420"/>
      <c r="H35" s="420"/>
      <c r="I35" s="76"/>
      <c r="K35" s="504" t="s">
        <v>655</v>
      </c>
      <c r="L35" s="504"/>
      <c r="M35" s="696" t="s">
        <v>668</v>
      </c>
      <c r="N35" s="696"/>
      <c r="O35" s="696"/>
      <c r="P35" s="696"/>
      <c r="R35" s="76"/>
      <c r="S35" s="139"/>
      <c r="T35" s="139"/>
      <c r="U35" s="426"/>
      <c r="V35" s="682"/>
      <c r="W35" s="684"/>
      <c r="X35" s="684"/>
      <c r="AC35" s="652"/>
      <c r="AD35" s="652"/>
      <c r="AE35" s="640"/>
      <c r="AF35" s="425"/>
      <c r="AG35" s="420"/>
      <c r="AH35" s="420"/>
      <c r="AI35" s="76"/>
      <c r="AK35" s="504" t="s">
        <v>657</v>
      </c>
      <c r="AL35" s="504"/>
      <c r="AM35" s="696" t="s">
        <v>668</v>
      </c>
      <c r="AN35" s="696"/>
      <c r="AO35" s="696"/>
      <c r="AP35" s="696"/>
      <c r="AR35" s="76"/>
      <c r="AS35" s="139"/>
      <c r="AT35" s="139"/>
      <c r="AU35" s="426"/>
      <c r="AV35" s="682"/>
      <c r="AW35" s="684"/>
      <c r="AX35" s="684"/>
    </row>
    <row r="36" spans="1:64" s="132" customFormat="1" ht="10.5" customHeight="1" x14ac:dyDescent="0.15">
      <c r="A36" s="72"/>
      <c r="C36" s="652"/>
      <c r="D36" s="652"/>
      <c r="E36" s="640"/>
      <c r="F36" s="326"/>
      <c r="G36" s="185"/>
      <c r="H36" s="185"/>
      <c r="I36" s="140"/>
      <c r="K36" s="140"/>
      <c r="L36" s="140"/>
      <c r="M36" s="140"/>
      <c r="N36" s="140"/>
      <c r="O36" s="140"/>
      <c r="P36" s="140"/>
      <c r="R36" s="140"/>
      <c r="S36" s="186"/>
      <c r="T36" s="186"/>
      <c r="U36" s="327"/>
      <c r="V36" s="682"/>
      <c r="W36" s="684"/>
      <c r="X36" s="684"/>
      <c r="AC36" s="652"/>
      <c r="AD36" s="652"/>
      <c r="AE36" s="640"/>
      <c r="AF36" s="326"/>
      <c r="AG36" s="185"/>
      <c r="AH36" s="185"/>
      <c r="AI36" s="140"/>
      <c r="AK36" s="140"/>
      <c r="AL36" s="140"/>
      <c r="AM36" s="140"/>
      <c r="AN36" s="140"/>
      <c r="AO36" s="140"/>
      <c r="AP36" s="140"/>
      <c r="AR36" s="140"/>
      <c r="AS36" s="186"/>
      <c r="AT36" s="186"/>
      <c r="AU36" s="327"/>
      <c r="AV36" s="682"/>
      <c r="AW36" s="684"/>
      <c r="AX36" s="684"/>
    </row>
    <row r="37" spans="1:64" s="424" customFormat="1" ht="10.5" customHeight="1" x14ac:dyDescent="0.15">
      <c r="C37" s="652"/>
      <c r="D37" s="652"/>
      <c r="E37" s="640"/>
      <c r="F37" s="711" t="s">
        <v>646</v>
      </c>
      <c r="G37" s="712"/>
      <c r="H37" s="712"/>
      <c r="I37" s="712"/>
      <c r="J37" s="712"/>
      <c r="K37" s="712"/>
      <c r="L37" s="712"/>
      <c r="M37" s="712"/>
      <c r="N37" s="712"/>
      <c r="O37" s="712"/>
      <c r="P37" s="712"/>
      <c r="Q37" s="712"/>
      <c r="R37" s="712"/>
      <c r="S37" s="712"/>
      <c r="T37" s="712"/>
      <c r="U37" s="713"/>
      <c r="V37" s="682"/>
      <c r="W37" s="684"/>
      <c r="X37" s="684"/>
      <c r="AC37" s="652"/>
      <c r="AD37" s="652"/>
      <c r="AE37" s="640"/>
      <c r="AF37" s="711" t="s">
        <v>647</v>
      </c>
      <c r="AG37" s="712"/>
      <c r="AH37" s="712"/>
      <c r="AI37" s="712"/>
      <c r="AJ37" s="712"/>
      <c r="AK37" s="712"/>
      <c r="AL37" s="712"/>
      <c r="AM37" s="712"/>
      <c r="AN37" s="712"/>
      <c r="AO37" s="712"/>
      <c r="AP37" s="712"/>
      <c r="AQ37" s="712"/>
      <c r="AR37" s="712"/>
      <c r="AS37" s="712"/>
      <c r="AT37" s="712"/>
      <c r="AU37" s="713"/>
      <c r="AV37" s="682"/>
      <c r="AW37" s="684"/>
      <c r="AX37" s="684"/>
    </row>
    <row r="38" spans="1:64" s="132" customFormat="1" ht="10.5" customHeight="1" x14ac:dyDescent="0.15">
      <c r="A38" s="72"/>
      <c r="C38" s="652"/>
      <c r="D38" s="652"/>
      <c r="E38" s="640"/>
      <c r="F38" s="324"/>
      <c r="I38" s="140"/>
      <c r="R38" s="140"/>
      <c r="U38" s="325"/>
      <c r="V38" s="682"/>
      <c r="W38" s="684"/>
      <c r="X38" s="684"/>
      <c r="AC38" s="652"/>
      <c r="AD38" s="652"/>
      <c r="AE38" s="640"/>
      <c r="AF38" s="324"/>
      <c r="AI38" s="140"/>
      <c r="AR38" s="140"/>
      <c r="AU38" s="325"/>
      <c r="AV38" s="682"/>
      <c r="AW38" s="684"/>
      <c r="AX38" s="684"/>
    </row>
    <row r="39" spans="1:64" s="132" customFormat="1" ht="10.5" customHeight="1" x14ac:dyDescent="0.15">
      <c r="A39" s="72"/>
      <c r="C39" s="666" t="str">
        <f>IF(C43="","",SUM(C43:C46))</f>
        <v/>
      </c>
      <c r="D39" s="666"/>
      <c r="E39" s="640"/>
      <c r="F39" s="324"/>
      <c r="G39" s="669" t="str">
        <f>IF(G43="","",SUM(G43:G46))</f>
        <v/>
      </c>
      <c r="H39" s="669"/>
      <c r="I39" s="140"/>
      <c r="R39" s="140"/>
      <c r="S39" s="666" t="str">
        <f>IF(S43="","",SUM(S43:S46))</f>
        <v/>
      </c>
      <c r="T39" s="666"/>
      <c r="U39" s="325"/>
      <c r="V39" s="682"/>
      <c r="W39" s="669" t="str">
        <f>IF(W43="","",SUM(W43:W46))</f>
        <v/>
      </c>
      <c r="X39" s="669"/>
      <c r="AC39" s="666" t="str">
        <f>IF(AC43="","",SUM(AC43:AC46))</f>
        <v/>
      </c>
      <c r="AD39" s="666"/>
      <c r="AE39" s="640"/>
      <c r="AF39" s="324"/>
      <c r="AG39" s="669" t="str">
        <f>IF(AG43="","",SUM(AG43:AG46))</f>
        <v/>
      </c>
      <c r="AH39" s="669"/>
      <c r="AI39" s="140"/>
      <c r="AR39" s="140"/>
      <c r="AS39" s="666" t="str">
        <f>IF(AS43="","",SUM(AS43:AS46))</f>
        <v/>
      </c>
      <c r="AT39" s="666"/>
      <c r="AU39" s="325"/>
      <c r="AV39" s="682"/>
      <c r="AW39" s="669" t="str">
        <f>IF(AW43="","",SUM(AW43:AW46))</f>
        <v/>
      </c>
      <c r="AX39" s="669"/>
      <c r="BD39" s="181"/>
      <c r="BE39" s="181"/>
      <c r="BF39" s="181"/>
      <c r="BG39" s="181"/>
      <c r="BH39" s="181"/>
      <c r="BI39" s="181"/>
      <c r="BJ39" s="181"/>
      <c r="BK39" s="181"/>
      <c r="BL39" s="181"/>
    </row>
    <row r="40" spans="1:64" s="132" customFormat="1" ht="9" hidden="1" customHeight="1" x14ac:dyDescent="0.15">
      <c r="A40" s="72"/>
      <c r="C40" s="181"/>
      <c r="D40" s="181">
        <f>SUM(C43:C48)</f>
        <v>0</v>
      </c>
      <c r="E40" s="640"/>
      <c r="F40" s="324"/>
      <c r="G40" s="182">
        <f>SUM(G43:G48)</f>
        <v>0</v>
      </c>
      <c r="H40" s="181"/>
      <c r="I40" s="140"/>
      <c r="R40" s="140"/>
      <c r="S40" s="181"/>
      <c r="T40" s="181">
        <f>SUM(S43:S48)</f>
        <v>0</v>
      </c>
      <c r="U40" s="325"/>
      <c r="V40" s="682"/>
      <c r="W40" s="182">
        <f>SUM(W43:W48)</f>
        <v>0</v>
      </c>
      <c r="X40" s="181"/>
      <c r="AC40" s="181"/>
      <c r="AD40" s="181">
        <f>SUM(AC43:AC48)</f>
        <v>0</v>
      </c>
      <c r="AE40" s="640"/>
      <c r="AF40" s="324"/>
      <c r="AG40" s="182">
        <f>SUM(AG43:AG48)</f>
        <v>0</v>
      </c>
      <c r="AH40" s="181"/>
      <c r="AI40" s="140"/>
      <c r="AR40" s="140"/>
      <c r="AS40" s="181"/>
      <c r="AT40" s="181">
        <f>SUM(AS43:AS48)</f>
        <v>0</v>
      </c>
      <c r="AU40" s="325"/>
      <c r="AV40" s="682"/>
      <c r="AW40" s="182">
        <f>SUM(AW43:AW48)</f>
        <v>0</v>
      </c>
      <c r="AX40" s="181"/>
    </row>
    <row r="41" spans="1:64" s="132" customFormat="1" ht="3.75" customHeight="1" thickBot="1" x14ac:dyDescent="0.2">
      <c r="A41" s="72"/>
      <c r="C41" s="677"/>
      <c r="D41" s="677"/>
      <c r="E41" s="680"/>
      <c r="F41" s="686"/>
      <c r="G41" s="677"/>
      <c r="H41" s="677"/>
      <c r="I41" s="677"/>
      <c r="R41" s="677"/>
      <c r="S41" s="677"/>
      <c r="T41" s="677"/>
      <c r="U41" s="687"/>
      <c r="V41" s="683"/>
      <c r="W41" s="677"/>
      <c r="X41" s="677"/>
      <c r="AC41" s="677"/>
      <c r="AD41" s="677"/>
      <c r="AE41" s="680"/>
      <c r="AF41" s="686"/>
      <c r="AG41" s="677"/>
      <c r="AH41" s="677"/>
      <c r="AI41" s="677"/>
      <c r="AR41" s="677"/>
      <c r="AS41" s="677"/>
      <c r="AT41" s="677"/>
      <c r="AU41" s="687"/>
      <c r="AV41" s="683"/>
      <c r="AW41" s="677"/>
      <c r="AX41" s="677"/>
    </row>
    <row r="42" spans="1:64" s="132" customFormat="1" ht="3.75" customHeight="1" thickTop="1" x14ac:dyDescent="0.15">
      <c r="A42" s="72"/>
      <c r="B42" s="688">
        <f>1</f>
        <v>1</v>
      </c>
      <c r="C42" s="328"/>
      <c r="D42" s="329"/>
      <c r="E42" s="330"/>
      <c r="F42" s="329"/>
      <c r="G42" s="329"/>
      <c r="H42" s="329"/>
      <c r="I42" s="331"/>
      <c r="J42" s="689"/>
      <c r="K42" s="684" t="str">
        <f>IF(OR(H54=K54,H57=""),"",IF(H54&gt;K54,F74,K74))</f>
        <v/>
      </c>
      <c r="L42" s="684"/>
      <c r="O42" s="652" t="str">
        <f>IF(OR(P54=S54,P57=""),"",IF(P54&gt;S54,O74,S74))</f>
        <v/>
      </c>
      <c r="P42" s="652"/>
      <c r="Q42" s="688"/>
      <c r="R42" s="332"/>
      <c r="S42" s="333"/>
      <c r="T42" s="333"/>
      <c r="U42" s="333"/>
      <c r="V42" s="330"/>
      <c r="W42" s="330"/>
      <c r="X42" s="334"/>
      <c r="Y42" s="689"/>
      <c r="AB42" s="688">
        <f>7</f>
        <v>7</v>
      </c>
      <c r="AC42" s="328"/>
      <c r="AD42" s="330"/>
      <c r="AE42" s="330"/>
      <c r="AF42" s="329"/>
      <c r="AG42" s="329"/>
      <c r="AH42" s="329"/>
      <c r="AI42" s="331"/>
      <c r="AJ42" s="689"/>
      <c r="AK42" s="684" t="str">
        <f>IF(OR(AH54=AK54,AH57=""),"",IF(AH54&gt;AK54,AF74,AK74))</f>
        <v/>
      </c>
      <c r="AL42" s="684"/>
      <c r="AO42" s="652" t="str">
        <f>IF(OR(AP54=AS54,AP57=""),"",IF(AP54&gt;AS54,AO74,AS74))</f>
        <v/>
      </c>
      <c r="AP42" s="652"/>
      <c r="AQ42" s="688"/>
      <c r="AR42" s="332"/>
      <c r="AS42" s="333"/>
      <c r="AT42" s="333"/>
      <c r="AU42" s="333"/>
      <c r="AV42" s="330"/>
      <c r="AW42" s="330"/>
      <c r="AX42" s="334"/>
      <c r="AY42" s="689"/>
    </row>
    <row r="43" spans="1:64" s="181" customFormat="1" ht="10.5" customHeight="1" x14ac:dyDescent="0.15">
      <c r="A43" s="130"/>
      <c r="B43" s="640"/>
      <c r="C43" s="691"/>
      <c r="D43" s="692"/>
      <c r="E43" s="501" t="s">
        <v>72</v>
      </c>
      <c r="F43" s="501"/>
      <c r="G43" s="693"/>
      <c r="H43" s="693"/>
      <c r="I43" s="335"/>
      <c r="J43" s="682"/>
      <c r="K43" s="684"/>
      <c r="L43" s="684"/>
      <c r="O43" s="652"/>
      <c r="P43" s="652"/>
      <c r="Q43" s="640"/>
      <c r="R43" s="336"/>
      <c r="S43" s="666"/>
      <c r="T43" s="666"/>
      <c r="U43" s="501" t="s">
        <v>72</v>
      </c>
      <c r="V43" s="501"/>
      <c r="W43" s="693"/>
      <c r="X43" s="694"/>
      <c r="Y43" s="682"/>
      <c r="AB43" s="640"/>
      <c r="AC43" s="695"/>
      <c r="AD43" s="666"/>
      <c r="AE43" s="501" t="s">
        <v>72</v>
      </c>
      <c r="AF43" s="501"/>
      <c r="AG43" s="693"/>
      <c r="AH43" s="693"/>
      <c r="AI43" s="335"/>
      <c r="AJ43" s="682"/>
      <c r="AK43" s="684"/>
      <c r="AL43" s="684"/>
      <c r="AO43" s="652"/>
      <c r="AP43" s="652"/>
      <c r="AQ43" s="640"/>
      <c r="AR43" s="336"/>
      <c r="AS43" s="692"/>
      <c r="AT43" s="692"/>
      <c r="AU43" s="501" t="s">
        <v>72</v>
      </c>
      <c r="AV43" s="501"/>
      <c r="AW43" s="693"/>
      <c r="AX43" s="694"/>
      <c r="AY43" s="682"/>
      <c r="BD43" s="132"/>
      <c r="BE43" s="132"/>
      <c r="BF43" s="132"/>
      <c r="BG43" s="132"/>
      <c r="BH43" s="132"/>
      <c r="BI43" s="132"/>
      <c r="BJ43" s="132"/>
      <c r="BK43" s="132"/>
      <c r="BL43" s="132"/>
    </row>
    <row r="44" spans="1:64" s="132" customFormat="1" ht="10.5" customHeight="1" x14ac:dyDescent="0.15">
      <c r="A44" s="72"/>
      <c r="B44" s="640"/>
      <c r="C44" s="695"/>
      <c r="D44" s="666"/>
      <c r="E44" s="501" t="s">
        <v>72</v>
      </c>
      <c r="F44" s="501"/>
      <c r="G44" s="693"/>
      <c r="H44" s="693"/>
      <c r="I44" s="335"/>
      <c r="J44" s="682"/>
      <c r="K44" s="684"/>
      <c r="L44" s="684"/>
      <c r="M44" s="140"/>
      <c r="N44" s="140"/>
      <c r="O44" s="652"/>
      <c r="P44" s="652"/>
      <c r="Q44" s="640"/>
      <c r="R44" s="336"/>
      <c r="S44" s="666"/>
      <c r="T44" s="666"/>
      <c r="U44" s="501" t="s">
        <v>72</v>
      </c>
      <c r="V44" s="501"/>
      <c r="W44" s="693"/>
      <c r="X44" s="694"/>
      <c r="Y44" s="682"/>
      <c r="AB44" s="640"/>
      <c r="AC44" s="695"/>
      <c r="AD44" s="666"/>
      <c r="AE44" s="501" t="s">
        <v>72</v>
      </c>
      <c r="AF44" s="501"/>
      <c r="AG44" s="693"/>
      <c r="AH44" s="693"/>
      <c r="AI44" s="335"/>
      <c r="AJ44" s="682"/>
      <c r="AK44" s="684"/>
      <c r="AL44" s="684"/>
      <c r="AM44" s="140"/>
      <c r="AN44" s="140"/>
      <c r="AO44" s="652"/>
      <c r="AP44" s="652"/>
      <c r="AQ44" s="640"/>
      <c r="AR44" s="336"/>
      <c r="AS44" s="666"/>
      <c r="AT44" s="666"/>
      <c r="AU44" s="501" t="s">
        <v>72</v>
      </c>
      <c r="AV44" s="501"/>
      <c r="AW44" s="693"/>
      <c r="AX44" s="694"/>
      <c r="AY44" s="682"/>
    </row>
    <row r="45" spans="1:64" s="132" customFormat="1" ht="10.5" customHeight="1" x14ac:dyDescent="0.15">
      <c r="A45" s="72"/>
      <c r="B45" s="640"/>
      <c r="C45" s="695"/>
      <c r="D45" s="666"/>
      <c r="E45" s="501" t="str">
        <f>IF(OR(G44="",SUM(C43:C44)&lt;&gt;SUM(G43:G44)),"","－")</f>
        <v/>
      </c>
      <c r="F45" s="501"/>
      <c r="G45" s="693"/>
      <c r="H45" s="693"/>
      <c r="I45" s="325"/>
      <c r="J45" s="682"/>
      <c r="K45" s="684"/>
      <c r="L45" s="684"/>
      <c r="O45" s="652"/>
      <c r="P45" s="652"/>
      <c r="Q45" s="640"/>
      <c r="R45" s="324"/>
      <c r="S45" s="666"/>
      <c r="T45" s="666"/>
      <c r="U45" s="501" t="str">
        <f>IF(OR(W44="",SUM(S43:S44)&lt;&gt;SUM(W43:W44)),"","－")</f>
        <v/>
      </c>
      <c r="V45" s="501"/>
      <c r="W45" s="693"/>
      <c r="X45" s="694"/>
      <c r="Y45" s="682"/>
      <c r="AB45" s="640"/>
      <c r="AC45" s="695"/>
      <c r="AD45" s="666"/>
      <c r="AE45" s="501" t="str">
        <f>IF(OR(AG44="",SUM(AC43:AC44)&lt;&gt;SUM(AG43:AG44)),"","－")</f>
        <v/>
      </c>
      <c r="AF45" s="501"/>
      <c r="AG45" s="693"/>
      <c r="AH45" s="693"/>
      <c r="AI45" s="325"/>
      <c r="AJ45" s="682"/>
      <c r="AK45" s="684"/>
      <c r="AL45" s="684"/>
      <c r="AO45" s="652"/>
      <c r="AP45" s="652"/>
      <c r="AQ45" s="640"/>
      <c r="AR45" s="324"/>
      <c r="AS45" s="666"/>
      <c r="AT45" s="666"/>
      <c r="AU45" s="501" t="str">
        <f>IF(OR(AW44="",SUM(AS43:AS44)&lt;&gt;SUM(AW43:AW44)),"","－")</f>
        <v/>
      </c>
      <c r="AV45" s="501"/>
      <c r="AW45" s="693"/>
      <c r="AX45" s="694"/>
      <c r="AY45" s="682"/>
    </row>
    <row r="46" spans="1:64" s="132" customFormat="1" ht="10.5" customHeight="1" x14ac:dyDescent="0.15">
      <c r="A46" s="72" t="s">
        <v>111</v>
      </c>
      <c r="B46" s="640"/>
      <c r="C46" s="695"/>
      <c r="D46" s="666"/>
      <c r="E46" s="501" t="str">
        <f>IF(OR(C43="",SUM(C43:C44)&lt;&gt;SUM(G43:G44)),"","－")</f>
        <v/>
      </c>
      <c r="F46" s="501"/>
      <c r="G46" s="693"/>
      <c r="H46" s="693"/>
      <c r="I46" s="335"/>
      <c r="J46" s="682"/>
      <c r="K46" s="684"/>
      <c r="L46" s="684"/>
      <c r="O46" s="652"/>
      <c r="P46" s="652"/>
      <c r="Q46" s="640"/>
      <c r="R46" s="336"/>
      <c r="S46" s="666"/>
      <c r="T46" s="666"/>
      <c r="U46" s="501" t="str">
        <f>IF(OR(W44="",SUM(S43:S44)&lt;&gt;SUM(W43:W44)),"","－")</f>
        <v/>
      </c>
      <c r="V46" s="501"/>
      <c r="W46" s="693"/>
      <c r="X46" s="694"/>
      <c r="Y46" s="682"/>
      <c r="AB46" s="640"/>
      <c r="AC46" s="695"/>
      <c r="AD46" s="666"/>
      <c r="AE46" s="501" t="str">
        <f>IF(OR(AG44="",SUM(AC43:AC44)&lt;&gt;SUM(AG43:AG44)),"","－")</f>
        <v/>
      </c>
      <c r="AF46" s="501"/>
      <c r="AG46" s="693"/>
      <c r="AH46" s="693"/>
      <c r="AI46" s="335"/>
      <c r="AJ46" s="682"/>
      <c r="AK46" s="684"/>
      <c r="AL46" s="684"/>
      <c r="AO46" s="652"/>
      <c r="AP46" s="652"/>
      <c r="AQ46" s="640"/>
      <c r="AR46" s="336"/>
      <c r="AS46" s="666"/>
      <c r="AT46" s="666"/>
      <c r="AU46" s="501" t="str">
        <f>IF(OR(AW44="",SUM(AS43:AS44)&lt;&gt;SUM(AW43:AW44)),"","－")</f>
        <v/>
      </c>
      <c r="AV46" s="501"/>
      <c r="AW46" s="693"/>
      <c r="AX46" s="694"/>
      <c r="AY46" s="682"/>
    </row>
    <row r="47" spans="1:64" s="132" customFormat="1" ht="10.5" customHeight="1" x14ac:dyDescent="0.15">
      <c r="A47" s="423">
        <f ca="1">A63+1</f>
        <v>45851</v>
      </c>
      <c r="B47" s="640"/>
      <c r="D47" s="501" t="str">
        <f>IF(OR(G46="",SUM(C43:C46)&lt;&gt;SUM(G43:G46)),"","PK")</f>
        <v/>
      </c>
      <c r="E47" s="501"/>
      <c r="F47" s="501"/>
      <c r="G47" s="501"/>
      <c r="I47" s="335"/>
      <c r="J47" s="682"/>
      <c r="K47" s="684"/>
      <c r="L47" s="684"/>
      <c r="O47" s="652"/>
      <c r="P47" s="652"/>
      <c r="Q47" s="640"/>
      <c r="R47" s="336"/>
      <c r="T47" s="501" t="str">
        <f>IF(OR(W46="",SUM(S43:S46)&lt;&gt;SUM(W43:W46)),"","PK")</f>
        <v/>
      </c>
      <c r="U47" s="501"/>
      <c r="V47" s="501"/>
      <c r="W47" s="501"/>
      <c r="Y47" s="682"/>
      <c r="AB47" s="640"/>
      <c r="AD47" s="501" t="str">
        <f>IF(OR(AG46="",SUM(AC43:AC46)&lt;&gt;SUM(AG43:AG46)),"","PK")</f>
        <v/>
      </c>
      <c r="AE47" s="501"/>
      <c r="AF47" s="501"/>
      <c r="AG47" s="501"/>
      <c r="AI47" s="335"/>
      <c r="AJ47" s="682"/>
      <c r="AK47" s="684"/>
      <c r="AL47" s="684"/>
      <c r="AO47" s="652"/>
      <c r="AP47" s="652"/>
      <c r="AQ47" s="640"/>
      <c r="AR47" s="336"/>
      <c r="AT47" s="501" t="str">
        <f>IF(OR(AW46="",SUM(AS43:AS46)&lt;&gt;SUM(AW43:AW46)),"","PK")</f>
        <v/>
      </c>
      <c r="AU47" s="501"/>
      <c r="AV47" s="501"/>
      <c r="AW47" s="501"/>
      <c r="AY47" s="682"/>
    </row>
    <row r="48" spans="1:64" s="132" customFormat="1" ht="10.5" customHeight="1" x14ac:dyDescent="0.15">
      <c r="A48" s="75" t="s">
        <v>612</v>
      </c>
      <c r="B48" s="640"/>
      <c r="C48" s="695"/>
      <c r="D48" s="666"/>
      <c r="E48" s="501" t="str">
        <f>IF(OR(G46="",SUM(C43:C46)&lt;&gt;SUM(G43:G46)),"","－")</f>
        <v/>
      </c>
      <c r="F48" s="501"/>
      <c r="G48" s="693"/>
      <c r="H48" s="693"/>
      <c r="I48" s="335"/>
      <c r="J48" s="682"/>
      <c r="K48" s="684"/>
      <c r="L48" s="684"/>
      <c r="O48" s="652"/>
      <c r="P48" s="652"/>
      <c r="Q48" s="640"/>
      <c r="R48" s="336"/>
      <c r="S48" s="666"/>
      <c r="T48" s="666"/>
      <c r="U48" s="501" t="str">
        <f>IF(OR(W46="",SUM(S43:S46)&lt;&gt;SUM(W43:W46)),"","－")</f>
        <v/>
      </c>
      <c r="V48" s="501"/>
      <c r="W48" s="693"/>
      <c r="X48" s="694"/>
      <c r="Y48" s="682"/>
      <c r="AB48" s="640"/>
      <c r="AC48" s="695"/>
      <c r="AD48" s="666"/>
      <c r="AE48" s="501" t="str">
        <f>IF(OR(AG46="",SUM(AC43:AC46)&lt;&gt;SUM(AG43:AG46)),"","－")</f>
        <v/>
      </c>
      <c r="AF48" s="501"/>
      <c r="AG48" s="693"/>
      <c r="AH48" s="693"/>
      <c r="AI48" s="335"/>
      <c r="AJ48" s="682"/>
      <c r="AK48" s="684"/>
      <c r="AL48" s="684"/>
      <c r="AO48" s="652"/>
      <c r="AP48" s="652"/>
      <c r="AQ48" s="640"/>
      <c r="AR48" s="336"/>
      <c r="AS48" s="666"/>
      <c r="AT48" s="666"/>
      <c r="AU48" s="501" t="str">
        <f>IF(OR(AW46="",SUM(AS43:AS46)&lt;&gt;SUM(AW43:AW46)),"","－")</f>
        <v/>
      </c>
      <c r="AV48" s="501"/>
      <c r="AW48" s="693"/>
      <c r="AX48" s="694"/>
      <c r="AY48" s="682"/>
    </row>
    <row r="49" spans="1:64" ht="10.5" customHeight="1" x14ac:dyDescent="0.15">
      <c r="B49" s="640"/>
      <c r="C49" s="698" t="s">
        <v>655</v>
      </c>
      <c r="D49" s="504"/>
      <c r="E49" s="696" t="s">
        <v>668</v>
      </c>
      <c r="F49" s="696"/>
      <c r="G49" s="696"/>
      <c r="H49" s="696"/>
      <c r="I49" s="697"/>
      <c r="J49" s="682"/>
      <c r="K49" s="684"/>
      <c r="L49" s="684"/>
      <c r="O49" s="652"/>
      <c r="P49" s="652"/>
      <c r="Q49" s="640"/>
      <c r="R49" s="307"/>
      <c r="S49" s="504" t="s">
        <v>657</v>
      </c>
      <c r="T49" s="504"/>
      <c r="U49" s="696" t="s">
        <v>668</v>
      </c>
      <c r="V49" s="696"/>
      <c r="W49" s="696"/>
      <c r="X49" s="697"/>
      <c r="Y49" s="682"/>
      <c r="AB49" s="640"/>
      <c r="AC49" s="698" t="s">
        <v>659</v>
      </c>
      <c r="AD49" s="504"/>
      <c r="AE49" s="696" t="s">
        <v>668</v>
      </c>
      <c r="AF49" s="696"/>
      <c r="AG49" s="696"/>
      <c r="AH49" s="696"/>
      <c r="AI49" s="697"/>
      <c r="AJ49" s="682"/>
      <c r="AK49" s="684"/>
      <c r="AL49" s="684"/>
      <c r="AO49" s="652"/>
      <c r="AP49" s="652"/>
      <c r="AQ49" s="640"/>
      <c r="AR49" s="307"/>
      <c r="AS49" s="504" t="s">
        <v>661</v>
      </c>
      <c r="AT49" s="504"/>
      <c r="AU49" s="696" t="s">
        <v>668</v>
      </c>
      <c r="AV49" s="696"/>
      <c r="AW49" s="696"/>
      <c r="AX49" s="697"/>
      <c r="AY49" s="682"/>
    </row>
    <row r="50" spans="1:64" s="132" customFormat="1" ht="10.5" customHeight="1" x14ac:dyDescent="0.15">
      <c r="A50" s="72"/>
      <c r="B50" s="640"/>
      <c r="C50" s="326"/>
      <c r="D50" s="140"/>
      <c r="H50" s="140"/>
      <c r="I50" s="335"/>
      <c r="J50" s="682"/>
      <c r="K50" s="684"/>
      <c r="L50" s="684"/>
      <c r="O50" s="652"/>
      <c r="P50" s="652"/>
      <c r="Q50" s="640"/>
      <c r="R50" s="336"/>
      <c r="S50" s="140"/>
      <c r="T50" s="140"/>
      <c r="W50" s="140"/>
      <c r="X50" s="327"/>
      <c r="Y50" s="682"/>
      <c r="AB50" s="640"/>
      <c r="AC50" s="326"/>
      <c r="AD50" s="140"/>
      <c r="AH50" s="140"/>
      <c r="AI50" s="335"/>
      <c r="AJ50" s="682"/>
      <c r="AK50" s="684"/>
      <c r="AL50" s="684"/>
      <c r="AO50" s="652"/>
      <c r="AP50" s="652"/>
      <c r="AQ50" s="640"/>
      <c r="AR50" s="336"/>
      <c r="AS50" s="140"/>
      <c r="AT50" s="140"/>
      <c r="AW50" s="140"/>
      <c r="AX50" s="327"/>
      <c r="AY50" s="682"/>
      <c r="BD50" s="181"/>
      <c r="BE50" s="181"/>
      <c r="BF50" s="181"/>
      <c r="BG50" s="181"/>
      <c r="BH50" s="181"/>
      <c r="BI50" s="181"/>
      <c r="BJ50" s="181"/>
      <c r="BK50" s="181"/>
      <c r="BL50" s="181"/>
    </row>
    <row r="51" spans="1:64" s="424" customFormat="1" ht="10.5" customHeight="1" x14ac:dyDescent="0.15">
      <c r="B51" s="640"/>
      <c r="C51" s="711" t="s">
        <v>642</v>
      </c>
      <c r="D51" s="712"/>
      <c r="E51" s="712"/>
      <c r="F51" s="712"/>
      <c r="G51" s="712"/>
      <c r="H51" s="712"/>
      <c r="I51" s="713"/>
      <c r="J51" s="682"/>
      <c r="K51" s="684"/>
      <c r="L51" s="684"/>
      <c r="O51" s="652"/>
      <c r="P51" s="652"/>
      <c r="Q51" s="640"/>
      <c r="R51" s="711" t="s">
        <v>643</v>
      </c>
      <c r="S51" s="712"/>
      <c r="T51" s="712"/>
      <c r="U51" s="712"/>
      <c r="V51" s="712"/>
      <c r="W51" s="712"/>
      <c r="X51" s="713"/>
      <c r="Y51" s="682"/>
      <c r="AB51" s="640"/>
      <c r="AC51" s="711" t="s">
        <v>644</v>
      </c>
      <c r="AD51" s="712"/>
      <c r="AE51" s="712"/>
      <c r="AF51" s="712"/>
      <c r="AG51" s="712"/>
      <c r="AH51" s="712"/>
      <c r="AI51" s="713"/>
      <c r="AJ51" s="682"/>
      <c r="AK51" s="684"/>
      <c r="AL51" s="684"/>
      <c r="AO51" s="652"/>
      <c r="AP51" s="652"/>
      <c r="AQ51" s="640"/>
      <c r="AR51" s="711" t="s">
        <v>645</v>
      </c>
      <c r="AS51" s="712"/>
      <c r="AT51" s="712"/>
      <c r="AU51" s="712"/>
      <c r="AV51" s="712"/>
      <c r="AW51" s="712"/>
      <c r="AX51" s="713"/>
      <c r="AY51" s="682"/>
    </row>
    <row r="52" spans="1:64" s="132" customFormat="1" ht="10.5" customHeight="1" x14ac:dyDescent="0.15">
      <c r="A52" s="72"/>
      <c r="B52" s="640"/>
      <c r="C52" s="324"/>
      <c r="D52" s="140"/>
      <c r="H52" s="183"/>
      <c r="I52" s="335"/>
      <c r="J52" s="682"/>
      <c r="K52" s="684"/>
      <c r="L52" s="684"/>
      <c r="O52" s="652"/>
      <c r="P52" s="652"/>
      <c r="Q52" s="640"/>
      <c r="R52" s="336"/>
      <c r="S52" s="184"/>
      <c r="T52" s="184"/>
      <c r="W52" s="140"/>
      <c r="X52" s="325"/>
      <c r="Y52" s="682"/>
      <c r="AB52" s="640"/>
      <c r="AC52" s="324"/>
      <c r="AD52" s="140"/>
      <c r="AH52" s="183"/>
      <c r="AI52" s="335"/>
      <c r="AJ52" s="682"/>
      <c r="AK52" s="684"/>
      <c r="AL52" s="684"/>
      <c r="AO52" s="652"/>
      <c r="AP52" s="652"/>
      <c r="AQ52" s="640"/>
      <c r="AR52" s="336"/>
      <c r="AS52" s="184"/>
      <c r="AT52" s="184"/>
      <c r="AW52" s="140"/>
      <c r="AX52" s="325"/>
      <c r="AY52" s="682"/>
    </row>
    <row r="53" spans="1:64" s="132" customFormat="1" ht="10.5" customHeight="1" x14ac:dyDescent="0.15">
      <c r="A53" s="72"/>
      <c r="B53" s="640"/>
      <c r="C53" s="338"/>
      <c r="D53" s="140"/>
      <c r="F53" s="189"/>
      <c r="G53" s="666" t="str">
        <f>IF(H57="","",SUM(H57:H60))</f>
        <v/>
      </c>
      <c r="H53" s="666"/>
      <c r="I53" s="335"/>
      <c r="J53" s="682"/>
      <c r="K53" s="669" t="str">
        <f>IF(K57="","",SUM(K57:K60))</f>
        <v/>
      </c>
      <c r="L53" s="669"/>
      <c r="O53" s="666" t="str">
        <f>IF(P57="","",SUM(P57:P60))</f>
        <v/>
      </c>
      <c r="P53" s="666"/>
      <c r="Q53" s="640"/>
      <c r="R53" s="336"/>
      <c r="S53" s="669" t="str">
        <f>IF(S57="","",SUM(S57:S60))</f>
        <v/>
      </c>
      <c r="T53" s="669"/>
      <c r="U53" s="143"/>
      <c r="W53" s="140"/>
      <c r="X53" s="339"/>
      <c r="Y53" s="682"/>
      <c r="AB53" s="640"/>
      <c r="AC53" s="338"/>
      <c r="AD53" s="140"/>
      <c r="AF53" s="189"/>
      <c r="AG53" s="666" t="str">
        <f>IF(AH57="","",SUM(AH57:AH60))</f>
        <v/>
      </c>
      <c r="AH53" s="666"/>
      <c r="AI53" s="335"/>
      <c r="AJ53" s="682"/>
      <c r="AK53" s="669" t="str">
        <f>IF(AK57="","",SUM(AK57:AK60))</f>
        <v/>
      </c>
      <c r="AL53" s="669"/>
      <c r="AO53" s="666" t="str">
        <f>IF(AP57="","",SUM(AP57:AP60))</f>
        <v/>
      </c>
      <c r="AP53" s="666"/>
      <c r="AQ53" s="640"/>
      <c r="AR53" s="336"/>
      <c r="AS53" s="669" t="str">
        <f>IF(AS57="","",SUM(AS57:AS60))</f>
        <v/>
      </c>
      <c r="AT53" s="669"/>
      <c r="AU53" s="143"/>
      <c r="AW53" s="140"/>
      <c r="AX53" s="339"/>
      <c r="AY53" s="682"/>
    </row>
    <row r="54" spans="1:64" s="181" customFormat="1" ht="9" hidden="1" customHeight="1" x14ac:dyDescent="0.15">
      <c r="A54" s="130"/>
      <c r="B54" s="640"/>
      <c r="D54" s="140"/>
      <c r="F54" s="182"/>
      <c r="H54" s="181">
        <f>SUM(H57:H62)</f>
        <v>0</v>
      </c>
      <c r="I54" s="340"/>
      <c r="J54" s="682"/>
      <c r="K54" s="182">
        <f>SUM(K57:K62)</f>
        <v>0</v>
      </c>
      <c r="P54" s="181">
        <f>SUM(P57:P62)</f>
        <v>0</v>
      </c>
      <c r="Q54" s="640"/>
      <c r="R54" s="341"/>
      <c r="S54" s="182">
        <f>SUM(S57:S62)</f>
        <v>0</v>
      </c>
      <c r="W54" s="140"/>
      <c r="X54" s="342"/>
      <c r="Y54" s="682"/>
      <c r="AB54" s="640"/>
      <c r="AD54" s="140"/>
      <c r="AF54" s="182"/>
      <c r="AH54" s="181">
        <f>SUM(AH57:AH62)</f>
        <v>0</v>
      </c>
      <c r="AI54" s="340"/>
      <c r="AJ54" s="682"/>
      <c r="AK54" s="182">
        <f>SUM(AK57:AK62)</f>
        <v>0</v>
      </c>
      <c r="AP54" s="181">
        <f>SUM(AP57:AP62)</f>
        <v>0</v>
      </c>
      <c r="AQ54" s="640"/>
      <c r="AR54" s="341"/>
      <c r="AS54" s="182">
        <f>SUM(AS57:AS62)</f>
        <v>0</v>
      </c>
      <c r="AW54" s="140"/>
      <c r="AX54" s="342"/>
      <c r="AY54" s="682"/>
      <c r="BD54" s="132"/>
      <c r="BE54" s="132"/>
      <c r="BF54" s="132"/>
      <c r="BG54" s="132"/>
      <c r="BH54" s="132"/>
      <c r="BI54" s="132"/>
      <c r="BJ54" s="132"/>
      <c r="BK54" s="132"/>
      <c r="BL54" s="132"/>
    </row>
    <row r="55" spans="1:64" s="132" customFormat="1" ht="3.75" customHeight="1" thickBot="1" x14ac:dyDescent="0.2">
      <c r="A55" s="72"/>
      <c r="B55" s="640"/>
      <c r="D55" s="140"/>
      <c r="E55" s="140"/>
      <c r="F55" s="140"/>
      <c r="G55" s="140"/>
      <c r="H55" s="677"/>
      <c r="I55" s="687"/>
      <c r="J55" s="683"/>
      <c r="K55" s="140"/>
      <c r="L55" s="140"/>
      <c r="M55" s="140"/>
      <c r="N55" s="140"/>
      <c r="O55" s="140"/>
      <c r="P55" s="140"/>
      <c r="Q55" s="680"/>
      <c r="R55" s="686"/>
      <c r="S55" s="677"/>
      <c r="U55" s="140"/>
      <c r="V55" s="140"/>
      <c r="W55" s="140"/>
      <c r="X55" s="325"/>
      <c r="Y55" s="682"/>
      <c r="AB55" s="640"/>
      <c r="AD55" s="140"/>
      <c r="AE55" s="140"/>
      <c r="AF55" s="140"/>
      <c r="AG55" s="140"/>
      <c r="AH55" s="677"/>
      <c r="AI55" s="687"/>
      <c r="AJ55" s="683"/>
      <c r="AK55" s="140"/>
      <c r="AL55" s="140"/>
      <c r="AM55" s="140"/>
      <c r="AN55" s="140"/>
      <c r="AO55" s="140"/>
      <c r="AP55" s="140"/>
      <c r="AQ55" s="680"/>
      <c r="AR55" s="686"/>
      <c r="AS55" s="677"/>
      <c r="AU55" s="140"/>
      <c r="AV55" s="140"/>
      <c r="AW55" s="140"/>
      <c r="AX55" s="325"/>
      <c r="AY55" s="682"/>
    </row>
    <row r="56" spans="1:64" s="132" customFormat="1" ht="3.75" customHeight="1" thickTop="1" x14ac:dyDescent="0.15">
      <c r="A56" s="72"/>
      <c r="B56" s="640"/>
      <c r="F56" s="662">
        <f>2</f>
        <v>2</v>
      </c>
      <c r="G56" s="688"/>
      <c r="H56" s="332"/>
      <c r="I56" s="330"/>
      <c r="J56" s="330"/>
      <c r="K56" s="343"/>
      <c r="L56" s="689"/>
      <c r="O56" s="688">
        <f>4</f>
        <v>4</v>
      </c>
      <c r="P56" s="332"/>
      <c r="Q56" s="330"/>
      <c r="R56" s="330"/>
      <c r="S56" s="343"/>
      <c r="T56" s="704"/>
      <c r="X56" s="325"/>
      <c r="Y56" s="682"/>
      <c r="AB56" s="640"/>
      <c r="AF56" s="662">
        <f>8</f>
        <v>8</v>
      </c>
      <c r="AG56" s="688"/>
      <c r="AH56" s="332"/>
      <c r="AI56" s="330"/>
      <c r="AJ56" s="330"/>
      <c r="AK56" s="343"/>
      <c r="AL56" s="689"/>
      <c r="AO56" s="688">
        <f>10</f>
        <v>10</v>
      </c>
      <c r="AP56" s="332"/>
      <c r="AQ56" s="330"/>
      <c r="AR56" s="330"/>
      <c r="AS56" s="343"/>
      <c r="AT56" s="704"/>
      <c r="AX56" s="325"/>
      <c r="AY56" s="682"/>
    </row>
    <row r="57" spans="1:64" s="132" customFormat="1" ht="10.5" customHeight="1" x14ac:dyDescent="0.15">
      <c r="A57" s="72"/>
      <c r="B57" s="640"/>
      <c r="C57" s="183"/>
      <c r="D57" s="140"/>
      <c r="E57" s="140"/>
      <c r="F57" s="662"/>
      <c r="G57" s="688"/>
      <c r="H57" s="183"/>
      <c r="I57" s="501" t="s">
        <v>72</v>
      </c>
      <c r="J57" s="501"/>
      <c r="K57" s="184"/>
      <c r="L57" s="682"/>
      <c r="M57" s="140"/>
      <c r="N57" s="140"/>
      <c r="O57" s="640"/>
      <c r="P57" s="183"/>
      <c r="Q57" s="501" t="s">
        <v>72</v>
      </c>
      <c r="R57" s="501"/>
      <c r="S57" s="184"/>
      <c r="T57" s="682"/>
      <c r="U57" s="183"/>
      <c r="V57" s="140"/>
      <c r="W57" s="140"/>
      <c r="X57" s="337"/>
      <c r="Y57" s="682"/>
      <c r="AB57" s="640"/>
      <c r="AC57" s="183"/>
      <c r="AD57" s="140"/>
      <c r="AE57" s="140"/>
      <c r="AF57" s="662"/>
      <c r="AG57" s="688"/>
      <c r="AH57" s="183"/>
      <c r="AI57" s="501" t="s">
        <v>72</v>
      </c>
      <c r="AJ57" s="501"/>
      <c r="AK57" s="184"/>
      <c r="AL57" s="682"/>
      <c r="AM57" s="140"/>
      <c r="AN57" s="140"/>
      <c r="AO57" s="640"/>
      <c r="AP57" s="183"/>
      <c r="AQ57" s="501" t="s">
        <v>72</v>
      </c>
      <c r="AR57" s="501"/>
      <c r="AS57" s="184"/>
      <c r="AT57" s="682"/>
      <c r="AU57" s="183"/>
      <c r="AV57" s="140"/>
      <c r="AW57" s="140"/>
      <c r="AX57" s="337"/>
      <c r="AY57" s="682"/>
      <c r="BE57" s="132" t="s">
        <v>656</v>
      </c>
      <c r="BH57" s="433" t="str">
        <f>"9:00"</f>
        <v>9:00</v>
      </c>
    </row>
    <row r="58" spans="1:64" s="132" customFormat="1" ht="10.5" customHeight="1" x14ac:dyDescent="0.15">
      <c r="A58" s="72"/>
      <c r="B58" s="640"/>
      <c r="C58" s="183"/>
      <c r="D58" s="140"/>
      <c r="E58" s="140"/>
      <c r="F58" s="662"/>
      <c r="G58" s="688"/>
      <c r="H58" s="183"/>
      <c r="I58" s="501" t="s">
        <v>72</v>
      </c>
      <c r="J58" s="501"/>
      <c r="K58" s="184"/>
      <c r="L58" s="682"/>
      <c r="M58" s="140"/>
      <c r="N58" s="140"/>
      <c r="O58" s="640"/>
      <c r="P58" s="183"/>
      <c r="Q58" s="501" t="s">
        <v>72</v>
      </c>
      <c r="R58" s="501"/>
      <c r="S58" s="184"/>
      <c r="T58" s="682"/>
      <c r="U58" s="183"/>
      <c r="V58" s="140"/>
      <c r="W58" s="140"/>
      <c r="X58" s="337"/>
      <c r="Y58" s="682"/>
      <c r="AB58" s="640"/>
      <c r="AC58" s="183"/>
      <c r="AD58" s="140"/>
      <c r="AE58" s="140"/>
      <c r="AF58" s="662"/>
      <c r="AG58" s="688"/>
      <c r="AH58" s="183"/>
      <c r="AI58" s="501" t="s">
        <v>72</v>
      </c>
      <c r="AJ58" s="501"/>
      <c r="AK58" s="184"/>
      <c r="AL58" s="682"/>
      <c r="AM58" s="140"/>
      <c r="AN58" s="140"/>
      <c r="AO58" s="640"/>
      <c r="AP58" s="183"/>
      <c r="AQ58" s="501" t="s">
        <v>72</v>
      </c>
      <c r="AR58" s="501"/>
      <c r="AS58" s="184"/>
      <c r="AT58" s="682"/>
      <c r="AU58" s="183"/>
      <c r="AV58" s="140"/>
      <c r="AW58" s="140"/>
      <c r="AX58" s="337"/>
      <c r="AY58" s="682"/>
      <c r="BE58" s="132" t="s">
        <v>658</v>
      </c>
      <c r="BH58" s="433" t="str">
        <f>"11:00"</f>
        <v>11:00</v>
      </c>
    </row>
    <row r="59" spans="1:64" s="132" customFormat="1" ht="10.5" customHeight="1" x14ac:dyDescent="0.15">
      <c r="A59" s="72"/>
      <c r="B59" s="640"/>
      <c r="C59" s="183"/>
      <c r="D59" s="140"/>
      <c r="E59" s="140"/>
      <c r="F59" s="662"/>
      <c r="G59" s="688"/>
      <c r="H59" s="183"/>
      <c r="I59" s="501" t="str">
        <f>IF(OR(K58="",SUM(H57:H58)&lt;&gt;SUM(K57:K58)),"","－")</f>
        <v/>
      </c>
      <c r="J59" s="501"/>
      <c r="K59" s="184"/>
      <c r="L59" s="682"/>
      <c r="M59" s="140"/>
      <c r="N59" s="140"/>
      <c r="O59" s="640"/>
      <c r="P59" s="183"/>
      <c r="Q59" s="501" t="str">
        <f>IF(OR(S58="",SUM(P57:P58)&lt;&gt;SUM(S57:S58)),"","－")</f>
        <v/>
      </c>
      <c r="R59" s="501"/>
      <c r="S59" s="184"/>
      <c r="T59" s="682"/>
      <c r="U59" s="183"/>
      <c r="V59" s="140"/>
      <c r="W59" s="140"/>
      <c r="X59" s="337"/>
      <c r="Y59" s="682"/>
      <c r="AB59" s="640"/>
      <c r="AC59" s="183"/>
      <c r="AD59" s="140"/>
      <c r="AE59" s="140"/>
      <c r="AF59" s="662"/>
      <c r="AG59" s="688"/>
      <c r="AH59" s="183"/>
      <c r="AI59" s="501" t="str">
        <f>IF(OR(AK58="",SUM(AH57:AH58)&lt;&gt;SUM(AK57:AK58)),"","－")</f>
        <v/>
      </c>
      <c r="AJ59" s="501"/>
      <c r="AK59" s="184"/>
      <c r="AL59" s="682"/>
      <c r="AM59" s="140"/>
      <c r="AN59" s="140"/>
      <c r="AO59" s="640"/>
      <c r="AP59" s="183"/>
      <c r="AQ59" s="501" t="str">
        <f>IF(OR(AS58="",SUM(AP57:AP58)&lt;&gt;SUM(AS57:AS58)),"","－")</f>
        <v/>
      </c>
      <c r="AR59" s="501"/>
      <c r="AS59" s="184"/>
      <c r="AT59" s="682"/>
      <c r="AU59" s="183"/>
      <c r="AV59" s="140"/>
      <c r="AW59" s="140"/>
      <c r="AX59" s="337"/>
      <c r="AY59" s="682"/>
      <c r="BE59" s="132" t="s">
        <v>660</v>
      </c>
      <c r="BH59" s="433" t="str">
        <f>"13:30"</f>
        <v>13:30</v>
      </c>
    </row>
    <row r="60" spans="1:64" s="132" customFormat="1" ht="10.5" customHeight="1" x14ac:dyDescent="0.15">
      <c r="A60" s="72"/>
      <c r="B60" s="640"/>
      <c r="C60" s="183"/>
      <c r="D60" s="140"/>
      <c r="E60" s="140"/>
      <c r="F60" s="662"/>
      <c r="G60" s="688"/>
      <c r="H60" s="183"/>
      <c r="I60" s="501" t="str">
        <f>IF(OR(K58="",SUM(H57:H58)&lt;&gt;SUM(K57:K58)),"","－")</f>
        <v/>
      </c>
      <c r="J60" s="501"/>
      <c r="K60" s="184"/>
      <c r="L60" s="682"/>
      <c r="M60" s="140"/>
      <c r="N60" s="140"/>
      <c r="O60" s="640"/>
      <c r="P60" s="183"/>
      <c r="Q60" s="501" t="str">
        <f>IF(OR(S58="",SUM(P57:P58)&lt;&gt;SUM(S57:S58)),"","－")</f>
        <v/>
      </c>
      <c r="R60" s="501"/>
      <c r="S60" s="184"/>
      <c r="T60" s="682"/>
      <c r="U60" s="183"/>
      <c r="V60" s="140"/>
      <c r="W60" s="140"/>
      <c r="X60" s="337"/>
      <c r="Y60" s="682"/>
      <c r="AB60" s="640"/>
      <c r="AC60" s="183"/>
      <c r="AD60" s="140"/>
      <c r="AE60" s="140"/>
      <c r="AF60" s="662"/>
      <c r="AG60" s="688"/>
      <c r="AH60" s="183"/>
      <c r="AI60" s="501" t="str">
        <f>IF(OR(AK58="",SUM(AH57:AH58)&lt;&gt;SUM(AK57:AK58)),"","－")</f>
        <v/>
      </c>
      <c r="AJ60" s="501"/>
      <c r="AK60" s="184"/>
      <c r="AL60" s="682"/>
      <c r="AM60" s="140"/>
      <c r="AN60" s="140"/>
      <c r="AO60" s="640"/>
      <c r="AP60" s="183"/>
      <c r="AQ60" s="501" t="str">
        <f>IF(OR(AS58="",SUM(AP57:AP58)&lt;&gt;SUM(AS57:AS58)),"","－")</f>
        <v/>
      </c>
      <c r="AR60" s="501"/>
      <c r="AS60" s="184"/>
      <c r="AT60" s="682"/>
      <c r="AU60" s="183"/>
      <c r="AV60" s="140"/>
      <c r="AW60" s="140"/>
      <c r="AX60" s="337"/>
      <c r="AY60" s="682"/>
      <c r="BE60" s="132" t="s">
        <v>662</v>
      </c>
      <c r="BH60" s="180"/>
    </row>
    <row r="61" spans="1:64" s="132" customFormat="1" ht="10.5" customHeight="1" x14ac:dyDescent="0.15">
      <c r="A61" s="72"/>
      <c r="B61" s="640"/>
      <c r="C61" s="140"/>
      <c r="D61" s="140"/>
      <c r="E61" s="140"/>
      <c r="F61" s="662"/>
      <c r="G61" s="688"/>
      <c r="H61" s="501" t="str">
        <f>IF(OR(K60="",SUM(H57:H60)&lt;&gt;SUM(K57:K60)),"","PK")</f>
        <v/>
      </c>
      <c r="I61" s="501"/>
      <c r="J61" s="501"/>
      <c r="K61" s="501"/>
      <c r="L61" s="682"/>
      <c r="M61" s="140"/>
      <c r="N61" s="140"/>
      <c r="O61" s="640"/>
      <c r="P61" s="501" t="str">
        <f>IF(OR(S60="",SUM(P57:P60)&lt;&gt;SUM(S57:S60)),"","PK")</f>
        <v/>
      </c>
      <c r="Q61" s="501"/>
      <c r="R61" s="501"/>
      <c r="S61" s="501"/>
      <c r="T61" s="682"/>
      <c r="U61" s="140"/>
      <c r="V61" s="140"/>
      <c r="W61" s="140"/>
      <c r="X61" s="335"/>
      <c r="Y61" s="682"/>
      <c r="AB61" s="640"/>
      <c r="AC61" s="140"/>
      <c r="AD61" s="140"/>
      <c r="AE61" s="140"/>
      <c r="AF61" s="662"/>
      <c r="AG61" s="688"/>
      <c r="AH61" s="501" t="str">
        <f>IF(OR(AK60="",SUM(AH57:AH60)&lt;&gt;SUM(AK57:AK60)),"","PK")</f>
        <v/>
      </c>
      <c r="AI61" s="501"/>
      <c r="AJ61" s="501"/>
      <c r="AK61" s="501"/>
      <c r="AL61" s="682"/>
      <c r="AM61" s="140"/>
      <c r="AN61" s="140"/>
      <c r="AO61" s="640"/>
      <c r="AP61" s="501" t="str">
        <f>IF(OR(AS60="",SUM(AP57:AP60)&lt;&gt;SUM(AS57:AS60)),"","PK")</f>
        <v/>
      </c>
      <c r="AQ61" s="501"/>
      <c r="AR61" s="501"/>
      <c r="AS61" s="501"/>
      <c r="AT61" s="682"/>
      <c r="AU61" s="140"/>
      <c r="AV61" s="140"/>
      <c r="AW61" s="140"/>
      <c r="AX61" s="335"/>
      <c r="AY61" s="682"/>
      <c r="BE61" s="132" t="s">
        <v>663</v>
      </c>
      <c r="BH61" s="180"/>
    </row>
    <row r="62" spans="1:64" s="132" customFormat="1" ht="10.5" customHeight="1" x14ac:dyDescent="0.15">
      <c r="A62" s="72" t="s">
        <v>112</v>
      </c>
      <c r="B62" s="640"/>
      <c r="C62" s="183"/>
      <c r="D62" s="140"/>
      <c r="E62" s="140"/>
      <c r="F62" s="662"/>
      <c r="G62" s="688"/>
      <c r="H62" s="183"/>
      <c r="I62" s="501" t="str">
        <f>IF(OR(K60="",SUM(H57:H60)&lt;&gt;SUM(K57:K60)),"","－")</f>
        <v/>
      </c>
      <c r="J62" s="501"/>
      <c r="K62" s="184"/>
      <c r="L62" s="682"/>
      <c r="M62" s="140"/>
      <c r="N62" s="140"/>
      <c r="O62" s="640"/>
      <c r="P62" s="183"/>
      <c r="Q62" s="501" t="str">
        <f>IF(OR(S60="",SUM(P57:P60)&lt;&gt;SUM(S57:S60)),"","－")</f>
        <v/>
      </c>
      <c r="R62" s="501"/>
      <c r="S62" s="184"/>
      <c r="T62" s="682"/>
      <c r="U62" s="183"/>
      <c r="V62" s="140"/>
      <c r="W62" s="140"/>
      <c r="X62" s="337"/>
      <c r="Y62" s="682"/>
      <c r="AB62" s="640"/>
      <c r="AC62" s="183"/>
      <c r="AD62" s="140"/>
      <c r="AE62" s="140"/>
      <c r="AF62" s="662"/>
      <c r="AG62" s="688"/>
      <c r="AH62" s="183"/>
      <c r="AI62" s="501" t="str">
        <f>IF(OR(AK60="",SUM(AH57:AH60)&lt;&gt;SUM(AK57:AK60)),"","－")</f>
        <v/>
      </c>
      <c r="AJ62" s="501"/>
      <c r="AK62" s="184"/>
      <c r="AL62" s="682"/>
      <c r="AM62" s="140"/>
      <c r="AN62" s="140"/>
      <c r="AO62" s="640"/>
      <c r="AP62" s="183"/>
      <c r="AQ62" s="501" t="str">
        <f>IF(OR(AS60="",SUM(AP57:AP60)&lt;&gt;SUM(AS57:AS60)),"","－")</f>
        <v/>
      </c>
      <c r="AR62" s="501"/>
      <c r="AS62" s="184"/>
      <c r="AT62" s="682"/>
      <c r="AU62" s="183"/>
      <c r="AV62" s="140"/>
      <c r="AW62" s="140"/>
      <c r="AX62" s="337"/>
      <c r="AY62" s="682"/>
      <c r="BH62" s="180"/>
    </row>
    <row r="63" spans="1:64" ht="10.5" customHeight="1" x14ac:dyDescent="0.15">
      <c r="A63" s="423">
        <f ca="1">A24-2-5</f>
        <v>45850</v>
      </c>
      <c r="B63" s="640"/>
      <c r="C63" s="76"/>
      <c r="D63" s="76"/>
      <c r="E63" s="76"/>
      <c r="F63" s="662"/>
      <c r="G63" s="688"/>
      <c r="H63" s="437" t="s">
        <v>655</v>
      </c>
      <c r="I63" s="696" t="s">
        <v>668</v>
      </c>
      <c r="J63" s="696"/>
      <c r="K63" s="697"/>
      <c r="L63" s="682"/>
      <c r="M63" s="76"/>
      <c r="N63" s="76"/>
      <c r="O63" s="640"/>
      <c r="P63" s="437" t="s">
        <v>657</v>
      </c>
      <c r="Q63" s="696" t="s">
        <v>668</v>
      </c>
      <c r="R63" s="696"/>
      <c r="S63" s="697"/>
      <c r="T63" s="682"/>
      <c r="U63" s="76"/>
      <c r="V63" s="76"/>
      <c r="W63" s="76"/>
      <c r="X63" s="145"/>
      <c r="Y63" s="682"/>
      <c r="AB63" s="640"/>
      <c r="AC63" s="76"/>
      <c r="AD63" s="76"/>
      <c r="AE63" s="76"/>
      <c r="AF63" s="662"/>
      <c r="AG63" s="688"/>
      <c r="AH63" s="437" t="s">
        <v>659</v>
      </c>
      <c r="AI63" s="696" t="s">
        <v>668</v>
      </c>
      <c r="AJ63" s="696"/>
      <c r="AK63" s="697"/>
      <c r="AL63" s="682"/>
      <c r="AM63" s="76"/>
      <c r="AN63" s="76"/>
      <c r="AO63" s="640"/>
      <c r="AP63" s="437" t="s">
        <v>661</v>
      </c>
      <c r="AQ63" s="696" t="s">
        <v>668</v>
      </c>
      <c r="AR63" s="696"/>
      <c r="AS63" s="697"/>
      <c r="AT63" s="682"/>
      <c r="AU63" s="76"/>
      <c r="AV63" s="76"/>
      <c r="AW63" s="76"/>
      <c r="AX63" s="145"/>
      <c r="AY63" s="682"/>
      <c r="BH63" s="58"/>
    </row>
    <row r="64" spans="1:64" s="132" customFormat="1" ht="10.5" customHeight="1" x14ac:dyDescent="0.15">
      <c r="A64" s="75" t="str">
        <f ca="1">"("&amp;CHOOSE(WEEKDAY(A63),"日","月","火","水","木","金","土")&amp;")"</f>
        <v>(土)</v>
      </c>
      <c r="B64" s="640"/>
      <c r="C64" s="140"/>
      <c r="D64" s="140"/>
      <c r="E64" s="140"/>
      <c r="F64" s="662"/>
      <c r="G64" s="688"/>
      <c r="H64" s="336"/>
      <c r="K64" s="344"/>
      <c r="L64" s="682"/>
      <c r="M64" s="140"/>
      <c r="N64" s="140"/>
      <c r="O64" s="640"/>
      <c r="P64" s="336"/>
      <c r="S64" s="344"/>
      <c r="T64" s="682"/>
      <c r="U64" s="140"/>
      <c r="V64" s="140"/>
      <c r="W64" s="140"/>
      <c r="X64" s="335"/>
      <c r="Y64" s="682"/>
      <c r="AB64" s="640"/>
      <c r="AC64" s="140"/>
      <c r="AD64" s="140"/>
      <c r="AE64" s="140"/>
      <c r="AF64" s="662"/>
      <c r="AG64" s="688"/>
      <c r="AH64" s="336"/>
      <c r="AK64" s="344"/>
      <c r="AL64" s="682"/>
      <c r="AM64" s="140"/>
      <c r="AN64" s="140"/>
      <c r="AO64" s="640"/>
      <c r="AP64" s="336"/>
      <c r="AS64" s="344"/>
      <c r="AT64" s="682"/>
      <c r="AU64" s="140"/>
      <c r="AV64" s="140"/>
      <c r="AW64" s="140"/>
      <c r="AX64" s="335"/>
      <c r="AY64" s="682"/>
      <c r="BH64" s="180"/>
    </row>
    <row r="65" spans="2:64" s="76" customFormat="1" ht="10.5" customHeight="1" x14ac:dyDescent="0.15">
      <c r="B65" s="640"/>
      <c r="F65" s="662"/>
      <c r="G65" s="688"/>
      <c r="H65" s="711" t="s">
        <v>638</v>
      </c>
      <c r="I65" s="712"/>
      <c r="J65" s="712"/>
      <c r="K65" s="713"/>
      <c r="L65" s="682"/>
      <c r="O65" s="640"/>
      <c r="P65" s="711" t="s">
        <v>639</v>
      </c>
      <c r="Q65" s="712"/>
      <c r="R65" s="712"/>
      <c r="S65" s="713"/>
      <c r="T65" s="682"/>
      <c r="X65" s="145"/>
      <c r="Y65" s="682"/>
      <c r="AB65" s="640"/>
      <c r="AF65" s="662"/>
      <c r="AG65" s="688"/>
      <c r="AH65" s="711" t="s">
        <v>640</v>
      </c>
      <c r="AI65" s="712"/>
      <c r="AJ65" s="712"/>
      <c r="AK65" s="713"/>
      <c r="AL65" s="682"/>
      <c r="AO65" s="640"/>
      <c r="AP65" s="711" t="s">
        <v>641</v>
      </c>
      <c r="AQ65" s="712"/>
      <c r="AR65" s="712"/>
      <c r="AS65" s="713"/>
      <c r="AT65" s="682"/>
      <c r="AX65" s="145"/>
      <c r="AY65" s="682"/>
      <c r="BH65" s="105"/>
    </row>
    <row r="66" spans="2:64" s="132" customFormat="1" ht="10.5" customHeight="1" x14ac:dyDescent="0.15">
      <c r="B66" s="640"/>
      <c r="D66" s="140"/>
      <c r="E66" s="140"/>
      <c r="F66" s="662"/>
      <c r="G66" s="688"/>
      <c r="H66" s="336"/>
      <c r="K66" s="344"/>
      <c r="L66" s="682"/>
      <c r="M66" s="140"/>
      <c r="N66" s="140"/>
      <c r="O66" s="640"/>
      <c r="P66" s="336"/>
      <c r="S66" s="344"/>
      <c r="T66" s="682"/>
      <c r="V66" s="140"/>
      <c r="W66" s="140"/>
      <c r="X66" s="325"/>
      <c r="Y66" s="682"/>
      <c r="AB66" s="640"/>
      <c r="AD66" s="140"/>
      <c r="AE66" s="140"/>
      <c r="AF66" s="662"/>
      <c r="AG66" s="688"/>
      <c r="AH66" s="336"/>
      <c r="AK66" s="344"/>
      <c r="AL66" s="682"/>
      <c r="AM66" s="140"/>
      <c r="AN66" s="140"/>
      <c r="AO66" s="640"/>
      <c r="AP66" s="336"/>
      <c r="AS66" s="344"/>
      <c r="AT66" s="682"/>
      <c r="AV66" s="140"/>
      <c r="AW66" s="140"/>
      <c r="AX66" s="325"/>
      <c r="AY66" s="682"/>
      <c r="BH66" s="180"/>
    </row>
    <row r="67" spans="2:64" s="132" customFormat="1" ht="10.5" customHeight="1" x14ac:dyDescent="0.15">
      <c r="B67" s="640"/>
      <c r="F67" s="662"/>
      <c r="G67" s="688"/>
      <c r="H67" s="336"/>
      <c r="K67" s="344"/>
      <c r="L67" s="682"/>
      <c r="O67" s="640"/>
      <c r="P67" s="336"/>
      <c r="S67" s="344"/>
      <c r="T67" s="682"/>
      <c r="X67" s="325"/>
      <c r="Y67" s="682"/>
      <c r="AB67" s="640"/>
      <c r="AF67" s="662"/>
      <c r="AG67" s="688"/>
      <c r="AH67" s="336"/>
      <c r="AK67" s="344"/>
      <c r="AL67" s="682"/>
      <c r="AO67" s="640"/>
      <c r="AP67" s="336"/>
      <c r="AS67" s="344"/>
      <c r="AT67" s="682"/>
      <c r="AX67" s="325"/>
      <c r="AY67" s="682"/>
      <c r="BH67" s="180"/>
    </row>
    <row r="68" spans="2:64" s="132" customFormat="1" ht="10.5" customHeight="1" x14ac:dyDescent="0.15">
      <c r="B68" s="640"/>
      <c r="F68" s="662"/>
      <c r="G68" s="688"/>
      <c r="H68" s="336"/>
      <c r="K68" s="344"/>
      <c r="L68" s="682"/>
      <c r="O68" s="640"/>
      <c r="P68" s="336"/>
      <c r="S68" s="344"/>
      <c r="T68" s="682"/>
      <c r="X68" s="325"/>
      <c r="Y68" s="682"/>
      <c r="AB68" s="640"/>
      <c r="AF68" s="662"/>
      <c r="AG68" s="688"/>
      <c r="AH68" s="336"/>
      <c r="AK68" s="344"/>
      <c r="AL68" s="682"/>
      <c r="AO68" s="640"/>
      <c r="AP68" s="336"/>
      <c r="AS68" s="344"/>
      <c r="AT68" s="682"/>
      <c r="AX68" s="325"/>
      <c r="AY68" s="682"/>
      <c r="BH68" s="180"/>
    </row>
    <row r="69" spans="2:64" s="132" customFormat="1" ht="10.5" customHeight="1" x14ac:dyDescent="0.15">
      <c r="B69" s="640"/>
      <c r="F69" s="662"/>
      <c r="G69" s="688"/>
      <c r="H69" s="336"/>
      <c r="K69" s="344"/>
      <c r="L69" s="682"/>
      <c r="O69" s="640"/>
      <c r="P69" s="336"/>
      <c r="S69" s="344"/>
      <c r="T69" s="682"/>
      <c r="X69" s="325"/>
      <c r="Y69" s="682"/>
      <c r="AB69" s="640"/>
      <c r="AF69" s="662"/>
      <c r="AG69" s="688"/>
      <c r="AH69" s="336"/>
      <c r="AK69" s="344"/>
      <c r="AL69" s="682"/>
      <c r="AO69" s="640"/>
      <c r="AP69" s="336"/>
      <c r="AS69" s="344"/>
      <c r="AT69" s="682"/>
      <c r="AX69" s="325"/>
      <c r="AY69" s="682"/>
      <c r="BD69" s="310"/>
      <c r="BE69" s="310"/>
      <c r="BF69" s="310"/>
      <c r="BG69" s="310"/>
      <c r="BH69" s="434"/>
      <c r="BI69" s="310"/>
      <c r="BJ69" s="310"/>
      <c r="BK69" s="310"/>
      <c r="BL69" s="310"/>
    </row>
    <row r="70" spans="2:64" s="132" customFormat="1" ht="10.5" customHeight="1" x14ac:dyDescent="0.15">
      <c r="B70" s="640"/>
      <c r="F70" s="662"/>
      <c r="G70" s="688"/>
      <c r="H70" s="336"/>
      <c r="K70" s="344"/>
      <c r="L70" s="682"/>
      <c r="O70" s="640"/>
      <c r="P70" s="336"/>
      <c r="S70" s="344"/>
      <c r="T70" s="682"/>
      <c r="X70" s="325"/>
      <c r="Y70" s="682"/>
      <c r="AB70" s="640"/>
      <c r="AF70" s="662"/>
      <c r="AG70" s="688"/>
      <c r="AH70" s="336"/>
      <c r="AK70" s="344"/>
      <c r="AL70" s="682"/>
      <c r="AO70" s="640"/>
      <c r="AP70" s="336"/>
      <c r="AS70" s="344"/>
      <c r="AT70" s="682"/>
      <c r="AX70" s="325"/>
      <c r="AY70" s="682"/>
      <c r="BD70" s="179"/>
      <c r="BE70" s="179"/>
      <c r="BF70" s="179"/>
      <c r="BG70" s="179"/>
      <c r="BH70" s="435"/>
      <c r="BI70" s="179"/>
      <c r="BJ70" s="179"/>
      <c r="BK70" s="179"/>
      <c r="BL70" s="179"/>
    </row>
    <row r="71" spans="2:64" s="132" customFormat="1" ht="10.5" customHeight="1" x14ac:dyDescent="0.15">
      <c r="B71" s="640"/>
      <c r="F71" s="662"/>
      <c r="G71" s="688"/>
      <c r="H71" s="336"/>
      <c r="K71" s="344"/>
      <c r="L71" s="682"/>
      <c r="O71" s="640"/>
      <c r="P71" s="336"/>
      <c r="S71" s="344"/>
      <c r="T71" s="682"/>
      <c r="X71" s="325"/>
      <c r="Y71" s="682"/>
      <c r="AB71" s="640"/>
      <c r="AF71" s="662"/>
      <c r="AG71" s="688"/>
      <c r="AH71" s="336"/>
      <c r="AK71" s="344"/>
      <c r="AL71" s="682"/>
      <c r="AO71" s="640"/>
      <c r="AP71" s="336"/>
      <c r="AS71" s="344"/>
      <c r="AT71" s="682"/>
      <c r="AX71" s="325"/>
      <c r="AY71" s="682"/>
      <c r="BD71" s="193"/>
      <c r="BE71" s="193"/>
      <c r="BF71" s="193"/>
      <c r="BG71" s="193"/>
      <c r="BH71" s="436"/>
      <c r="BI71" s="193"/>
      <c r="BJ71" s="193"/>
      <c r="BK71" s="193"/>
      <c r="BL71" s="193"/>
    </row>
    <row r="72" spans="2:64" s="132" customFormat="1" ht="10.5" customHeight="1" x14ac:dyDescent="0.15">
      <c r="B72" s="640"/>
      <c r="F72" s="662"/>
      <c r="G72" s="688"/>
      <c r="H72" s="336"/>
      <c r="K72" s="344"/>
      <c r="L72" s="682"/>
      <c r="O72" s="640"/>
      <c r="P72" s="336"/>
      <c r="S72" s="344"/>
      <c r="T72" s="682"/>
      <c r="X72" s="325"/>
      <c r="Y72" s="682"/>
      <c r="AB72" s="640"/>
      <c r="AF72" s="662"/>
      <c r="AG72" s="688"/>
      <c r="AH72" s="336"/>
      <c r="AK72" s="344"/>
      <c r="AL72" s="682"/>
      <c r="AO72" s="640"/>
      <c r="AP72" s="336"/>
      <c r="AS72" s="344"/>
      <c r="AT72" s="682"/>
      <c r="AX72" s="325"/>
      <c r="AY72" s="682"/>
      <c r="BD72" s="194"/>
      <c r="BE72" s="194"/>
      <c r="BF72" s="194"/>
      <c r="BG72" s="194"/>
      <c r="BH72" s="194"/>
      <c r="BI72" s="194"/>
      <c r="BJ72" s="194"/>
      <c r="BK72" s="194"/>
      <c r="BL72" s="194"/>
    </row>
    <row r="73" spans="2:64" s="310" customFormat="1" ht="9" customHeight="1" x14ac:dyDescent="0.15">
      <c r="B73" s="642"/>
      <c r="F73" s="706"/>
      <c r="G73" s="707"/>
      <c r="H73" s="336"/>
      <c r="K73" s="345">
        <f>3</f>
        <v>3</v>
      </c>
      <c r="L73" s="690"/>
      <c r="O73" s="642"/>
      <c r="P73" s="336"/>
      <c r="S73" s="345">
        <f>5</f>
        <v>5</v>
      </c>
      <c r="T73" s="690"/>
      <c r="X73" s="345">
        <f>6</f>
        <v>6</v>
      </c>
      <c r="Y73" s="690"/>
      <c r="AB73" s="642"/>
      <c r="AF73" s="706"/>
      <c r="AG73" s="707"/>
      <c r="AH73" s="336"/>
      <c r="AK73" s="345">
        <f>9</f>
        <v>9</v>
      </c>
      <c r="AL73" s="690"/>
      <c r="AO73" s="642"/>
      <c r="AP73" s="336"/>
      <c r="AS73" s="345">
        <f>11</f>
        <v>11</v>
      </c>
      <c r="AT73" s="690"/>
      <c r="AX73" s="345">
        <f>12</f>
        <v>12</v>
      </c>
      <c r="AY73" s="690"/>
      <c r="BD73" s="195"/>
      <c r="BE73" s="195"/>
      <c r="BF73" s="195"/>
      <c r="BG73" s="195"/>
      <c r="BH73" s="195"/>
      <c r="BI73" s="195"/>
      <c r="BJ73" s="195"/>
      <c r="BK73" s="195"/>
      <c r="BL73" s="195"/>
    </row>
    <row r="74" spans="2:64" s="179" customFormat="1" ht="6" customHeight="1" x14ac:dyDescent="0.15">
      <c r="B74" s="701" t="str">
        <f>INDEX(県体学校名!$B$4:$J$15,MATCH('県体(12)'!B42,県体学校名!$B$4:$B$15,0),2)</f>
        <v/>
      </c>
      <c r="C74" s="702"/>
      <c r="D74" s="190"/>
      <c r="E74" s="190"/>
      <c r="F74" s="701" t="str">
        <f>INDEX(県体学校名!$B$4:$J$15,MATCH('県体(12)'!F56,県体学校名!$B$4:$B$15,0),2)</f>
        <v/>
      </c>
      <c r="G74" s="703"/>
      <c r="H74" s="702"/>
      <c r="I74" s="191"/>
      <c r="J74" s="192"/>
      <c r="K74" s="701" t="str">
        <f>INDEX(県体学校名!$B$4:$J$15,MATCH('県体(12)'!K73,県体学校名!$B$4:$B$15,0),2)</f>
        <v/>
      </c>
      <c r="L74" s="702"/>
      <c r="M74" s="190"/>
      <c r="N74" s="190"/>
      <c r="O74" s="701" t="str">
        <f>INDEX(県体学校名!$B$4:$J$15,MATCH('県体(12)'!O56,県体学校名!$B$4:$B$15,0),2)</f>
        <v/>
      </c>
      <c r="P74" s="702"/>
      <c r="Q74" s="190"/>
      <c r="R74" s="190"/>
      <c r="S74" s="701" t="str">
        <f>INDEX(県体学校名!$B$4:$J$15,MATCH('県体(12)'!S73,県体学校名!$B$4:$B$15,0),2)</f>
        <v/>
      </c>
      <c r="T74" s="703"/>
      <c r="U74" s="702"/>
      <c r="V74" s="190"/>
      <c r="W74" s="190"/>
      <c r="X74" s="701" t="str">
        <f>INDEX(県体学校名!$B$4:$J$15,MATCH('県体(12)'!X73,県体学校名!$B$4:$B$15,0),2)</f>
        <v/>
      </c>
      <c r="Y74" s="702"/>
      <c r="Z74" s="190"/>
      <c r="AA74" s="190"/>
      <c r="AB74" s="701" t="str">
        <f>INDEX(県体学校名!$B$4:$J$15,MATCH('県体(12)'!AB42,県体学校名!$B$4:$B$15,0),2)</f>
        <v/>
      </c>
      <c r="AC74" s="702"/>
      <c r="AD74" s="190"/>
      <c r="AE74" s="190"/>
      <c r="AF74" s="701" t="str">
        <f>INDEX(県体学校名!$B$4:$J$15,MATCH('県体(12)'!AF56,県体学校名!$B$4:$B$15,0),2)</f>
        <v/>
      </c>
      <c r="AG74" s="703"/>
      <c r="AH74" s="702"/>
      <c r="AI74" s="190"/>
      <c r="AJ74" s="190"/>
      <c r="AK74" s="701" t="str">
        <f>INDEX(県体学校名!$B$4:$J$15,MATCH('県体(12)'!AK73,県体学校名!$B$4:$B$15,0),2)</f>
        <v/>
      </c>
      <c r="AL74" s="702"/>
      <c r="AM74" s="190"/>
      <c r="AN74" s="190"/>
      <c r="AO74" s="701" t="str">
        <f>INDEX(県体学校名!$B$4:$J$15,MATCH('県体(12)'!AO56,県体学校名!$B$4:$B$15,0),2)</f>
        <v/>
      </c>
      <c r="AP74" s="702"/>
      <c r="AQ74" s="190"/>
      <c r="AR74" s="190"/>
      <c r="AS74" s="701" t="str">
        <f>INDEX(県体学校名!$B$4:$J$15,MATCH('県体(12)'!AS73,県体学校名!$B$4:$B$15,0),2)</f>
        <v/>
      </c>
      <c r="AT74" s="703"/>
      <c r="AU74" s="702"/>
      <c r="AV74" s="190"/>
      <c r="AW74" s="190"/>
      <c r="AX74" s="701" t="str">
        <f>INDEX(県体学校名!$B$4:$J$15,MATCH('県体(12)'!AX73,県体学校名!$B$4:$B$15,0),2)</f>
        <v/>
      </c>
      <c r="AY74" s="702"/>
      <c r="BD74" s="72"/>
      <c r="BE74" s="72"/>
      <c r="BF74" s="72"/>
      <c r="BG74" s="72"/>
      <c r="BH74" s="72"/>
      <c r="BI74" s="72"/>
      <c r="BJ74" s="72"/>
      <c r="BK74" s="72"/>
      <c r="BL74" s="72"/>
    </row>
    <row r="75" spans="2:64" s="193" customFormat="1" ht="204" customHeight="1" x14ac:dyDescent="0.15">
      <c r="B75" s="699" t="str">
        <f>INDEX(県体学校名!$B$4:$J$15,MATCH(B$42,県体学校名!$B$4:$B$15,0),8)</f>
        <v/>
      </c>
      <c r="C75" s="700"/>
      <c r="D75" s="346"/>
      <c r="E75" s="346"/>
      <c r="F75" s="699" t="str">
        <f>INDEX(県体学校名!$B$4:$J$15,MATCH(F$56,県体学校名!$B$4:$B$15,0),8)</f>
        <v/>
      </c>
      <c r="G75" s="705"/>
      <c r="H75" s="700"/>
      <c r="I75" s="347"/>
      <c r="J75" s="348"/>
      <c r="K75" s="699" t="str">
        <f>INDEX(県体学校名!$B$4:$J$15,MATCH(K$73,県体学校名!$B$4:$B$15,0),8)</f>
        <v/>
      </c>
      <c r="L75" s="700"/>
      <c r="M75" s="346"/>
      <c r="N75" s="346"/>
      <c r="O75" s="699" t="str">
        <f>INDEX(県体学校名!$B$4:$J$15,MATCH(O$56,県体学校名!$B$4:$B$15,0),8)</f>
        <v/>
      </c>
      <c r="P75" s="700"/>
      <c r="Q75" s="346"/>
      <c r="R75" s="346"/>
      <c r="S75" s="699" t="str">
        <f>INDEX(県体学校名!$B$4:$J$15,MATCH(S$73,県体学校名!$B$4:$B$15,0),8)</f>
        <v/>
      </c>
      <c r="T75" s="705"/>
      <c r="U75" s="700"/>
      <c r="V75" s="346"/>
      <c r="W75" s="346"/>
      <c r="X75" s="699" t="str">
        <f>INDEX(県体学校名!$B$4:$J$15,MATCH(X$73,県体学校名!$B$4:$B$15,0),8)</f>
        <v/>
      </c>
      <c r="Y75" s="700"/>
      <c r="Z75" s="346"/>
      <c r="AA75" s="346"/>
      <c r="AB75" s="699" t="str">
        <f>INDEX(県体学校名!$B$4:$J$15,MATCH(AB$42,県体学校名!$B$4:$B$15,0),8)</f>
        <v/>
      </c>
      <c r="AC75" s="700"/>
      <c r="AD75" s="346"/>
      <c r="AE75" s="346"/>
      <c r="AF75" s="699" t="str">
        <f>INDEX(県体学校名!$B$4:$J$15,MATCH(AF$56,県体学校名!$B$4:$B$15,0),8)</f>
        <v/>
      </c>
      <c r="AG75" s="705"/>
      <c r="AH75" s="700"/>
      <c r="AI75" s="346"/>
      <c r="AJ75" s="346"/>
      <c r="AK75" s="699" t="str">
        <f>INDEX(県体学校名!$B$4:$J$15,MATCH(AK$73,県体学校名!$B$4:$B$15,0),8)</f>
        <v/>
      </c>
      <c r="AL75" s="700"/>
      <c r="AM75" s="346"/>
      <c r="AN75" s="346"/>
      <c r="AO75" s="699" t="str">
        <f>INDEX(県体学校名!$B$4:$J$15,MATCH(AO$56,県体学校名!$B$4:$B$15,0),8)</f>
        <v/>
      </c>
      <c r="AP75" s="700"/>
      <c r="AQ75" s="346"/>
      <c r="AR75" s="346"/>
      <c r="AS75" s="699" t="str">
        <f>INDEX(県体学校名!$B$4:$J$15,MATCH(AS$73,県体学校名!$B$4:$B$15,0),8)</f>
        <v/>
      </c>
      <c r="AT75" s="705"/>
      <c r="AU75" s="700"/>
      <c r="AV75" s="346"/>
      <c r="AW75" s="346"/>
      <c r="AX75" s="699" t="str">
        <f>INDEX(県体学校名!$B$4:$J$15,MATCH(AX$73,県体学校名!$B$4:$B$15,0),8)</f>
        <v/>
      </c>
      <c r="AY75" s="700"/>
      <c r="BD75" s="72"/>
      <c r="BE75" s="72"/>
      <c r="BF75" s="72"/>
      <c r="BG75" s="72"/>
      <c r="BH75" s="72"/>
      <c r="BI75" s="72"/>
      <c r="BJ75" s="72"/>
      <c r="BK75" s="72"/>
      <c r="BL75" s="72"/>
    </row>
    <row r="76" spans="2:64" s="194" customFormat="1" ht="6" customHeight="1" x14ac:dyDescent="0.15">
      <c r="B76" s="349"/>
      <c r="C76" s="350"/>
      <c r="D76" s="351"/>
      <c r="E76" s="351"/>
      <c r="F76" s="349"/>
      <c r="G76" s="351"/>
      <c r="H76" s="350"/>
      <c r="I76" s="349"/>
      <c r="J76" s="350"/>
      <c r="K76" s="349"/>
      <c r="L76" s="350"/>
      <c r="M76" s="351"/>
      <c r="N76" s="351"/>
      <c r="O76" s="349"/>
      <c r="P76" s="350"/>
      <c r="Q76" s="351"/>
      <c r="R76" s="351"/>
      <c r="S76" s="349"/>
      <c r="T76" s="351"/>
      <c r="U76" s="350"/>
      <c r="V76" s="351"/>
      <c r="W76" s="351"/>
      <c r="X76" s="349"/>
      <c r="Y76" s="350"/>
      <c r="Z76" s="351"/>
      <c r="AA76" s="351"/>
      <c r="AB76" s="349"/>
      <c r="AC76" s="350"/>
      <c r="AD76" s="351"/>
      <c r="AE76" s="351"/>
      <c r="AF76" s="349"/>
      <c r="AG76" s="351"/>
      <c r="AH76" s="350"/>
      <c r="AI76" s="351"/>
      <c r="AJ76" s="351"/>
      <c r="AK76" s="349"/>
      <c r="AL76" s="350"/>
      <c r="AM76" s="351"/>
      <c r="AN76" s="351"/>
      <c r="AO76" s="349"/>
      <c r="AP76" s="350"/>
      <c r="AQ76" s="351"/>
      <c r="AR76" s="351"/>
      <c r="AS76" s="349"/>
      <c r="AT76" s="351"/>
      <c r="AU76" s="350"/>
      <c r="AV76" s="351"/>
      <c r="AW76" s="351"/>
      <c r="AX76" s="349"/>
      <c r="AY76" s="350"/>
      <c r="BD76" s="72"/>
      <c r="BE76" s="72"/>
      <c r="BF76" s="72"/>
      <c r="BG76" s="72"/>
      <c r="BH76" s="72"/>
      <c r="BI76" s="72"/>
      <c r="BJ76" s="72"/>
      <c r="BK76" s="72"/>
      <c r="BL76" s="72"/>
    </row>
    <row r="77" spans="2:64" s="195" customFormat="1" ht="87" customHeight="1" x14ac:dyDescent="0.15">
      <c r="B77" s="708" t="str">
        <f>INDEX(県体学校名!$B$4:$J$15,MATCH(B$42,県体学校名!$B$4:$B$15,0),9)</f>
        <v>北加賀１位</v>
      </c>
      <c r="C77" s="709"/>
      <c r="D77" s="352"/>
      <c r="E77" s="352"/>
      <c r="F77" s="708" t="str">
        <f>INDEX(県体学校名!$B$4:$J$15,MATCH(F$56,県体学校名!$B$4:$B$15,0),9)</f>
        <v>北加賀２位</v>
      </c>
      <c r="G77" s="710"/>
      <c r="H77" s="710"/>
      <c r="I77" s="353"/>
      <c r="J77" s="354"/>
      <c r="K77" s="708" t="str">
        <f>INDEX(県体学校名!$B$4:$J$15,MATCH(K$73,県体学校名!$B$4:$B$15,0),9)</f>
        <v>北加賀３位</v>
      </c>
      <c r="L77" s="709"/>
      <c r="M77" s="352"/>
      <c r="N77" s="352"/>
      <c r="O77" s="708" t="str">
        <f>INDEX(県体学校名!$B$4:$J$15,MATCH(O$56,県体学校名!$B$4:$B$15,0),9)</f>
        <v>北加賀３位</v>
      </c>
      <c r="P77" s="709"/>
      <c r="Q77" s="352"/>
      <c r="R77" s="352"/>
      <c r="S77" s="708" t="str">
        <f>INDEX(県体学校名!$B$4:$J$15,MATCH(S$73,県体学校名!$B$4:$B$15,0),9)</f>
        <v>北加賀代表</v>
      </c>
      <c r="T77" s="710"/>
      <c r="U77" s="709"/>
      <c r="V77" s="352"/>
      <c r="W77" s="352"/>
      <c r="X77" s="708" t="str">
        <f>INDEX(県体学校名!$B$4:$J$15,MATCH(X$73,県体学校名!$B$4:$B$15,0),9)</f>
        <v>北加賀代表</v>
      </c>
      <c r="Y77" s="709"/>
      <c r="Z77" s="352"/>
      <c r="AA77" s="352"/>
      <c r="AB77" s="708" t="str">
        <f>INDEX(県体学校名!$B$4:$J$15,MATCH(AB$42,県体学校名!$B$4:$B$15,0),9)</f>
        <v>北加賀代表</v>
      </c>
      <c r="AC77" s="709"/>
      <c r="AD77" s="352"/>
      <c r="AE77" s="352"/>
      <c r="AF77" s="708" t="str">
        <f>INDEX(県体学校名!$B$4:$J$15,MATCH(AF$56,県体学校名!$B$4:$B$15,0),9)</f>
        <v>南加賀１位</v>
      </c>
      <c r="AG77" s="710"/>
      <c r="AH77" s="709"/>
      <c r="AI77" s="352"/>
      <c r="AJ77" s="352"/>
      <c r="AK77" s="708" t="str">
        <f>INDEX(県体学校名!$B$4:$J$15,MATCH(AK$73,県体学校名!$B$4:$B$15,0),9)</f>
        <v>南加賀２位</v>
      </c>
      <c r="AL77" s="709"/>
      <c r="AM77" s="352"/>
      <c r="AN77" s="352"/>
      <c r="AO77" s="708" t="str">
        <f>INDEX(県体学校名!$B$4:$J$15,MATCH(AO$56,県体学校名!$B$4:$B$15,0),9)</f>
        <v>南加賀３位</v>
      </c>
      <c r="AP77" s="709"/>
      <c r="AQ77" s="352"/>
      <c r="AR77" s="352"/>
      <c r="AS77" s="708" t="str">
        <f>INDEX(県体学校名!$B$4:$J$15,MATCH(AS$73,県体学校名!$B$4:$B$15,0),9)</f>
        <v>能登地区１位</v>
      </c>
      <c r="AT77" s="710"/>
      <c r="AU77" s="709"/>
      <c r="AV77" s="352"/>
      <c r="AW77" s="352"/>
      <c r="AX77" s="708" t="str">
        <f>INDEX(県体学校名!$B$4:$J$15,MATCH(AX$73,県体学校名!$B$4:$B$15,0),9)</f>
        <v>能登地区２位</v>
      </c>
      <c r="AY77" s="709"/>
      <c r="BD77" s="72"/>
      <c r="BE77" s="72"/>
      <c r="BF77" s="72"/>
      <c r="BG77" s="72"/>
      <c r="BH77" s="72"/>
      <c r="BI77" s="72"/>
      <c r="BJ77" s="72"/>
      <c r="BK77" s="72"/>
      <c r="BL77" s="72"/>
    </row>
  </sheetData>
  <mergeCells count="288">
    <mergeCell ref="BF22:BK22"/>
    <mergeCell ref="BF23:BK23"/>
    <mergeCell ref="Z21:AC21"/>
    <mergeCell ref="X21:Y21"/>
    <mergeCell ref="AM35:AP35"/>
    <mergeCell ref="AK35:AL35"/>
    <mergeCell ref="M35:P35"/>
    <mergeCell ref="K35:L35"/>
    <mergeCell ref="BH21:BK21"/>
    <mergeCell ref="BF21:BG21"/>
    <mergeCell ref="N23:AM23"/>
    <mergeCell ref="M32:N32"/>
    <mergeCell ref="AM32:AN32"/>
    <mergeCell ref="L33:O33"/>
    <mergeCell ref="AL33:AO33"/>
    <mergeCell ref="M34:N34"/>
    <mergeCell ref="AM34:AN34"/>
    <mergeCell ref="AO14:AP24"/>
    <mergeCell ref="K25:L25"/>
    <mergeCell ref="M30:N30"/>
    <mergeCell ref="AM30:AN30"/>
    <mergeCell ref="M31:N31"/>
    <mergeCell ref="AM31:AN31"/>
    <mergeCell ref="BE14:BE23"/>
    <mergeCell ref="AF37:AU37"/>
    <mergeCell ref="F37:U37"/>
    <mergeCell ref="AR51:AX51"/>
    <mergeCell ref="AC51:AI51"/>
    <mergeCell ref="R51:X51"/>
    <mergeCell ref="C51:I51"/>
    <mergeCell ref="AP65:AS65"/>
    <mergeCell ref="AH65:AK65"/>
    <mergeCell ref="P65:S65"/>
    <mergeCell ref="H65:K65"/>
    <mergeCell ref="AQ63:AS63"/>
    <mergeCell ref="AI63:AK63"/>
    <mergeCell ref="Q63:S63"/>
    <mergeCell ref="I63:K63"/>
    <mergeCell ref="AU49:AX49"/>
    <mergeCell ref="AS49:AT49"/>
    <mergeCell ref="AE49:AI49"/>
    <mergeCell ref="AC49:AD49"/>
    <mergeCell ref="U49:X49"/>
    <mergeCell ref="AQ57:AR57"/>
    <mergeCell ref="I58:J58"/>
    <mergeCell ref="Q58:R58"/>
    <mergeCell ref="AI58:AJ58"/>
    <mergeCell ref="AQ58:AR58"/>
    <mergeCell ref="AX74:AY74"/>
    <mergeCell ref="B75:C75"/>
    <mergeCell ref="F75:H75"/>
    <mergeCell ref="K75:L75"/>
    <mergeCell ref="O75:P75"/>
    <mergeCell ref="S75:U75"/>
    <mergeCell ref="AO77:AP77"/>
    <mergeCell ref="AS77:AU77"/>
    <mergeCell ref="AX77:AY77"/>
    <mergeCell ref="AX75:AY75"/>
    <mergeCell ref="B77:C77"/>
    <mergeCell ref="F77:H77"/>
    <mergeCell ref="K77:L77"/>
    <mergeCell ref="O77:P77"/>
    <mergeCell ref="S77:U77"/>
    <mergeCell ref="X77:Y77"/>
    <mergeCell ref="AB77:AC77"/>
    <mergeCell ref="AF77:AH77"/>
    <mergeCell ref="AK77:AL77"/>
    <mergeCell ref="X75:Y75"/>
    <mergeCell ref="AB75:AC75"/>
    <mergeCell ref="AF75:AH75"/>
    <mergeCell ref="AK75:AL75"/>
    <mergeCell ref="B74:C74"/>
    <mergeCell ref="F74:H74"/>
    <mergeCell ref="K74:L74"/>
    <mergeCell ref="O74:P74"/>
    <mergeCell ref="S74:U74"/>
    <mergeCell ref="X74:Y74"/>
    <mergeCell ref="AB74:AC74"/>
    <mergeCell ref="F56:G73"/>
    <mergeCell ref="AF74:AH74"/>
    <mergeCell ref="I57:J57"/>
    <mergeCell ref="Q57:R57"/>
    <mergeCell ref="I62:J62"/>
    <mergeCell ref="I60:J60"/>
    <mergeCell ref="H61:K61"/>
    <mergeCell ref="L56:L73"/>
    <mergeCell ref="O56:O73"/>
    <mergeCell ref="I59:J59"/>
    <mergeCell ref="AO75:AP75"/>
    <mergeCell ref="P61:S61"/>
    <mergeCell ref="AH61:AK61"/>
    <mergeCell ref="AP61:AS61"/>
    <mergeCell ref="AO56:AO73"/>
    <mergeCell ref="Q62:R62"/>
    <mergeCell ref="AI62:AJ62"/>
    <mergeCell ref="AQ62:AR62"/>
    <mergeCell ref="AK74:AL74"/>
    <mergeCell ref="AO74:AP74"/>
    <mergeCell ref="AS74:AU74"/>
    <mergeCell ref="AT56:AT73"/>
    <mergeCell ref="AI57:AJ57"/>
    <mergeCell ref="AS75:AU75"/>
    <mergeCell ref="AQ59:AR59"/>
    <mergeCell ref="Q60:R60"/>
    <mergeCell ref="AI60:AJ60"/>
    <mergeCell ref="AQ60:AR60"/>
    <mergeCell ref="T56:T73"/>
    <mergeCell ref="AF56:AG73"/>
    <mergeCell ref="AL56:AL73"/>
    <mergeCell ref="Q59:R59"/>
    <mergeCell ref="AI59:AJ59"/>
    <mergeCell ref="AR55:AS55"/>
    <mergeCell ref="G53:H53"/>
    <mergeCell ref="K53:L53"/>
    <mergeCell ref="O53:P53"/>
    <mergeCell ref="S53:T53"/>
    <mergeCell ref="AG53:AH53"/>
    <mergeCell ref="AK53:AL53"/>
    <mergeCell ref="AO53:AP53"/>
    <mergeCell ref="AS53:AT53"/>
    <mergeCell ref="AH55:AI55"/>
    <mergeCell ref="S49:T49"/>
    <mergeCell ref="E49:I49"/>
    <mergeCell ref="C49:D49"/>
    <mergeCell ref="AT47:AW47"/>
    <mergeCell ref="C48:D48"/>
    <mergeCell ref="E48:F48"/>
    <mergeCell ref="G48:H48"/>
    <mergeCell ref="S48:T48"/>
    <mergeCell ref="U48:V48"/>
    <mergeCell ref="W48:X48"/>
    <mergeCell ref="AB42:AB73"/>
    <mergeCell ref="AJ42:AJ55"/>
    <mergeCell ref="AK42:AL52"/>
    <mergeCell ref="C45:D45"/>
    <mergeCell ref="E45:F45"/>
    <mergeCell ref="G45:H45"/>
    <mergeCell ref="S45:T45"/>
    <mergeCell ref="U45:V45"/>
    <mergeCell ref="W45:X45"/>
    <mergeCell ref="C44:D44"/>
    <mergeCell ref="E44:F44"/>
    <mergeCell ref="G44:H44"/>
    <mergeCell ref="S44:T44"/>
    <mergeCell ref="U44:V44"/>
    <mergeCell ref="AU48:AV48"/>
    <mergeCell ref="AW48:AX48"/>
    <mergeCell ref="AG44:AH44"/>
    <mergeCell ref="AC46:AD46"/>
    <mergeCell ref="AE46:AF46"/>
    <mergeCell ref="AG46:AH46"/>
    <mergeCell ref="AC45:AD45"/>
    <mergeCell ref="AE45:AF45"/>
    <mergeCell ref="AG45:AH45"/>
    <mergeCell ref="AE48:AF48"/>
    <mergeCell ref="AG48:AH48"/>
    <mergeCell ref="AC48:AD48"/>
    <mergeCell ref="AD47:AG47"/>
    <mergeCell ref="H55:I55"/>
    <mergeCell ref="R55:S55"/>
    <mergeCell ref="W44:X44"/>
    <mergeCell ref="AY42:AY73"/>
    <mergeCell ref="AU43:AV43"/>
    <mergeCell ref="AW43:AX43"/>
    <mergeCell ref="AC44:AD44"/>
    <mergeCell ref="AE44:AF44"/>
    <mergeCell ref="AC43:AD43"/>
    <mergeCell ref="AE43:AF43"/>
    <mergeCell ref="AG43:AH43"/>
    <mergeCell ref="AS43:AT43"/>
    <mergeCell ref="AS45:AT45"/>
    <mergeCell ref="AU45:AV45"/>
    <mergeCell ref="AW45:AX45"/>
    <mergeCell ref="AS44:AT44"/>
    <mergeCell ref="AU44:AV44"/>
    <mergeCell ref="AW44:AX44"/>
    <mergeCell ref="AS46:AT46"/>
    <mergeCell ref="AU46:AV46"/>
    <mergeCell ref="AW46:AX46"/>
    <mergeCell ref="AO42:AP52"/>
    <mergeCell ref="AQ42:AQ55"/>
    <mergeCell ref="AS48:AT48"/>
    <mergeCell ref="AC41:AD41"/>
    <mergeCell ref="AF41:AI41"/>
    <mergeCell ref="AR41:AU41"/>
    <mergeCell ref="AW41:AX41"/>
    <mergeCell ref="B42:B73"/>
    <mergeCell ref="J42:J55"/>
    <mergeCell ref="K42:L52"/>
    <mergeCell ref="O42:P52"/>
    <mergeCell ref="Q42:Q55"/>
    <mergeCell ref="Y42:Y73"/>
    <mergeCell ref="C43:D43"/>
    <mergeCell ref="E43:F43"/>
    <mergeCell ref="G43:H43"/>
    <mergeCell ref="S43:T43"/>
    <mergeCell ref="U43:V43"/>
    <mergeCell ref="W43:X43"/>
    <mergeCell ref="C46:D46"/>
    <mergeCell ref="E46:F46"/>
    <mergeCell ref="G46:H46"/>
    <mergeCell ref="S46:T46"/>
    <mergeCell ref="U46:V46"/>
    <mergeCell ref="W46:X46"/>
    <mergeCell ref="D47:G47"/>
    <mergeCell ref="T47:W47"/>
    <mergeCell ref="C28:D38"/>
    <mergeCell ref="E28:E41"/>
    <mergeCell ref="V28:V41"/>
    <mergeCell ref="W28:X38"/>
    <mergeCell ref="Z28:AA28"/>
    <mergeCell ref="AC28:AD38"/>
    <mergeCell ref="AE28:AE41"/>
    <mergeCell ref="AV28:AV41"/>
    <mergeCell ref="AW28:AX38"/>
    <mergeCell ref="C39:D39"/>
    <mergeCell ref="G39:H39"/>
    <mergeCell ref="S39:T39"/>
    <mergeCell ref="W39:X39"/>
    <mergeCell ref="AC39:AD39"/>
    <mergeCell ref="AG39:AH39"/>
    <mergeCell ref="M29:N29"/>
    <mergeCell ref="Z29:AA29"/>
    <mergeCell ref="AM29:AN29"/>
    <mergeCell ref="AS39:AT39"/>
    <mergeCell ref="AW39:AX39"/>
    <mergeCell ref="C41:D41"/>
    <mergeCell ref="F41:I41"/>
    <mergeCell ref="R41:U41"/>
    <mergeCell ref="W41:X41"/>
    <mergeCell ref="BG19:BJ19"/>
    <mergeCell ref="Z20:AA20"/>
    <mergeCell ref="BH20:BI20"/>
    <mergeCell ref="O24:P24"/>
    <mergeCell ref="AK24:AL24"/>
    <mergeCell ref="BC24:BH25"/>
    <mergeCell ref="BI24:BN25"/>
    <mergeCell ref="BL14:BL23"/>
    <mergeCell ref="Z15:AA15"/>
    <mergeCell ref="BH15:BI15"/>
    <mergeCell ref="Z16:AA16"/>
    <mergeCell ref="BH16:BI16"/>
    <mergeCell ref="Z17:AA17"/>
    <mergeCell ref="BH17:BI17"/>
    <mergeCell ref="Z18:AA18"/>
    <mergeCell ref="BH18:BI18"/>
    <mergeCell ref="Y19:AB19"/>
    <mergeCell ref="O25:P25"/>
    <mergeCell ref="AK25:AL25"/>
    <mergeCell ref="AO25:AP25"/>
    <mergeCell ref="AN14:AN27"/>
    <mergeCell ref="N27:U27"/>
    <mergeCell ref="AF27:AM27"/>
    <mergeCell ref="BM27:BS27"/>
    <mergeCell ref="BM5:BO5"/>
    <mergeCell ref="F6:S6"/>
    <mergeCell ref="T6:X6"/>
    <mergeCell ref="AP6:AX7"/>
    <mergeCell ref="BC7:BN8"/>
    <mergeCell ref="N8:R9"/>
    <mergeCell ref="S8:AH9"/>
    <mergeCell ref="AI8:AM9"/>
    <mergeCell ref="AS8:AY9"/>
    <mergeCell ref="BF9:BK10"/>
    <mergeCell ref="AD10:AM11"/>
    <mergeCell ref="X11:Y11"/>
    <mergeCell ref="Z11:Z13"/>
    <mergeCell ref="AB11:AC11"/>
    <mergeCell ref="BH11:BH13"/>
    <mergeCell ref="N13:Y13"/>
    <mergeCell ref="AA13:AM13"/>
    <mergeCell ref="BF13:BG13"/>
    <mergeCell ref="BI13:BK13"/>
    <mergeCell ref="K14:L24"/>
    <mergeCell ref="M14:M27"/>
    <mergeCell ref="A1:AY1"/>
    <mergeCell ref="F3:S3"/>
    <mergeCell ref="T3:X3"/>
    <mergeCell ref="Y3:AM3"/>
    <mergeCell ref="F4:S4"/>
    <mergeCell ref="T4:X4"/>
    <mergeCell ref="Y4:AM4"/>
    <mergeCell ref="F5:S5"/>
    <mergeCell ref="T5:X5"/>
    <mergeCell ref="Y5:AM5"/>
    <mergeCell ref="A11:B13"/>
    <mergeCell ref="F27:L27"/>
    <mergeCell ref="AO27:AU27"/>
  </mergeCells>
  <phoneticPr fontId="2"/>
  <conditionalFormatting sqref="A11 A14:B19">
    <cfRule type="expression" dxfId="70" priority="66">
      <formula>$S$8&lt;&gt;""</formula>
    </cfRule>
  </conditionalFormatting>
  <conditionalFormatting sqref="B42:B73">
    <cfRule type="expression" dxfId="69" priority="60">
      <formula>$D$40&lt;=$G$40</formula>
    </cfRule>
  </conditionalFormatting>
  <conditionalFormatting sqref="B74:C77 F74:H77 K74:L77 O74:P77 S74:U77 X74:Y77 AB74:AC77 AF74:AH77 AK74:AL77 AO74:AP77 AS74:AU77 AX74:AY77">
    <cfRule type="expression" dxfId="68" priority="62" stopIfTrue="1">
      <formula>ISERROR(B74)</formula>
    </cfRule>
  </conditionalFormatting>
  <conditionalFormatting sqref="C41:D41">
    <cfRule type="expression" dxfId="67" priority="49">
      <formula>$D$40&lt;=$G$40</formula>
    </cfRule>
  </conditionalFormatting>
  <conditionalFormatting sqref="E28:E41">
    <cfRule type="expression" dxfId="66" priority="17">
      <formula>$D$40&lt;$G$40</formula>
    </cfRule>
    <cfRule type="expression" dxfId="65" priority="22">
      <formula>$D$40=$G$40</formula>
    </cfRule>
  </conditionalFormatting>
  <conditionalFormatting sqref="F56:G73">
    <cfRule type="expression" dxfId="64" priority="61">
      <formula>$H$54&lt;=$K$54</formula>
    </cfRule>
  </conditionalFormatting>
  <conditionalFormatting sqref="F41:I41">
    <cfRule type="expression" dxfId="63" priority="48">
      <formula>$G$40&lt;=$D$40</formula>
    </cfRule>
  </conditionalFormatting>
  <conditionalFormatting sqref="F27:L27">
    <cfRule type="expression" dxfId="62" priority="33">
      <formula>$L$26&lt;=$O$26</formula>
    </cfRule>
  </conditionalFormatting>
  <conditionalFormatting sqref="H55:I55">
    <cfRule type="expression" dxfId="61" priority="47">
      <formula>$H$54&lt;=$K$54</formula>
    </cfRule>
  </conditionalFormatting>
  <conditionalFormatting sqref="J29 Q29 AJ29 AQ29">
    <cfRule type="expression" dxfId="60" priority="64" stopIfTrue="1">
      <formula>#REF!&lt;=#REF!</formula>
    </cfRule>
  </conditionalFormatting>
  <conditionalFormatting sqref="J42:J55">
    <cfRule type="expression" dxfId="59" priority="13">
      <formula>$K$54&lt;$H$54</formula>
    </cfRule>
    <cfRule type="expression" dxfId="58" priority="29">
      <formula>$K$54=$H$54</formula>
    </cfRule>
  </conditionalFormatting>
  <conditionalFormatting sqref="K55">
    <cfRule type="expression" dxfId="57" priority="46">
      <formula>$K$54&lt;=$H$54</formula>
    </cfRule>
  </conditionalFormatting>
  <conditionalFormatting sqref="L56:L73">
    <cfRule type="expression" dxfId="56" priority="59">
      <formula>$K$54&lt;=$H$54</formula>
    </cfRule>
  </conditionalFormatting>
  <conditionalFormatting sqref="M14:M27">
    <cfRule type="expression" dxfId="55" priority="18">
      <formula>$L$26&lt;$O$26</formula>
    </cfRule>
    <cfRule type="expression" dxfId="54" priority="21">
      <formula>$L$26=$O$26</formula>
    </cfRule>
  </conditionalFormatting>
  <conditionalFormatting sqref="N27:U27">
    <cfRule type="expression" dxfId="53" priority="32">
      <formula>$O$26&lt;=$L$26</formula>
    </cfRule>
  </conditionalFormatting>
  <conditionalFormatting sqref="N13:Y13">
    <cfRule type="expression" dxfId="52" priority="65" stopIfTrue="1">
      <formula>$Y$12&lt;=$AB$12</formula>
    </cfRule>
  </conditionalFormatting>
  <conditionalFormatting sqref="O56:O73">
    <cfRule type="expression" dxfId="51" priority="58">
      <formula>$P$54&lt;=$S$54</formula>
    </cfRule>
  </conditionalFormatting>
  <conditionalFormatting sqref="P55">
    <cfRule type="expression" dxfId="50" priority="45">
      <formula>$P$54&lt;=$S$54</formula>
    </cfRule>
  </conditionalFormatting>
  <conditionalFormatting sqref="Q42:Q55">
    <cfRule type="expression" dxfId="49" priority="12">
      <formula>$P$54&lt;$S$54</formula>
    </cfRule>
    <cfRule type="expression" dxfId="48" priority="28">
      <formula>$P$54=$S$54</formula>
    </cfRule>
  </conditionalFormatting>
  <conditionalFormatting sqref="R55:S55">
    <cfRule type="expression" dxfId="47" priority="44">
      <formula>$S$54&lt;=$P$54</formula>
    </cfRule>
  </conditionalFormatting>
  <conditionalFormatting sqref="R41:U41">
    <cfRule type="expression" dxfId="46" priority="43">
      <formula>$T$40&lt;=$W$40</formula>
    </cfRule>
  </conditionalFormatting>
  <conditionalFormatting sqref="T56:T73">
    <cfRule type="expression" dxfId="45" priority="57">
      <formula>$S$54&lt;=$P$54</formula>
    </cfRule>
  </conditionalFormatting>
  <conditionalFormatting sqref="V28:V41">
    <cfRule type="expression" dxfId="44" priority="23">
      <formula>$W$40=$T$40</formula>
    </cfRule>
    <cfRule type="expression" dxfId="43" priority="16">
      <formula>$W$40&lt;$T$40</formula>
    </cfRule>
  </conditionalFormatting>
  <conditionalFormatting sqref="W41:X41">
    <cfRule type="expression" dxfId="42" priority="42">
      <formula>$W$40&lt;=$T$40</formula>
    </cfRule>
  </conditionalFormatting>
  <conditionalFormatting sqref="Y42:Y73">
    <cfRule type="expression" dxfId="41" priority="56">
      <formula>$W$40&lt;=$T$40</formula>
    </cfRule>
  </conditionalFormatting>
  <conditionalFormatting sqref="Z11:Z13">
    <cfRule type="expression" dxfId="40" priority="68" stopIfTrue="1">
      <formula>$Y$12=$AB$12</formula>
    </cfRule>
    <cfRule type="expression" dxfId="39" priority="67" stopIfTrue="1">
      <formula>$Y$12&lt;$AB$12</formula>
    </cfRule>
  </conditionalFormatting>
  <conditionalFormatting sqref="AA13:AM13">
    <cfRule type="expression" dxfId="38" priority="63" stopIfTrue="1">
      <formula>$AB$12&lt;=$Y$12</formula>
    </cfRule>
  </conditionalFormatting>
  <conditionalFormatting sqref="AB42:AB73">
    <cfRule type="expression" dxfId="37" priority="55">
      <formula>$AD$40&lt;=$AG$40</formula>
    </cfRule>
  </conditionalFormatting>
  <conditionalFormatting sqref="AC41:AD41">
    <cfRule type="expression" dxfId="36" priority="41">
      <formula>$AD$40&lt;=$AG$40</formula>
    </cfRule>
  </conditionalFormatting>
  <conditionalFormatting sqref="AE28:AE41">
    <cfRule type="expression" dxfId="35" priority="24">
      <formula>$AD$40=$AG$40</formula>
    </cfRule>
    <cfRule type="expression" dxfId="34" priority="15">
      <formula>$AD$40&lt;$AG$40</formula>
    </cfRule>
  </conditionalFormatting>
  <conditionalFormatting sqref="AF56:AG73">
    <cfRule type="expression" dxfId="33" priority="54">
      <formula>$AH$54&lt;=$AK$54</formula>
    </cfRule>
  </conditionalFormatting>
  <conditionalFormatting sqref="AF41:AI41">
    <cfRule type="expression" dxfId="32" priority="40">
      <formula>$AG$40&lt;=$AD$40</formula>
    </cfRule>
  </conditionalFormatting>
  <conditionalFormatting sqref="AF27:AM27">
    <cfRule type="expression" dxfId="31" priority="31">
      <formula>$AL$26&lt;=$AO$26</formula>
    </cfRule>
  </conditionalFormatting>
  <conditionalFormatting sqref="AH55:AI55">
    <cfRule type="expression" dxfId="30" priority="39">
      <formula>$AH$54&lt;=$AK$54</formula>
    </cfRule>
  </conditionalFormatting>
  <conditionalFormatting sqref="AJ42:AJ55">
    <cfRule type="expression" dxfId="29" priority="11">
      <formula>$AK$54&lt;$AH$54</formula>
    </cfRule>
    <cfRule type="expression" dxfId="28" priority="27">
      <formula>$AK$54=$AH$54</formula>
    </cfRule>
  </conditionalFormatting>
  <conditionalFormatting sqref="AK55">
    <cfRule type="expression" dxfId="27" priority="38">
      <formula>$AK$54&lt;=$AH$54</formula>
    </cfRule>
  </conditionalFormatting>
  <conditionalFormatting sqref="AL56:AL73">
    <cfRule type="expression" dxfId="26" priority="53">
      <formula>$AK$54&lt;=$AH$54</formula>
    </cfRule>
  </conditionalFormatting>
  <conditionalFormatting sqref="AN14:AN27">
    <cfRule type="expression" dxfId="25" priority="20">
      <formula>$AO$26=$AL$26</formula>
    </cfRule>
    <cfRule type="expression" dxfId="24" priority="19">
      <formula>$AO$26&lt;$AL$26</formula>
    </cfRule>
  </conditionalFormatting>
  <conditionalFormatting sqref="AO56:AO73">
    <cfRule type="expression" dxfId="23" priority="52">
      <formula>$AP$54&lt;=$AS$54</formula>
    </cfRule>
  </conditionalFormatting>
  <conditionalFormatting sqref="AO27:AU27">
    <cfRule type="expression" dxfId="22" priority="30">
      <formula>$AO$26&lt;=$AL$26</formula>
    </cfRule>
  </conditionalFormatting>
  <conditionalFormatting sqref="AP6">
    <cfRule type="expression" dxfId="21" priority="69" stopIfTrue="1">
      <formula>MOD($BT$4,5)&lt;&gt;3</formula>
    </cfRule>
  </conditionalFormatting>
  <conditionalFormatting sqref="AP55">
    <cfRule type="expression" dxfId="20" priority="37">
      <formula>$AP$54&lt;=$AS$54</formula>
    </cfRule>
  </conditionalFormatting>
  <conditionalFormatting sqref="AQ42:AQ55">
    <cfRule type="expression" dxfId="19" priority="10">
      <formula>$AP$54&lt;$AS$54</formula>
    </cfRule>
    <cfRule type="expression" dxfId="18" priority="26">
      <formula>$AP$54=$AS$54</formula>
    </cfRule>
  </conditionalFormatting>
  <conditionalFormatting sqref="AR55:AS55">
    <cfRule type="expression" dxfId="17" priority="36">
      <formula>$AS$54&lt;=$AP$54</formula>
    </cfRule>
  </conditionalFormatting>
  <conditionalFormatting sqref="AR41:AU41">
    <cfRule type="expression" dxfId="16" priority="35">
      <formula>$AT$40&lt;=$AW$40</formula>
    </cfRule>
  </conditionalFormatting>
  <conditionalFormatting sqref="AT56:AT73">
    <cfRule type="expression" dxfId="15" priority="51">
      <formula>$AS$54&lt;=$AP$54</formula>
    </cfRule>
  </conditionalFormatting>
  <conditionalFormatting sqref="AV28:AV41">
    <cfRule type="expression" dxfId="14" priority="14">
      <formula>$AW$40&lt;$AT$40</formula>
    </cfRule>
    <cfRule type="expression" dxfId="13" priority="25">
      <formula>$AW$40=$AT$40</formula>
    </cfRule>
  </conditionalFormatting>
  <conditionalFormatting sqref="AW41:AX41">
    <cfRule type="expression" dxfId="12" priority="34">
      <formula>$AW$40&lt;=$AT$40</formula>
    </cfRule>
  </conditionalFormatting>
  <conditionalFormatting sqref="AY42:AY73">
    <cfRule type="expression" dxfId="11" priority="50">
      <formula>$AW$40&lt;=$AT$40</formula>
    </cfRule>
  </conditionalFormatting>
  <conditionalFormatting sqref="BC7:BN25">
    <cfRule type="expression" dxfId="10" priority="1">
      <formula>$BM$5=FALSE</formula>
    </cfRule>
  </conditionalFormatting>
  <conditionalFormatting sqref="BE14:BE23">
    <cfRule type="expression" dxfId="9" priority="9">
      <formula>$BG$12&lt;=$BJ$12</formula>
    </cfRule>
  </conditionalFormatting>
  <conditionalFormatting sqref="BE11:BL20 BE21:BF23 BL21:BL23">
    <cfRule type="expression" dxfId="8" priority="3">
      <formula>$BM$5=FALSE</formula>
    </cfRule>
  </conditionalFormatting>
  <conditionalFormatting sqref="BF13:BG13">
    <cfRule type="expression" dxfId="7" priority="6">
      <formula>$BG$12&lt;=$BJ$12</formula>
    </cfRule>
  </conditionalFormatting>
  <conditionalFormatting sqref="BH11:BH13">
    <cfRule type="expression" dxfId="6" priority="5">
      <formula>$BG$12=$BJ$12</formula>
    </cfRule>
    <cfRule type="expression" dxfId="5" priority="4">
      <formula>$BG$12&lt;$BJ$12</formula>
    </cfRule>
  </conditionalFormatting>
  <conditionalFormatting sqref="BI13:BK13">
    <cfRule type="expression" dxfId="4" priority="7">
      <formula>$BJ$12&lt;=$BG$12</formula>
    </cfRule>
  </conditionalFormatting>
  <conditionalFormatting sqref="BL14:BL23">
    <cfRule type="expression" dxfId="3" priority="8">
      <formula>$BJ$12&lt;=$BG$12</formula>
    </cfRule>
  </conditionalFormatting>
  <conditionalFormatting sqref="BX36">
    <cfRule type="expression" dxfId="2" priority="2">
      <formula>$S$8&lt;&gt;""</formula>
    </cfRule>
  </conditionalFormatting>
  <dataValidations count="3">
    <dataValidation type="list" allowBlank="1" showInputMessage="1" showErrorMessage="1" sqref="V65:W65 D65:E65 AD65:AE65 AV65:AW65 M65:N65 AM65:AN65" xr:uid="{C907B97A-706F-4863-B8C3-9B9723D1C370}">
      <formula1>$A$15:$A$19</formula1>
    </dataValidation>
    <dataValidation type="list" allowBlank="1" showInputMessage="1" showErrorMessage="1" sqref="H63 P63 AH63 AP63 AS49:AT49 AC49:AD49 S49:T49 C49:D49 K35:L35 AK35:AL35 X21:Y21 BF21:BG21" xr:uid="{63C983FC-8D0A-4214-9477-19611015B98F}">
      <formula1>$BE$57:$BE$61</formula1>
    </dataValidation>
    <dataValidation type="list" allowBlank="1" showInputMessage="1" showErrorMessage="1" sqref="BH21:BK21 Z21:AC21 M35:P35 AM35:AP35 E49:I49 U49:X49 AE49:AI49 AU49:AX49 AQ63:AS63 AI63:AK63 Q63:S63 I63:K63" xr:uid="{573787AB-2E48-4FCF-846E-3F9F0900F5FD}">
      <formula1>$BH$57:$BH$66</formula1>
    </dataValidation>
  </dataValidations>
  <printOptions horizontalCentered="1"/>
  <pageMargins left="0.39370078740157483" right="0.39370078740157483" top="0.39370078740157483" bottom="0.39370078740157483" header="0.51181102362204722" footer="0.51181102362204722"/>
  <pageSetup paperSize="9" scale="84"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5483" r:id="rId4" name="Check Box 11">
              <controlPr defaultSize="0" autoFill="0" autoLine="0" autoPict="0">
                <anchor moveWithCells="1">
                  <from>
                    <xdr:col>58</xdr:col>
                    <xdr:colOff>133350</xdr:colOff>
                    <xdr:row>3</xdr:row>
                    <xdr:rowOff>238125</xdr:rowOff>
                  </from>
                  <to>
                    <xdr:col>61</xdr:col>
                    <xdr:colOff>19050</xdr:colOff>
                    <xdr:row>5</xdr:row>
                    <xdr:rowOff>19050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101"/>
  <sheetViews>
    <sheetView topLeftCell="A37" workbookViewId="0">
      <selection activeCell="C64" sqref="C64"/>
    </sheetView>
  </sheetViews>
  <sheetFormatPr defaultColWidth="9" defaultRowHeight="14.25" x14ac:dyDescent="0.15"/>
  <cols>
    <col min="1" max="1" width="4.375" style="58" bestFit="1" customWidth="1"/>
    <col min="2" max="2" width="7.125" style="58" bestFit="1" customWidth="1"/>
    <col min="3" max="3" width="7.125" style="58" customWidth="1"/>
    <col min="4" max="4" width="15.375" style="58" bestFit="1" customWidth="1"/>
    <col min="5" max="9" width="9" style="58" hidden="1" customWidth="1"/>
    <col min="10" max="10" width="0" style="58" hidden="1" customWidth="1"/>
    <col min="11" max="16384" width="9" style="58"/>
  </cols>
  <sheetData>
    <row r="1" spans="1:10" x14ac:dyDescent="0.15">
      <c r="A1" s="91" t="s">
        <v>114</v>
      </c>
      <c r="B1" s="91" t="s">
        <v>3</v>
      </c>
      <c r="C1" s="91" t="s">
        <v>115</v>
      </c>
      <c r="D1" s="91"/>
    </row>
    <row r="2" spans="1:10" x14ac:dyDescent="0.2">
      <c r="A2" s="196">
        <v>1</v>
      </c>
      <c r="B2" s="197" t="s">
        <v>116</v>
      </c>
      <c r="C2" s="197" t="s">
        <v>117</v>
      </c>
      <c r="D2" s="196" t="str">
        <f t="shared" ref="D2:D33" si="0">IF(B2="","",IF(E2=1,F2,IF(I2=1,J2&amp;"年連続",I2&amp;"年ぶり")&amp;F2))</f>
        <v>初優勝</v>
      </c>
      <c r="E2" s="198">
        <f>IF(B2="","",COUNTIF($B$2:B2,B2))</f>
        <v>1</v>
      </c>
      <c r="F2" s="198" t="str">
        <f t="shared" ref="F2:F33" si="1">IF(B2="","",IF(E2=1,"初優勝",E2&amp;"回目"))</f>
        <v>初優勝</v>
      </c>
      <c r="G2" s="198" t="str">
        <f t="shared" ref="G2:G33" si="2">IF(B2="","",B2&amp;E2)</f>
        <v>芦城1</v>
      </c>
      <c r="H2" s="198">
        <f t="shared" ref="H2:H51" si="3">A2</f>
        <v>1</v>
      </c>
      <c r="I2" s="198" t="str">
        <f>IF(OR(B2="",E2=1),"",A2-VLOOKUP(B2&amp;(E2-1),$G$2:H2,2,FALSE))</f>
        <v/>
      </c>
      <c r="J2" s="198" t="str">
        <f t="shared" ref="J2:J33" si="4">IF(B2="","",IF(I2=1,IF(I1=1,J1+1,2),""))</f>
        <v/>
      </c>
    </row>
    <row r="3" spans="1:10" x14ac:dyDescent="0.2">
      <c r="A3" s="196">
        <v>2</v>
      </c>
      <c r="B3" s="197" t="s">
        <v>118</v>
      </c>
      <c r="C3" s="197" t="s">
        <v>117</v>
      </c>
      <c r="D3" s="196" t="str">
        <f t="shared" si="0"/>
        <v>初優勝</v>
      </c>
      <c r="E3" s="198">
        <f>IF(B3="","",COUNTIF($B$2:B3,B3))</f>
        <v>1</v>
      </c>
      <c r="F3" s="198" t="str">
        <f t="shared" si="1"/>
        <v>初優勝</v>
      </c>
      <c r="G3" s="198" t="str">
        <f t="shared" si="2"/>
        <v>国府1</v>
      </c>
      <c r="H3" s="198">
        <f t="shared" si="3"/>
        <v>2</v>
      </c>
      <c r="I3" s="198" t="str">
        <f>IF(OR(B3="",E3=1),"",A3-VLOOKUP(B3&amp;(E3-1),$G$2:H3,2,FALSE))</f>
        <v/>
      </c>
      <c r="J3" s="198" t="str">
        <f t="shared" si="4"/>
        <v/>
      </c>
    </row>
    <row r="4" spans="1:10" x14ac:dyDescent="0.2">
      <c r="A4" s="196">
        <v>3</v>
      </c>
      <c r="B4" s="197" t="s">
        <v>118</v>
      </c>
      <c r="C4" s="197" t="s">
        <v>117</v>
      </c>
      <c r="D4" s="196" t="str">
        <f t="shared" si="0"/>
        <v>2年連続2回目</v>
      </c>
      <c r="E4" s="198">
        <f>IF(B4="","",COUNTIF($B$2:B4,B4))</f>
        <v>2</v>
      </c>
      <c r="F4" s="198" t="str">
        <f t="shared" si="1"/>
        <v>2回目</v>
      </c>
      <c r="G4" s="198" t="str">
        <f t="shared" si="2"/>
        <v>国府2</v>
      </c>
      <c r="H4" s="198">
        <f t="shared" si="3"/>
        <v>3</v>
      </c>
      <c r="I4" s="198">
        <f>IF(OR(B4="",E4=1),"",A4-VLOOKUP(B4&amp;(E4-1),$G$2:H4,2,FALSE))</f>
        <v>1</v>
      </c>
      <c r="J4" s="198">
        <f t="shared" si="4"/>
        <v>2</v>
      </c>
    </row>
    <row r="5" spans="1:10" x14ac:dyDescent="0.2">
      <c r="A5" s="196">
        <v>4</v>
      </c>
      <c r="B5" s="197" t="s">
        <v>118</v>
      </c>
      <c r="C5" s="197" t="s">
        <v>117</v>
      </c>
      <c r="D5" s="196" t="str">
        <f t="shared" si="0"/>
        <v>3年連続3回目</v>
      </c>
      <c r="E5" s="198">
        <f>IF(B5="","",COUNTIF($B$2:B5,B5))</f>
        <v>3</v>
      </c>
      <c r="F5" s="198" t="str">
        <f t="shared" si="1"/>
        <v>3回目</v>
      </c>
      <c r="G5" s="198" t="str">
        <f t="shared" si="2"/>
        <v>国府3</v>
      </c>
      <c r="H5" s="198">
        <f t="shared" si="3"/>
        <v>4</v>
      </c>
      <c r="I5" s="198">
        <f>IF(OR(B5="",E5=1),"",A5-VLOOKUP(B5&amp;(E5-1),$G$2:H5,2,FALSE))</f>
        <v>1</v>
      </c>
      <c r="J5" s="198">
        <f t="shared" si="4"/>
        <v>3</v>
      </c>
    </row>
    <row r="6" spans="1:10" x14ac:dyDescent="0.2">
      <c r="A6" s="196">
        <v>5</v>
      </c>
      <c r="B6" s="197" t="s">
        <v>15</v>
      </c>
      <c r="C6" s="197" t="s">
        <v>119</v>
      </c>
      <c r="D6" s="196" t="str">
        <f t="shared" si="0"/>
        <v>初優勝</v>
      </c>
      <c r="E6" s="198">
        <f>IF(B6="","",COUNTIF($B$2:B6,B6))</f>
        <v>1</v>
      </c>
      <c r="F6" s="198" t="str">
        <f t="shared" si="1"/>
        <v>初優勝</v>
      </c>
      <c r="G6" s="198" t="str">
        <f t="shared" si="2"/>
        <v>兼六1</v>
      </c>
      <c r="H6" s="198">
        <f t="shared" si="3"/>
        <v>5</v>
      </c>
      <c r="I6" s="198" t="str">
        <f>IF(OR(B6="",E6=1),"",A6-VLOOKUP(B6&amp;(E6-1),$G$2:H6,2,FALSE))</f>
        <v/>
      </c>
      <c r="J6" s="198" t="str">
        <f t="shared" si="4"/>
        <v/>
      </c>
    </row>
    <row r="7" spans="1:10" x14ac:dyDescent="0.2">
      <c r="A7" s="196">
        <v>6</v>
      </c>
      <c r="B7" s="197" t="s">
        <v>6</v>
      </c>
      <c r="C7" s="197" t="s">
        <v>119</v>
      </c>
      <c r="D7" s="196" t="str">
        <f t="shared" si="0"/>
        <v>初優勝</v>
      </c>
      <c r="E7" s="198">
        <f>IF(B7="","",COUNTIF($B$2:B7,B7))</f>
        <v>1</v>
      </c>
      <c r="F7" s="198" t="str">
        <f t="shared" si="1"/>
        <v>初優勝</v>
      </c>
      <c r="G7" s="198" t="str">
        <f t="shared" si="2"/>
        <v>泉1</v>
      </c>
      <c r="H7" s="198">
        <f t="shared" si="3"/>
        <v>6</v>
      </c>
      <c r="I7" s="198" t="str">
        <f>IF(OR(B7="",E7=1),"",A7-VLOOKUP(B7&amp;(E7-1),$G$2:H7,2,FALSE))</f>
        <v/>
      </c>
      <c r="J7" s="198" t="str">
        <f t="shared" si="4"/>
        <v/>
      </c>
    </row>
    <row r="8" spans="1:10" x14ac:dyDescent="0.2">
      <c r="A8" s="196">
        <v>7</v>
      </c>
      <c r="B8" s="197" t="s">
        <v>6</v>
      </c>
      <c r="C8" s="197" t="s">
        <v>119</v>
      </c>
      <c r="D8" s="196" t="str">
        <f t="shared" si="0"/>
        <v>2年連続2回目</v>
      </c>
      <c r="E8" s="198">
        <f>IF(B8="","",COUNTIF($B$2:B8,B8))</f>
        <v>2</v>
      </c>
      <c r="F8" s="198" t="str">
        <f t="shared" si="1"/>
        <v>2回目</v>
      </c>
      <c r="G8" s="198" t="str">
        <f t="shared" si="2"/>
        <v>泉2</v>
      </c>
      <c r="H8" s="198">
        <f t="shared" si="3"/>
        <v>7</v>
      </c>
      <c r="I8" s="198">
        <f>IF(OR(B8="",E8=1),"",A8-VLOOKUP(B8&amp;(E8-1),$G$2:H8,2,FALSE))</f>
        <v>1</v>
      </c>
      <c r="J8" s="198">
        <f t="shared" si="4"/>
        <v>2</v>
      </c>
    </row>
    <row r="9" spans="1:10" x14ac:dyDescent="0.2">
      <c r="A9" s="196">
        <v>8</v>
      </c>
      <c r="B9" s="197" t="s">
        <v>116</v>
      </c>
      <c r="C9" s="197" t="s">
        <v>117</v>
      </c>
      <c r="D9" s="196" t="str">
        <f t="shared" si="0"/>
        <v>7年ぶり2回目</v>
      </c>
      <c r="E9" s="198">
        <f>IF(B9="","",COUNTIF($B$2:B9,B9))</f>
        <v>2</v>
      </c>
      <c r="F9" s="198" t="str">
        <f t="shared" si="1"/>
        <v>2回目</v>
      </c>
      <c r="G9" s="198" t="str">
        <f t="shared" si="2"/>
        <v>芦城2</v>
      </c>
      <c r="H9" s="198">
        <f t="shared" si="3"/>
        <v>8</v>
      </c>
      <c r="I9" s="198">
        <f>IF(OR(B9="",E9=1),"",A9-VLOOKUP(B9&amp;(E9-1),$G$2:H9,2,FALSE))</f>
        <v>7</v>
      </c>
      <c r="J9" s="198" t="str">
        <f t="shared" si="4"/>
        <v/>
      </c>
    </row>
    <row r="10" spans="1:10" x14ac:dyDescent="0.2">
      <c r="A10" s="196">
        <v>9</v>
      </c>
      <c r="B10" s="197" t="s">
        <v>14</v>
      </c>
      <c r="C10" s="197" t="s">
        <v>119</v>
      </c>
      <c r="D10" s="196" t="str">
        <f t="shared" si="0"/>
        <v>初優勝</v>
      </c>
      <c r="E10" s="198">
        <f>IF(B10="","",COUNTIF($B$2:B10,B10))</f>
        <v>1</v>
      </c>
      <c r="F10" s="198" t="str">
        <f t="shared" si="1"/>
        <v>初優勝</v>
      </c>
      <c r="G10" s="198" t="str">
        <f t="shared" si="2"/>
        <v>紫錦台1</v>
      </c>
      <c r="H10" s="198">
        <f t="shared" si="3"/>
        <v>9</v>
      </c>
      <c r="I10" s="198" t="str">
        <f>IF(OR(B10="",E10=1),"",A10-VLOOKUP(B10&amp;(E10-1),$G$2:H10,2,FALSE))</f>
        <v/>
      </c>
      <c r="J10" s="198" t="str">
        <f t="shared" si="4"/>
        <v/>
      </c>
    </row>
    <row r="11" spans="1:10" x14ac:dyDescent="0.2">
      <c r="A11" s="196">
        <v>10</v>
      </c>
      <c r="B11" s="197" t="s">
        <v>10</v>
      </c>
      <c r="C11" s="197" t="s">
        <v>119</v>
      </c>
      <c r="D11" s="196" t="str">
        <f t="shared" si="0"/>
        <v>初優勝</v>
      </c>
      <c r="E11" s="198">
        <f>IF(B11="","",COUNTIF($B$2:B11,B11))</f>
        <v>1</v>
      </c>
      <c r="F11" s="198" t="str">
        <f t="shared" si="1"/>
        <v>初優勝</v>
      </c>
      <c r="G11" s="198" t="str">
        <f t="shared" si="2"/>
        <v>野田1</v>
      </c>
      <c r="H11" s="198">
        <f t="shared" si="3"/>
        <v>10</v>
      </c>
      <c r="I11" s="198" t="str">
        <f>IF(OR(B11="",E11=1),"",A11-VLOOKUP(B11&amp;(E11-1),$G$2:H11,2,FALSE))</f>
        <v/>
      </c>
      <c r="J11" s="198" t="str">
        <f t="shared" si="4"/>
        <v/>
      </c>
    </row>
    <row r="12" spans="1:10" x14ac:dyDescent="0.2">
      <c r="A12" s="196">
        <v>11</v>
      </c>
      <c r="B12" s="196" t="s">
        <v>13</v>
      </c>
      <c r="C12" s="197" t="s">
        <v>117</v>
      </c>
      <c r="D12" s="196" t="str">
        <f t="shared" si="0"/>
        <v>初優勝</v>
      </c>
      <c r="E12" s="198">
        <f>IF(B12="","",COUNTIF($B$2:B12,B12))</f>
        <v>1</v>
      </c>
      <c r="F12" s="198" t="str">
        <f t="shared" si="1"/>
        <v>初優勝</v>
      </c>
      <c r="G12" s="198" t="str">
        <f t="shared" si="2"/>
        <v>南部1</v>
      </c>
      <c r="H12" s="198">
        <f t="shared" si="3"/>
        <v>11</v>
      </c>
      <c r="I12" s="198" t="str">
        <f>IF(OR(B12="",E12=1),"",A12-VLOOKUP(B12&amp;(E12-1),$G$2:H12,2,FALSE))</f>
        <v/>
      </c>
      <c r="J12" s="198" t="str">
        <f t="shared" si="4"/>
        <v/>
      </c>
    </row>
    <row r="13" spans="1:10" x14ac:dyDescent="0.2">
      <c r="A13" s="196">
        <v>12</v>
      </c>
      <c r="B13" s="91" t="s">
        <v>21</v>
      </c>
      <c r="C13" s="197" t="s">
        <v>119</v>
      </c>
      <c r="D13" s="196" t="str">
        <f t="shared" si="0"/>
        <v>初優勝</v>
      </c>
      <c r="E13" s="198">
        <f>IF(B13="","",COUNTIF($B$2:B13,B13))</f>
        <v>1</v>
      </c>
      <c r="F13" s="198" t="str">
        <f t="shared" si="1"/>
        <v>初優勝</v>
      </c>
      <c r="G13" s="198" t="str">
        <f t="shared" si="2"/>
        <v>浅野川1</v>
      </c>
      <c r="H13" s="198">
        <f t="shared" si="3"/>
        <v>12</v>
      </c>
      <c r="I13" s="198" t="str">
        <f>IF(OR(B13="",E13=1),"",A13-VLOOKUP(B13&amp;(E13-1),$G$2:H13,2,FALSE))</f>
        <v/>
      </c>
      <c r="J13" s="198" t="str">
        <f t="shared" si="4"/>
        <v/>
      </c>
    </row>
    <row r="14" spans="1:10" x14ac:dyDescent="0.2">
      <c r="A14" s="196">
        <v>13</v>
      </c>
      <c r="B14" s="196" t="s">
        <v>21</v>
      </c>
      <c r="C14" s="196" t="s">
        <v>119</v>
      </c>
      <c r="D14" s="196" t="str">
        <f t="shared" si="0"/>
        <v>2年連続2回目</v>
      </c>
      <c r="E14" s="198">
        <f>IF(B14="","",COUNTIF($B$2:B14,B14))</f>
        <v>2</v>
      </c>
      <c r="F14" s="198" t="str">
        <f t="shared" si="1"/>
        <v>2回目</v>
      </c>
      <c r="G14" s="198" t="str">
        <f t="shared" si="2"/>
        <v>浅野川2</v>
      </c>
      <c r="H14" s="198">
        <f t="shared" si="3"/>
        <v>13</v>
      </c>
      <c r="I14" s="198">
        <f>IF(OR(B14="",E14=1),"",A14-VLOOKUP(B14&amp;(E14-1),$G$2:H14,2,FALSE))</f>
        <v>1</v>
      </c>
      <c r="J14" s="198">
        <f t="shared" si="4"/>
        <v>2</v>
      </c>
    </row>
    <row r="15" spans="1:10" x14ac:dyDescent="0.2">
      <c r="A15" s="196">
        <v>14</v>
      </c>
      <c r="B15" s="196" t="s">
        <v>120</v>
      </c>
      <c r="C15" s="196" t="s">
        <v>117</v>
      </c>
      <c r="D15" s="196" t="str">
        <f t="shared" si="0"/>
        <v>6年ぶり3回目</v>
      </c>
      <c r="E15" s="198">
        <f>IF(B15="","",COUNTIF($B$2:B15,B15))</f>
        <v>3</v>
      </c>
      <c r="F15" s="198" t="str">
        <f t="shared" si="1"/>
        <v>3回目</v>
      </c>
      <c r="G15" s="198" t="str">
        <f t="shared" si="2"/>
        <v>芦城3</v>
      </c>
      <c r="H15" s="198">
        <f t="shared" si="3"/>
        <v>14</v>
      </c>
      <c r="I15" s="198">
        <f>IF(OR(B15="",E15=1),"",A15-VLOOKUP(B15&amp;(E15-1),$G$2:H15,2,FALSE))</f>
        <v>6</v>
      </c>
      <c r="J15" s="198" t="str">
        <f t="shared" si="4"/>
        <v/>
      </c>
    </row>
    <row r="16" spans="1:10" x14ac:dyDescent="0.2">
      <c r="A16" s="196">
        <v>15</v>
      </c>
      <c r="B16" s="196" t="s">
        <v>24</v>
      </c>
      <c r="C16" s="196" t="s">
        <v>24</v>
      </c>
      <c r="D16" s="196" t="str">
        <f t="shared" si="0"/>
        <v>初優勝</v>
      </c>
      <c r="E16" s="198">
        <f>IF(B16="","",COUNTIF($B$2:B16,B16))</f>
        <v>1</v>
      </c>
      <c r="F16" s="198" t="str">
        <f t="shared" si="1"/>
        <v>初優勝</v>
      </c>
      <c r="G16" s="198" t="str">
        <f t="shared" si="2"/>
        <v>松任1</v>
      </c>
      <c r="H16" s="198">
        <f t="shared" si="3"/>
        <v>15</v>
      </c>
      <c r="I16" s="198" t="str">
        <f>IF(OR(B16="",E16=1),"",A16-VLOOKUP(B16&amp;(E16-1),$G$2:H16,2,FALSE))</f>
        <v/>
      </c>
      <c r="J16" s="198" t="str">
        <f t="shared" si="4"/>
        <v/>
      </c>
    </row>
    <row r="17" spans="1:10" x14ac:dyDescent="0.2">
      <c r="A17" s="196">
        <v>16</v>
      </c>
      <c r="B17" s="196" t="s">
        <v>121</v>
      </c>
      <c r="C17" s="196" t="s">
        <v>119</v>
      </c>
      <c r="D17" s="196" t="str">
        <f t="shared" si="0"/>
        <v>初優勝</v>
      </c>
      <c r="E17" s="198">
        <f>IF(B17="","",COUNTIF($B$2:B17,B17))</f>
        <v>1</v>
      </c>
      <c r="F17" s="198" t="str">
        <f t="shared" si="1"/>
        <v>初優勝</v>
      </c>
      <c r="G17" s="198" t="str">
        <f t="shared" si="2"/>
        <v>金石1</v>
      </c>
      <c r="H17" s="198">
        <f t="shared" si="3"/>
        <v>16</v>
      </c>
      <c r="I17" s="198" t="str">
        <f>IF(OR(B17="",E17=1),"",A17-VLOOKUP(B17&amp;(E17-1),$G$2:H17,2,FALSE))</f>
        <v/>
      </c>
      <c r="J17" s="198" t="str">
        <f t="shared" si="4"/>
        <v/>
      </c>
    </row>
    <row r="18" spans="1:10" x14ac:dyDescent="0.2">
      <c r="A18" s="196">
        <v>17</v>
      </c>
      <c r="B18" s="196" t="s">
        <v>121</v>
      </c>
      <c r="C18" s="196" t="s">
        <v>119</v>
      </c>
      <c r="D18" s="196" t="str">
        <f t="shared" si="0"/>
        <v>2年連続2回目</v>
      </c>
      <c r="E18" s="198">
        <f>IF(B18="","",COUNTIF($B$2:B18,B18))</f>
        <v>2</v>
      </c>
      <c r="F18" s="198" t="str">
        <f t="shared" si="1"/>
        <v>2回目</v>
      </c>
      <c r="G18" s="198" t="str">
        <f t="shared" si="2"/>
        <v>金石2</v>
      </c>
      <c r="H18" s="198">
        <f t="shared" si="3"/>
        <v>17</v>
      </c>
      <c r="I18" s="198">
        <f>IF(OR(B18="",E18=1),"",A18-VLOOKUP(B18&amp;(E18-1),$G$2:H18,2,FALSE))</f>
        <v>1</v>
      </c>
      <c r="J18" s="198">
        <f t="shared" si="4"/>
        <v>2</v>
      </c>
    </row>
    <row r="19" spans="1:10" x14ac:dyDescent="0.2">
      <c r="A19" s="196">
        <v>18</v>
      </c>
      <c r="B19" s="196" t="s">
        <v>121</v>
      </c>
      <c r="C19" s="196" t="s">
        <v>119</v>
      </c>
      <c r="D19" s="196" t="str">
        <f t="shared" si="0"/>
        <v>3年連続3回目</v>
      </c>
      <c r="E19" s="198">
        <f>IF(B19="","",COUNTIF($B$2:B19,B19))</f>
        <v>3</v>
      </c>
      <c r="F19" s="198" t="str">
        <f t="shared" si="1"/>
        <v>3回目</v>
      </c>
      <c r="G19" s="198" t="str">
        <f t="shared" si="2"/>
        <v>金石3</v>
      </c>
      <c r="H19" s="198">
        <f t="shared" si="3"/>
        <v>18</v>
      </c>
      <c r="I19" s="198">
        <f>IF(OR(B19="",E19=1),"",A19-VLOOKUP(B19&amp;(E19-1),$G$2:H19,2,FALSE))</f>
        <v>1</v>
      </c>
      <c r="J19" s="198">
        <f t="shared" si="4"/>
        <v>3</v>
      </c>
    </row>
    <row r="20" spans="1:10" x14ac:dyDescent="0.2">
      <c r="A20" s="196">
        <v>19</v>
      </c>
      <c r="B20" s="196" t="s">
        <v>122</v>
      </c>
      <c r="C20" s="196" t="s">
        <v>41</v>
      </c>
      <c r="D20" s="196" t="str">
        <f t="shared" si="0"/>
        <v>初優勝</v>
      </c>
      <c r="E20" s="198">
        <f>IF(B20="","",COUNTIF($B$2:B20,B20))</f>
        <v>1</v>
      </c>
      <c r="F20" s="198" t="str">
        <f t="shared" si="1"/>
        <v>初優勝</v>
      </c>
      <c r="G20" s="198" t="str">
        <f t="shared" si="2"/>
        <v>押水1</v>
      </c>
      <c r="H20" s="198">
        <f t="shared" si="3"/>
        <v>19</v>
      </c>
      <c r="I20" s="198" t="str">
        <f>IF(OR(B20="",E20=1),"",A20-VLOOKUP(B20&amp;(E20-1),$G$2:H20,2,FALSE))</f>
        <v/>
      </c>
      <c r="J20" s="198" t="str">
        <f t="shared" si="4"/>
        <v/>
      </c>
    </row>
    <row r="21" spans="1:10" x14ac:dyDescent="0.2">
      <c r="A21" s="196">
        <v>20</v>
      </c>
      <c r="B21" s="196" t="s">
        <v>123</v>
      </c>
      <c r="C21" s="196" t="s">
        <v>119</v>
      </c>
      <c r="D21" s="196" t="str">
        <f t="shared" si="0"/>
        <v>初優勝</v>
      </c>
      <c r="E21" s="198">
        <f>IF(B21="","",COUNTIF($B$2:B21,B21))</f>
        <v>1</v>
      </c>
      <c r="F21" s="198" t="str">
        <f t="shared" si="1"/>
        <v>初優勝</v>
      </c>
      <c r="G21" s="198" t="str">
        <f t="shared" si="2"/>
        <v>小将町1</v>
      </c>
      <c r="H21" s="198">
        <f t="shared" si="3"/>
        <v>20</v>
      </c>
      <c r="I21" s="198" t="str">
        <f>IF(OR(B21="",E21=1),"",A21-VLOOKUP(B21&amp;(E21-1),$G$2:H21,2,FALSE))</f>
        <v/>
      </c>
      <c r="J21" s="198" t="str">
        <f t="shared" si="4"/>
        <v/>
      </c>
    </row>
    <row r="22" spans="1:10" x14ac:dyDescent="0.2">
      <c r="A22" s="196">
        <v>21</v>
      </c>
      <c r="B22" s="196" t="s">
        <v>121</v>
      </c>
      <c r="C22" s="196" t="s">
        <v>119</v>
      </c>
      <c r="D22" s="196" t="str">
        <f t="shared" si="0"/>
        <v>3年ぶり4回目</v>
      </c>
      <c r="E22" s="198">
        <f>IF(B22="","",COUNTIF($B$2:B22,B22))</f>
        <v>4</v>
      </c>
      <c r="F22" s="198" t="str">
        <f t="shared" si="1"/>
        <v>4回目</v>
      </c>
      <c r="G22" s="198" t="str">
        <f t="shared" si="2"/>
        <v>金石4</v>
      </c>
      <c r="H22" s="198">
        <f t="shared" si="3"/>
        <v>21</v>
      </c>
      <c r="I22" s="198">
        <f>IF(OR(B22="",E22=1),"",A22-VLOOKUP(B22&amp;(E22-1),$G$2:H22,2,FALSE))</f>
        <v>3</v>
      </c>
      <c r="J22" s="198" t="str">
        <f t="shared" si="4"/>
        <v/>
      </c>
    </row>
    <row r="23" spans="1:10" x14ac:dyDescent="0.2">
      <c r="A23" s="196">
        <v>22</v>
      </c>
      <c r="B23" s="196" t="s">
        <v>121</v>
      </c>
      <c r="C23" s="196" t="s">
        <v>119</v>
      </c>
      <c r="D23" s="196" t="str">
        <f t="shared" si="0"/>
        <v>2年連続5回目</v>
      </c>
      <c r="E23" s="198">
        <f>IF(B23="","",COUNTIF($B$2:B23,B23))</f>
        <v>5</v>
      </c>
      <c r="F23" s="198" t="str">
        <f t="shared" si="1"/>
        <v>5回目</v>
      </c>
      <c r="G23" s="198" t="str">
        <f t="shared" si="2"/>
        <v>金石5</v>
      </c>
      <c r="H23" s="198">
        <f t="shared" si="3"/>
        <v>22</v>
      </c>
      <c r="I23" s="198">
        <f>IF(OR(B23="",E23=1),"",A23-VLOOKUP(B23&amp;(E23-1),$G$2:H23,2,FALSE))</f>
        <v>1</v>
      </c>
      <c r="J23" s="198">
        <f t="shared" si="4"/>
        <v>2</v>
      </c>
    </row>
    <row r="24" spans="1:10" x14ac:dyDescent="0.2">
      <c r="A24" s="196">
        <v>23</v>
      </c>
      <c r="B24" s="196" t="s">
        <v>121</v>
      </c>
      <c r="C24" s="196" t="s">
        <v>119</v>
      </c>
      <c r="D24" s="196" t="str">
        <f t="shared" si="0"/>
        <v>3年連続6回目</v>
      </c>
      <c r="E24" s="198">
        <f>IF(B24="","",COUNTIF($B$2:B24,B24))</f>
        <v>6</v>
      </c>
      <c r="F24" s="198" t="str">
        <f t="shared" si="1"/>
        <v>6回目</v>
      </c>
      <c r="G24" s="198" t="str">
        <f t="shared" si="2"/>
        <v>金石6</v>
      </c>
      <c r="H24" s="198">
        <f t="shared" si="3"/>
        <v>23</v>
      </c>
      <c r="I24" s="198">
        <f>IF(OR(B24="",E24=1),"",A24-VLOOKUP(B24&amp;(E24-1),$G$2:H24,2,FALSE))</f>
        <v>1</v>
      </c>
      <c r="J24" s="198">
        <f t="shared" si="4"/>
        <v>3</v>
      </c>
    </row>
    <row r="25" spans="1:10" x14ac:dyDescent="0.2">
      <c r="A25" s="196">
        <v>24</v>
      </c>
      <c r="B25" s="196" t="s">
        <v>122</v>
      </c>
      <c r="C25" s="196" t="s">
        <v>41</v>
      </c>
      <c r="D25" s="196" t="str">
        <f t="shared" si="0"/>
        <v>5年ぶり2回目</v>
      </c>
      <c r="E25" s="198">
        <f>IF(B25="","",COUNTIF($B$2:B25,B25))</f>
        <v>2</v>
      </c>
      <c r="F25" s="198" t="str">
        <f t="shared" si="1"/>
        <v>2回目</v>
      </c>
      <c r="G25" s="198" t="str">
        <f t="shared" si="2"/>
        <v>押水2</v>
      </c>
      <c r="H25" s="198">
        <f t="shared" si="3"/>
        <v>24</v>
      </c>
      <c r="I25" s="198">
        <f>IF(OR(B25="",E25=1),"",A25-VLOOKUP(B25&amp;(E25-1),$G$2:H25,2,FALSE))</f>
        <v>5</v>
      </c>
      <c r="J25" s="198" t="str">
        <f t="shared" si="4"/>
        <v/>
      </c>
    </row>
    <row r="26" spans="1:10" x14ac:dyDescent="0.2">
      <c r="A26" s="196">
        <v>25</v>
      </c>
      <c r="B26" s="196" t="s">
        <v>31</v>
      </c>
      <c r="C26" s="196" t="s">
        <v>119</v>
      </c>
      <c r="D26" s="196" t="str">
        <f t="shared" si="0"/>
        <v>初優勝</v>
      </c>
      <c r="E26" s="198">
        <f>IF(B26="","",COUNTIF($B$2:B26,B26))</f>
        <v>1</v>
      </c>
      <c r="F26" s="198" t="str">
        <f t="shared" si="1"/>
        <v>初優勝</v>
      </c>
      <c r="G26" s="198" t="str">
        <f t="shared" si="2"/>
        <v>高尾台1</v>
      </c>
      <c r="H26" s="198">
        <f t="shared" si="3"/>
        <v>25</v>
      </c>
      <c r="I26" s="198" t="str">
        <f>IF(OR(B26="",E26=1),"",A26-VLOOKUP(B26&amp;(E26-1),$G$2:H26,2,FALSE))</f>
        <v/>
      </c>
      <c r="J26" s="198" t="str">
        <f t="shared" si="4"/>
        <v/>
      </c>
    </row>
    <row r="27" spans="1:10" x14ac:dyDescent="0.2">
      <c r="A27" s="196">
        <v>26</v>
      </c>
      <c r="B27" s="196" t="s">
        <v>121</v>
      </c>
      <c r="C27" s="196" t="s">
        <v>119</v>
      </c>
      <c r="D27" s="196" t="str">
        <f t="shared" si="0"/>
        <v>3年ぶり7回目</v>
      </c>
      <c r="E27" s="198">
        <f>IF(B27="","",COUNTIF($B$2:B27,B27))</f>
        <v>7</v>
      </c>
      <c r="F27" s="198" t="str">
        <f t="shared" si="1"/>
        <v>7回目</v>
      </c>
      <c r="G27" s="198" t="str">
        <f t="shared" si="2"/>
        <v>金石7</v>
      </c>
      <c r="H27" s="198">
        <f t="shared" si="3"/>
        <v>26</v>
      </c>
      <c r="I27" s="198">
        <f>IF(OR(B27="",E27=1),"",A27-VLOOKUP(B27&amp;(E27-1),$G$2:H27,2,FALSE))</f>
        <v>3</v>
      </c>
      <c r="J27" s="198" t="str">
        <f t="shared" si="4"/>
        <v/>
      </c>
    </row>
    <row r="28" spans="1:10" x14ac:dyDescent="0.2">
      <c r="A28" s="196">
        <v>27</v>
      </c>
      <c r="B28" s="196" t="s">
        <v>27</v>
      </c>
      <c r="C28" s="196" t="s">
        <v>119</v>
      </c>
      <c r="D28" s="196" t="str">
        <f t="shared" si="0"/>
        <v>初優勝</v>
      </c>
      <c r="E28" s="198">
        <f>IF(B28="","",COUNTIF($B$2:B28,B28))</f>
        <v>1</v>
      </c>
      <c r="F28" s="198" t="str">
        <f t="shared" si="1"/>
        <v>初優勝</v>
      </c>
      <c r="G28" s="198" t="str">
        <f t="shared" si="2"/>
        <v>森本1</v>
      </c>
      <c r="H28" s="198">
        <f t="shared" si="3"/>
        <v>27</v>
      </c>
      <c r="I28" s="198" t="str">
        <f>IF(OR(B28="",E28=1),"",A28-VLOOKUP(B28&amp;(E28-1),$G$2:H28,2,FALSE))</f>
        <v/>
      </c>
      <c r="J28" s="198" t="str">
        <f t="shared" si="4"/>
        <v/>
      </c>
    </row>
    <row r="29" spans="1:10" x14ac:dyDescent="0.2">
      <c r="A29" s="196">
        <v>28</v>
      </c>
      <c r="B29" s="196" t="s">
        <v>36</v>
      </c>
      <c r="C29" s="196" t="s">
        <v>119</v>
      </c>
      <c r="D29" s="196" t="str">
        <f t="shared" si="0"/>
        <v>初優勝</v>
      </c>
      <c r="E29" s="198">
        <f>IF(B29="","",COUNTIF($B$2:B29,B29))</f>
        <v>1</v>
      </c>
      <c r="F29" s="198" t="str">
        <f t="shared" si="1"/>
        <v>初優勝</v>
      </c>
      <c r="G29" s="198" t="str">
        <f t="shared" si="2"/>
        <v>大徳1</v>
      </c>
      <c r="H29" s="198">
        <f t="shared" si="3"/>
        <v>28</v>
      </c>
      <c r="I29" s="198" t="str">
        <f>IF(OR(B29="",E29=1),"",A29-VLOOKUP(B29&amp;(E29-1),$G$2:H29,2,FALSE))</f>
        <v/>
      </c>
      <c r="J29" s="198" t="str">
        <f t="shared" si="4"/>
        <v/>
      </c>
    </row>
    <row r="30" spans="1:10" x14ac:dyDescent="0.2">
      <c r="A30" s="196">
        <v>29</v>
      </c>
      <c r="B30" s="196" t="s">
        <v>24</v>
      </c>
      <c r="C30" s="196" t="s">
        <v>24</v>
      </c>
      <c r="D30" s="196" t="str">
        <f t="shared" si="0"/>
        <v>14年ぶり2回目</v>
      </c>
      <c r="E30" s="198">
        <f>IF(B30="","",COUNTIF($B$2:B30,B30))</f>
        <v>2</v>
      </c>
      <c r="F30" s="198" t="str">
        <f t="shared" si="1"/>
        <v>2回目</v>
      </c>
      <c r="G30" s="198" t="str">
        <f t="shared" si="2"/>
        <v>松任2</v>
      </c>
      <c r="H30" s="198">
        <f t="shared" si="3"/>
        <v>29</v>
      </c>
      <c r="I30" s="198">
        <f>IF(OR(B30="",E30=1),"",A30-VLOOKUP(B30&amp;(E30-1),$G$2:H30,2,FALSE))</f>
        <v>14</v>
      </c>
      <c r="J30" s="198" t="str">
        <f t="shared" si="4"/>
        <v/>
      </c>
    </row>
    <row r="31" spans="1:10" x14ac:dyDescent="0.2">
      <c r="A31" s="196">
        <v>30</v>
      </c>
      <c r="B31" s="196" t="s">
        <v>60</v>
      </c>
      <c r="C31" s="196" t="s">
        <v>124</v>
      </c>
      <c r="D31" s="196" t="str">
        <f t="shared" si="0"/>
        <v>初優勝</v>
      </c>
      <c r="E31" s="198">
        <f>IF(B31="","",COUNTIF($B$2:B31,B31))</f>
        <v>1</v>
      </c>
      <c r="F31" s="198" t="str">
        <f t="shared" si="1"/>
        <v>初優勝</v>
      </c>
      <c r="G31" s="198" t="str">
        <f t="shared" si="2"/>
        <v>津幡1</v>
      </c>
      <c r="H31" s="198">
        <f t="shared" si="3"/>
        <v>30</v>
      </c>
      <c r="I31" s="198" t="str">
        <f>IF(OR(B31="",E31=1),"",A31-VLOOKUP(B31&amp;(E31-1),$G$2:H31,2,FALSE))</f>
        <v/>
      </c>
      <c r="J31" s="198" t="str">
        <f t="shared" si="4"/>
        <v/>
      </c>
    </row>
    <row r="32" spans="1:10" x14ac:dyDescent="0.2">
      <c r="A32" s="196">
        <v>31</v>
      </c>
      <c r="B32" s="196" t="s">
        <v>29</v>
      </c>
      <c r="C32" s="196" t="s">
        <v>125</v>
      </c>
      <c r="D32" s="196" t="str">
        <f t="shared" si="0"/>
        <v>初優勝</v>
      </c>
      <c r="E32" s="198">
        <f>IF(B32="","",COUNTIF($B$2:B32,B32))</f>
        <v>1</v>
      </c>
      <c r="F32" s="198" t="str">
        <f t="shared" si="1"/>
        <v>初優勝</v>
      </c>
      <c r="G32" s="198" t="str">
        <f t="shared" si="2"/>
        <v>野々市1</v>
      </c>
      <c r="H32" s="198">
        <f t="shared" si="3"/>
        <v>31</v>
      </c>
      <c r="I32" s="198" t="str">
        <f>IF(OR(B32="",E32=1),"",A32-VLOOKUP(B32&amp;(E32-1),$G$2:H32,2,FALSE))</f>
        <v/>
      </c>
      <c r="J32" s="198" t="str">
        <f t="shared" si="4"/>
        <v/>
      </c>
    </row>
    <row r="33" spans="1:10" x14ac:dyDescent="0.2">
      <c r="A33" s="196">
        <v>32</v>
      </c>
      <c r="B33" s="196" t="s">
        <v>54</v>
      </c>
      <c r="C33" s="196" t="s">
        <v>124</v>
      </c>
      <c r="D33" s="196" t="str">
        <f t="shared" si="0"/>
        <v>初優勝</v>
      </c>
      <c r="E33" s="198">
        <f>IF(B33="","",COUNTIF($B$2:B33,B33))</f>
        <v>1</v>
      </c>
      <c r="F33" s="198" t="str">
        <f t="shared" si="1"/>
        <v>初優勝</v>
      </c>
      <c r="G33" s="198" t="str">
        <f t="shared" si="2"/>
        <v>高松1</v>
      </c>
      <c r="H33" s="198">
        <f t="shared" si="3"/>
        <v>32</v>
      </c>
      <c r="I33" s="198" t="str">
        <f>IF(OR(B33="",E33=1),"",A33-VLOOKUP(B33&amp;(E33-1),$G$2:H33,2,FALSE))</f>
        <v/>
      </c>
      <c r="J33" s="198" t="str">
        <f t="shared" si="4"/>
        <v/>
      </c>
    </row>
    <row r="34" spans="1:10" x14ac:dyDescent="0.2">
      <c r="A34" s="196">
        <v>33</v>
      </c>
      <c r="B34" s="196" t="s">
        <v>11</v>
      </c>
      <c r="C34" s="196" t="s">
        <v>117</v>
      </c>
      <c r="D34" s="196" t="str">
        <f t="shared" ref="D34:D51" si="5">IF(B34="","",IF(E34=1,F34,IF(I34=1,J34&amp;"年連続",I34&amp;"年ぶり")&amp;F34))</f>
        <v>初優勝</v>
      </c>
      <c r="E34" s="198">
        <f>IF(B34="","",COUNTIF($B$2:B34,B34))</f>
        <v>1</v>
      </c>
      <c r="F34" s="198" t="str">
        <f t="shared" ref="F34:F51" si="6">IF(B34="","",IF(E34=1,"初優勝",E34&amp;"回目"))</f>
        <v>初優勝</v>
      </c>
      <c r="G34" s="198" t="str">
        <f t="shared" ref="G34:G51" si="7">IF(B34="","",B34&amp;E34)</f>
        <v>松陽1</v>
      </c>
      <c r="H34" s="198">
        <f t="shared" si="3"/>
        <v>33</v>
      </c>
      <c r="I34" s="198" t="str">
        <f>IF(OR(B34="",E34=1),"",A34-VLOOKUP(B34&amp;(E34-1),$G$2:H34,2,FALSE))</f>
        <v/>
      </c>
      <c r="J34" s="198" t="str">
        <f t="shared" ref="J34:J51" si="8">IF(B34="","",IF(I34=1,IF(I33=1,J33+1,2),""))</f>
        <v/>
      </c>
    </row>
    <row r="35" spans="1:10" x14ac:dyDescent="0.2">
      <c r="A35" s="196">
        <v>34</v>
      </c>
      <c r="B35" s="196" t="s">
        <v>13</v>
      </c>
      <c r="C35" s="196" t="s">
        <v>117</v>
      </c>
      <c r="D35" s="196" t="str">
        <f t="shared" si="5"/>
        <v>23年ぶり2回目</v>
      </c>
      <c r="E35" s="198">
        <f>IF(B35="","",COUNTIF($B$2:B35,B35))</f>
        <v>2</v>
      </c>
      <c r="F35" s="198" t="str">
        <f t="shared" si="6"/>
        <v>2回目</v>
      </c>
      <c r="G35" s="198" t="str">
        <f t="shared" si="7"/>
        <v>南部2</v>
      </c>
      <c r="H35" s="198">
        <f t="shared" si="3"/>
        <v>34</v>
      </c>
      <c r="I35" s="198">
        <f>IF(OR(B35="",E35=1),"",A35-VLOOKUP(B35&amp;(E35-1),$G$2:H35,2,FALSE))</f>
        <v>23</v>
      </c>
      <c r="J35" s="198" t="str">
        <f t="shared" si="8"/>
        <v/>
      </c>
    </row>
    <row r="36" spans="1:10" x14ac:dyDescent="0.2">
      <c r="A36" s="196">
        <v>35</v>
      </c>
      <c r="B36" s="196" t="s">
        <v>20</v>
      </c>
      <c r="C36" s="196" t="s">
        <v>24</v>
      </c>
      <c r="D36" s="196" t="str">
        <f t="shared" si="5"/>
        <v>初優勝</v>
      </c>
      <c r="E36" s="198">
        <f>IF(B36="","",COUNTIF($B$2:B36,B36))</f>
        <v>1</v>
      </c>
      <c r="F36" s="198" t="str">
        <f t="shared" si="6"/>
        <v>初優勝</v>
      </c>
      <c r="G36" s="198" t="str">
        <f t="shared" si="7"/>
        <v>笠間1</v>
      </c>
      <c r="H36" s="198">
        <f t="shared" si="3"/>
        <v>35</v>
      </c>
      <c r="I36" s="198" t="str">
        <f>IF(OR(B36="",E36=1),"",A36-VLOOKUP(B36&amp;(E36-1),$G$2:H36,2,FALSE))</f>
        <v/>
      </c>
      <c r="J36" s="198" t="str">
        <f t="shared" si="8"/>
        <v/>
      </c>
    </row>
    <row r="37" spans="1:10" x14ac:dyDescent="0.2">
      <c r="A37" s="196">
        <v>36</v>
      </c>
      <c r="B37" s="196" t="s">
        <v>29</v>
      </c>
      <c r="C37" s="196" t="s">
        <v>125</v>
      </c>
      <c r="D37" s="196" t="str">
        <f t="shared" si="5"/>
        <v>5年ぶり2回目</v>
      </c>
      <c r="E37" s="198">
        <f>IF(B37="","",COUNTIF($B$2:B37,B37))</f>
        <v>2</v>
      </c>
      <c r="F37" s="198" t="str">
        <f t="shared" si="6"/>
        <v>2回目</v>
      </c>
      <c r="G37" s="198" t="str">
        <f t="shared" si="7"/>
        <v>野々市2</v>
      </c>
      <c r="H37" s="198">
        <f t="shared" si="3"/>
        <v>36</v>
      </c>
      <c r="I37" s="198">
        <f>IF(OR(B37="",E37=1),"",A37-VLOOKUP(B37&amp;(E37-1),$G$2:H37,2,FALSE))</f>
        <v>5</v>
      </c>
      <c r="J37" s="198" t="str">
        <f t="shared" si="8"/>
        <v/>
      </c>
    </row>
    <row r="38" spans="1:10" x14ac:dyDescent="0.2">
      <c r="A38" s="196">
        <v>37</v>
      </c>
      <c r="B38" s="196" t="s">
        <v>126</v>
      </c>
      <c r="C38" s="196" t="s">
        <v>119</v>
      </c>
      <c r="D38" s="196" t="str">
        <f t="shared" si="5"/>
        <v>初優勝</v>
      </c>
      <c r="E38" s="198">
        <f>IF(B38="","",COUNTIF($B$2:B38,B38))</f>
        <v>1</v>
      </c>
      <c r="F38" s="198" t="str">
        <f t="shared" si="6"/>
        <v>初優勝</v>
      </c>
      <c r="G38" s="198" t="str">
        <f t="shared" si="7"/>
        <v>星稜1</v>
      </c>
      <c r="H38" s="198">
        <f t="shared" si="3"/>
        <v>37</v>
      </c>
      <c r="I38" s="198" t="str">
        <f>IF(OR(B38="",E38=1),"",A38-VLOOKUP(B38&amp;(E38-1),$G$2:H38,2,FALSE))</f>
        <v/>
      </c>
      <c r="J38" s="198" t="str">
        <f t="shared" si="8"/>
        <v/>
      </c>
    </row>
    <row r="39" spans="1:10" x14ac:dyDescent="0.2">
      <c r="A39" s="196">
        <v>38</v>
      </c>
      <c r="B39" s="196" t="s">
        <v>126</v>
      </c>
      <c r="C39" s="196" t="s">
        <v>119</v>
      </c>
      <c r="D39" s="196" t="str">
        <f t="shared" si="5"/>
        <v>2年連続2回目</v>
      </c>
      <c r="E39" s="198">
        <f>IF(B39="","",COUNTIF($B$2:B39,B39))</f>
        <v>2</v>
      </c>
      <c r="F39" s="198" t="str">
        <f t="shared" si="6"/>
        <v>2回目</v>
      </c>
      <c r="G39" s="198" t="str">
        <f t="shared" si="7"/>
        <v>星稜2</v>
      </c>
      <c r="H39" s="198">
        <f t="shared" si="3"/>
        <v>38</v>
      </c>
      <c r="I39" s="198">
        <f>IF(OR(B39="",E39=1),"",A39-VLOOKUP(B39&amp;(E39-1),$G$2:H39,2,FALSE))</f>
        <v>1</v>
      </c>
      <c r="J39" s="198">
        <f t="shared" si="8"/>
        <v>2</v>
      </c>
    </row>
    <row r="40" spans="1:10" x14ac:dyDescent="0.2">
      <c r="A40" s="196">
        <v>39</v>
      </c>
      <c r="B40" s="196" t="s">
        <v>29</v>
      </c>
      <c r="C40" s="196" t="s">
        <v>125</v>
      </c>
      <c r="D40" s="196" t="str">
        <f t="shared" si="5"/>
        <v>3年ぶり3回目</v>
      </c>
      <c r="E40" s="198">
        <f>IF(B40="","",COUNTIF($B$2:B40,B40))</f>
        <v>3</v>
      </c>
      <c r="F40" s="198" t="str">
        <f t="shared" si="6"/>
        <v>3回目</v>
      </c>
      <c r="G40" s="198" t="str">
        <f t="shared" si="7"/>
        <v>野々市3</v>
      </c>
      <c r="H40" s="198">
        <f t="shared" si="3"/>
        <v>39</v>
      </c>
      <c r="I40" s="198">
        <f>IF(OR(B40="",E40=1),"",A40-VLOOKUP(B40&amp;(E40-1),$G$2:H40,2,FALSE))</f>
        <v>3</v>
      </c>
      <c r="J40" s="198" t="str">
        <f t="shared" si="8"/>
        <v/>
      </c>
    </row>
    <row r="41" spans="1:10" x14ac:dyDescent="0.2">
      <c r="A41" s="196">
        <v>40</v>
      </c>
      <c r="B41" s="196" t="s">
        <v>24</v>
      </c>
      <c r="C41" s="196" t="s">
        <v>24</v>
      </c>
      <c r="D41" s="196" t="str">
        <f t="shared" si="5"/>
        <v>11年ぶり3回目</v>
      </c>
      <c r="E41" s="198">
        <f>IF(B41="","",COUNTIF($B$2:B41,B41))</f>
        <v>3</v>
      </c>
      <c r="F41" s="198" t="str">
        <f t="shared" si="6"/>
        <v>3回目</v>
      </c>
      <c r="G41" s="198" t="str">
        <f t="shared" si="7"/>
        <v>松任3</v>
      </c>
      <c r="H41" s="198">
        <f t="shared" si="3"/>
        <v>40</v>
      </c>
      <c r="I41" s="198">
        <f>IF(OR(B41="",E41=1),"",A41-VLOOKUP(B41&amp;(E41-1),$G$2:H41,2,FALSE))</f>
        <v>11</v>
      </c>
      <c r="J41" s="198" t="str">
        <f t="shared" si="8"/>
        <v/>
      </c>
    </row>
    <row r="42" spans="1:10" x14ac:dyDescent="0.2">
      <c r="A42" s="196">
        <v>41</v>
      </c>
      <c r="B42" s="196" t="s">
        <v>24</v>
      </c>
      <c r="C42" s="196" t="s">
        <v>24</v>
      </c>
      <c r="D42" s="196" t="str">
        <f t="shared" si="5"/>
        <v>2年連続4回目</v>
      </c>
      <c r="E42" s="198">
        <f>IF(B42="","",COUNTIF($B$2:B42,B42))</f>
        <v>4</v>
      </c>
      <c r="F42" s="198" t="str">
        <f t="shared" si="6"/>
        <v>4回目</v>
      </c>
      <c r="G42" s="198" t="str">
        <f t="shared" si="7"/>
        <v>松任4</v>
      </c>
      <c r="H42" s="198">
        <f t="shared" si="3"/>
        <v>41</v>
      </c>
      <c r="I42" s="198">
        <f>IF(OR(B42="",E42=1),"",A42-VLOOKUP(B42&amp;(E42-1),$G$2:H42,2,FALSE))</f>
        <v>1</v>
      </c>
      <c r="J42" s="198">
        <f t="shared" si="8"/>
        <v>2</v>
      </c>
    </row>
    <row r="43" spans="1:10" x14ac:dyDescent="0.2">
      <c r="A43" s="196">
        <v>42</v>
      </c>
      <c r="B43" s="196" t="s">
        <v>126</v>
      </c>
      <c r="C43" s="196" t="s">
        <v>119</v>
      </c>
      <c r="D43" s="196" t="str">
        <f t="shared" si="5"/>
        <v>4年ぶり3回目</v>
      </c>
      <c r="E43" s="198">
        <f>IF(B43="","",COUNTIF($B$2:B43,B43))</f>
        <v>3</v>
      </c>
      <c r="F43" s="198" t="str">
        <f t="shared" si="6"/>
        <v>3回目</v>
      </c>
      <c r="G43" s="198" t="str">
        <f t="shared" si="7"/>
        <v>星稜3</v>
      </c>
      <c r="H43" s="198">
        <f t="shared" si="3"/>
        <v>42</v>
      </c>
      <c r="I43" s="198">
        <f>IF(OR(B43="",E43=1),"",A43-VLOOKUP(B43&amp;(E43-1),$G$2:H43,2,FALSE))</f>
        <v>4</v>
      </c>
      <c r="J43" s="198" t="str">
        <f t="shared" si="8"/>
        <v/>
      </c>
    </row>
    <row r="44" spans="1:10" x14ac:dyDescent="0.2">
      <c r="A44" s="196">
        <v>43</v>
      </c>
      <c r="B44" s="196" t="s">
        <v>29</v>
      </c>
      <c r="C44" s="196" t="s">
        <v>125</v>
      </c>
      <c r="D44" s="196" t="str">
        <f t="shared" si="5"/>
        <v>4年ぶり4回目</v>
      </c>
      <c r="E44" s="198">
        <f>IF(B44="","",COUNTIF($B$2:B44,B44))</f>
        <v>4</v>
      </c>
      <c r="F44" s="198" t="str">
        <f t="shared" si="6"/>
        <v>4回目</v>
      </c>
      <c r="G44" s="198" t="str">
        <f t="shared" si="7"/>
        <v>野々市4</v>
      </c>
      <c r="H44" s="198">
        <f t="shared" si="3"/>
        <v>43</v>
      </c>
      <c r="I44" s="198">
        <f>IF(OR(B44="",E44=1),"",A44-VLOOKUP(B44&amp;(E44-1),$G$2:H44,2,FALSE))</f>
        <v>4</v>
      </c>
      <c r="J44" s="198" t="str">
        <f t="shared" si="8"/>
        <v/>
      </c>
    </row>
    <row r="45" spans="1:10" x14ac:dyDescent="0.2">
      <c r="A45" s="196">
        <v>44</v>
      </c>
      <c r="B45" s="196" t="s">
        <v>126</v>
      </c>
      <c r="C45" s="196" t="s">
        <v>119</v>
      </c>
      <c r="D45" s="196" t="str">
        <f t="shared" si="5"/>
        <v>2年ぶり4回目</v>
      </c>
      <c r="E45" s="198">
        <f>IF(B45="","",COUNTIF($B$2:B45,B45))</f>
        <v>4</v>
      </c>
      <c r="F45" s="198" t="str">
        <f t="shared" si="6"/>
        <v>4回目</v>
      </c>
      <c r="G45" s="198" t="str">
        <f t="shared" si="7"/>
        <v>星稜4</v>
      </c>
      <c r="H45" s="198">
        <f t="shared" si="3"/>
        <v>44</v>
      </c>
      <c r="I45" s="198">
        <f>IF(OR(B45="",E45=1),"",A45-VLOOKUP(B45&amp;(E45-1),$G$2:H45,2,FALSE))</f>
        <v>2</v>
      </c>
      <c r="J45" s="198" t="str">
        <f t="shared" si="8"/>
        <v/>
      </c>
    </row>
    <row r="46" spans="1:10" x14ac:dyDescent="0.2">
      <c r="A46" s="196">
        <v>45</v>
      </c>
      <c r="B46" s="196" t="s">
        <v>126</v>
      </c>
      <c r="C46" s="196" t="s">
        <v>119</v>
      </c>
      <c r="D46" s="196" t="str">
        <f t="shared" si="5"/>
        <v>2年連続5回目</v>
      </c>
      <c r="E46" s="198">
        <f>IF(B46="","",COUNTIF($B$2:B46,B46))</f>
        <v>5</v>
      </c>
      <c r="F46" s="198" t="str">
        <f t="shared" si="6"/>
        <v>5回目</v>
      </c>
      <c r="G46" s="198" t="str">
        <f t="shared" si="7"/>
        <v>星稜5</v>
      </c>
      <c r="H46" s="198">
        <f t="shared" si="3"/>
        <v>45</v>
      </c>
      <c r="I46" s="198">
        <f>IF(OR(B46="",E46=1),"",A46-VLOOKUP(B46&amp;(E46-1),$G$2:H46,2,FALSE))</f>
        <v>1</v>
      </c>
      <c r="J46" s="198">
        <f t="shared" si="8"/>
        <v>2</v>
      </c>
    </row>
    <row r="47" spans="1:10" x14ac:dyDescent="0.2">
      <c r="A47" s="196">
        <v>46</v>
      </c>
      <c r="B47" s="196" t="s">
        <v>126</v>
      </c>
      <c r="C47" s="196" t="s">
        <v>119</v>
      </c>
      <c r="D47" s="196" t="str">
        <f t="shared" si="5"/>
        <v>3年連続6回目</v>
      </c>
      <c r="E47" s="198">
        <f>IF(B47="","",COUNTIF($B$2:B47,B47))</f>
        <v>6</v>
      </c>
      <c r="F47" s="198" t="str">
        <f t="shared" si="6"/>
        <v>6回目</v>
      </c>
      <c r="G47" s="198" t="str">
        <f t="shared" si="7"/>
        <v>星稜6</v>
      </c>
      <c r="H47" s="198">
        <f t="shared" si="3"/>
        <v>46</v>
      </c>
      <c r="I47" s="198">
        <f>IF(OR(B47="",E47=1),"",A47-VLOOKUP(B47&amp;(E47-1),$G$2:H47,2,FALSE))</f>
        <v>1</v>
      </c>
      <c r="J47" s="198">
        <f t="shared" si="8"/>
        <v>3</v>
      </c>
    </row>
    <row r="48" spans="1:10" x14ac:dyDescent="0.2">
      <c r="A48" s="196">
        <v>47</v>
      </c>
      <c r="B48" s="196" t="s">
        <v>126</v>
      </c>
      <c r="C48" s="196" t="s">
        <v>119</v>
      </c>
      <c r="D48" s="196" t="str">
        <f t="shared" si="5"/>
        <v>4年連続7回目</v>
      </c>
      <c r="E48" s="198">
        <f>IF(B48="","",COUNTIF($B$2:B48,B48))</f>
        <v>7</v>
      </c>
      <c r="F48" s="198" t="str">
        <f t="shared" si="6"/>
        <v>7回目</v>
      </c>
      <c r="G48" s="198" t="str">
        <f t="shared" si="7"/>
        <v>星稜7</v>
      </c>
      <c r="H48" s="198">
        <f t="shared" si="3"/>
        <v>47</v>
      </c>
      <c r="I48" s="198">
        <f>IF(OR(B48="",E48=1),"",A48-VLOOKUP(B48&amp;(E48-1),$G$2:H48,2,FALSE))</f>
        <v>1</v>
      </c>
      <c r="J48" s="198">
        <f t="shared" si="8"/>
        <v>4</v>
      </c>
    </row>
    <row r="49" spans="1:11" x14ac:dyDescent="0.2">
      <c r="A49" s="196">
        <v>48</v>
      </c>
      <c r="B49" s="196" t="s">
        <v>126</v>
      </c>
      <c r="C49" s="196" t="s">
        <v>119</v>
      </c>
      <c r="D49" s="196" t="str">
        <f t="shared" si="5"/>
        <v>5年連続8回目</v>
      </c>
      <c r="E49" s="198">
        <f>IF(B49="","",COUNTIF($B$2:B49,B49))</f>
        <v>8</v>
      </c>
      <c r="F49" s="198" t="str">
        <f t="shared" si="6"/>
        <v>8回目</v>
      </c>
      <c r="G49" s="198" t="str">
        <f t="shared" si="7"/>
        <v>星稜8</v>
      </c>
      <c r="H49" s="198">
        <f t="shared" si="3"/>
        <v>48</v>
      </c>
      <c r="I49" s="198">
        <f>IF(OR(B49="",E49=1),"",A49-VLOOKUP(B49&amp;(E49-1),$G$2:H49,2,FALSE))</f>
        <v>1</v>
      </c>
      <c r="J49" s="198">
        <f t="shared" si="8"/>
        <v>5</v>
      </c>
    </row>
    <row r="50" spans="1:11" x14ac:dyDescent="0.2">
      <c r="A50" s="196">
        <v>49</v>
      </c>
      <c r="B50" s="196" t="s">
        <v>126</v>
      </c>
      <c r="C50" s="196" t="s">
        <v>119</v>
      </c>
      <c r="D50" s="196" t="str">
        <f t="shared" si="5"/>
        <v>6年連続9回目</v>
      </c>
      <c r="E50" s="198">
        <f>IF(B50="","",COUNTIF($B$2:B50,B50))</f>
        <v>9</v>
      </c>
      <c r="F50" s="198" t="str">
        <f t="shared" si="6"/>
        <v>9回目</v>
      </c>
      <c r="G50" s="198" t="str">
        <f t="shared" si="7"/>
        <v>星稜9</v>
      </c>
      <c r="H50" s="198">
        <f t="shared" si="3"/>
        <v>49</v>
      </c>
      <c r="I50" s="198">
        <f>IF(OR(B50="",E50=1),"",A50-VLOOKUP(B50&amp;(E50-1),$G$2:H50,2,FALSE))</f>
        <v>1</v>
      </c>
      <c r="J50" s="198">
        <f t="shared" si="8"/>
        <v>6</v>
      </c>
    </row>
    <row r="51" spans="1:11" x14ac:dyDescent="0.2">
      <c r="A51" s="196">
        <v>50</v>
      </c>
      <c r="B51" s="196" t="s">
        <v>126</v>
      </c>
      <c r="C51" s="196" t="s">
        <v>119</v>
      </c>
      <c r="D51" s="196" t="str">
        <f t="shared" si="5"/>
        <v>7年連続10回目</v>
      </c>
      <c r="E51" s="198">
        <f>IF(B51="","",COUNTIF($B$2:B51,B51))</f>
        <v>10</v>
      </c>
      <c r="F51" s="198" t="str">
        <f t="shared" si="6"/>
        <v>10回目</v>
      </c>
      <c r="G51" s="198" t="str">
        <f t="shared" si="7"/>
        <v>星稜10</v>
      </c>
      <c r="H51" s="198">
        <f t="shared" si="3"/>
        <v>50</v>
      </c>
      <c r="I51" s="198">
        <f>IF(OR(B51="",E51=1),"",A51-VLOOKUP(B51&amp;(E51-1),$G$2:H51,2,FALSE))</f>
        <v>1</v>
      </c>
      <c r="J51" s="198">
        <f t="shared" si="8"/>
        <v>7</v>
      </c>
    </row>
    <row r="52" spans="1:11" x14ac:dyDescent="0.2">
      <c r="A52" s="196">
        <v>51</v>
      </c>
      <c r="B52" s="196" t="s">
        <v>126</v>
      </c>
      <c r="C52" s="196" t="s">
        <v>119</v>
      </c>
      <c r="D52" s="196" t="str">
        <f t="shared" ref="D52:D101" si="9">IF(B52="","",IF(E52=1,F52,IF(I52=1,J52&amp;"年連続",I52&amp;"年ぶり")&amp;F52))</f>
        <v>8年連続11回目</v>
      </c>
      <c r="E52" s="198">
        <f>IF(B52="","",COUNTIF($B$2:B52,B52))</f>
        <v>11</v>
      </c>
      <c r="F52" s="198" t="str">
        <f t="shared" ref="F52:F101" si="10">IF(B52="","",IF(E52=1,"初優勝",E52&amp;"回目"))</f>
        <v>11回目</v>
      </c>
      <c r="G52" s="198" t="str">
        <f t="shared" ref="G52:G101" si="11">IF(B52="","",B52&amp;E52)</f>
        <v>星稜11</v>
      </c>
      <c r="H52" s="198">
        <f t="shared" ref="H52:H101" si="12">A52</f>
        <v>51</v>
      </c>
      <c r="I52" s="198">
        <f>IF(OR(B52="",E52=1),"",A52-VLOOKUP(B52&amp;(E52-1),$G$2:H52,2,FALSE))</f>
        <v>1</v>
      </c>
      <c r="J52" s="198">
        <f t="shared" ref="J52:J101" si="13">IF(B52="","",IF(I52=1,IF(I51=1,J51+1,2),""))</f>
        <v>8</v>
      </c>
    </row>
    <row r="53" spans="1:11" x14ac:dyDescent="0.2">
      <c r="A53" s="196">
        <v>52</v>
      </c>
      <c r="B53" s="196" t="s">
        <v>126</v>
      </c>
      <c r="C53" s="196" t="s">
        <v>119</v>
      </c>
      <c r="D53" s="196" t="str">
        <f t="shared" si="9"/>
        <v>9年連続12回目</v>
      </c>
      <c r="E53" s="198">
        <f>IF(B53="","",COUNTIF($B$2:B53,B53))</f>
        <v>12</v>
      </c>
      <c r="F53" s="198" t="str">
        <f t="shared" si="10"/>
        <v>12回目</v>
      </c>
      <c r="G53" s="198" t="str">
        <f t="shared" si="11"/>
        <v>星稜12</v>
      </c>
      <c r="H53" s="198">
        <f t="shared" si="12"/>
        <v>52</v>
      </c>
      <c r="I53" s="198">
        <f>IF(OR(B53="",E53=1),"",A53-VLOOKUP(B53&amp;(E53-1),$G$2:H53,2,FALSE))</f>
        <v>1</v>
      </c>
      <c r="J53" s="198">
        <f t="shared" si="13"/>
        <v>9</v>
      </c>
    </row>
    <row r="54" spans="1:11" x14ac:dyDescent="0.2">
      <c r="A54" s="196">
        <v>53</v>
      </c>
      <c r="B54" s="196" t="s">
        <v>126</v>
      </c>
      <c r="C54" s="196" t="s">
        <v>119</v>
      </c>
      <c r="D54" s="196" t="str">
        <f t="shared" si="9"/>
        <v>10年連続13回目</v>
      </c>
      <c r="E54" s="198">
        <f>IF(B54="","",COUNTIF($B$2:B54,B54))</f>
        <v>13</v>
      </c>
      <c r="F54" s="198" t="str">
        <f t="shared" si="10"/>
        <v>13回目</v>
      </c>
      <c r="G54" s="198" t="str">
        <f t="shared" si="11"/>
        <v>星稜13</v>
      </c>
      <c r="H54" s="198">
        <f t="shared" si="12"/>
        <v>53</v>
      </c>
      <c r="I54" s="198">
        <f>IF(OR(B54="",E54=1),"",A54-VLOOKUP(B54&amp;(E54-1),$G$2:H54,2,FALSE))</f>
        <v>1</v>
      </c>
      <c r="J54" s="198">
        <f t="shared" si="13"/>
        <v>10</v>
      </c>
    </row>
    <row r="55" spans="1:11" x14ac:dyDescent="0.2">
      <c r="A55" s="196">
        <v>54</v>
      </c>
      <c r="B55" s="91" t="s">
        <v>127</v>
      </c>
      <c r="C55" s="196" t="s">
        <v>119</v>
      </c>
      <c r="D55" s="196" t="str">
        <f t="shared" si="9"/>
        <v>11年連続14回目</v>
      </c>
      <c r="E55" s="198">
        <f>IF(B55="","",COUNTIF($B$2:B55,B55))</f>
        <v>14</v>
      </c>
      <c r="F55" s="198" t="str">
        <f t="shared" si="10"/>
        <v>14回目</v>
      </c>
      <c r="G55" s="198" t="str">
        <f t="shared" si="11"/>
        <v>星稜14</v>
      </c>
      <c r="H55" s="198">
        <f t="shared" si="12"/>
        <v>54</v>
      </c>
      <c r="I55" s="198">
        <f>IF(OR(B55="",E55=1),"",A55-VLOOKUP(B55&amp;(E55-1),$G$2:H55,2,FALSE))</f>
        <v>1</v>
      </c>
      <c r="J55" s="198">
        <f t="shared" si="13"/>
        <v>11</v>
      </c>
      <c r="K55" s="58" t="str">
        <f ca="1">IF(YEAR(NOW())-1962=A55,"*優勝校が決まったら、学校名と郡市名は値複写しておくこと。","")</f>
        <v/>
      </c>
    </row>
    <row r="56" spans="1:11" x14ac:dyDescent="0.2">
      <c r="A56" s="196">
        <v>55</v>
      </c>
      <c r="B56" s="91" t="s">
        <v>127</v>
      </c>
      <c r="C56" s="196" t="s">
        <v>119</v>
      </c>
      <c r="D56" s="196" t="str">
        <f t="shared" si="9"/>
        <v>12年連続15回目</v>
      </c>
      <c r="E56" s="198">
        <f>IF(B56="","",COUNTIF($B$2:B56,B56))</f>
        <v>15</v>
      </c>
      <c r="F56" s="198" t="str">
        <f t="shared" si="10"/>
        <v>15回目</v>
      </c>
      <c r="G56" s="198" t="str">
        <f t="shared" si="11"/>
        <v>星稜15</v>
      </c>
      <c r="H56" s="198">
        <f t="shared" si="12"/>
        <v>55</v>
      </c>
      <c r="I56" s="198">
        <f>IF(OR(B56="",E56=1),"",A56-VLOOKUP(B56&amp;(E56-1),$G$2:H56,2,FALSE))</f>
        <v>1</v>
      </c>
      <c r="J56" s="198">
        <f t="shared" si="13"/>
        <v>12</v>
      </c>
      <c r="K56" s="58" t="str">
        <f ca="1">IF(YEAR(NOW())-1962=A56,"*優勝校が決まったら、学校名と郡市名は値複写しておくこと。","")</f>
        <v/>
      </c>
    </row>
    <row r="57" spans="1:11" x14ac:dyDescent="0.2">
      <c r="A57" s="196">
        <v>56</v>
      </c>
      <c r="B57" s="91" t="s">
        <v>127</v>
      </c>
      <c r="C57" s="91" t="s">
        <v>119</v>
      </c>
      <c r="D57" s="196" t="str">
        <f t="shared" si="9"/>
        <v>13年連続16回目</v>
      </c>
      <c r="E57" s="198">
        <f>IF(B57="","",COUNTIF($B$2:B57,B57))</f>
        <v>16</v>
      </c>
      <c r="F57" s="198" t="str">
        <f t="shared" si="10"/>
        <v>16回目</v>
      </c>
      <c r="G57" s="198" t="str">
        <f t="shared" si="11"/>
        <v>星稜16</v>
      </c>
      <c r="H57" s="198">
        <f t="shared" si="12"/>
        <v>56</v>
      </c>
      <c r="I57" s="198">
        <f>IF(OR(B57="",E57=1),"",A57-VLOOKUP(B57&amp;(E57-1),$G$2:H57,2,FALSE))</f>
        <v>1</v>
      </c>
      <c r="J57" s="198">
        <f t="shared" si="13"/>
        <v>13</v>
      </c>
      <c r="K57" s="58" t="str">
        <f t="shared" ref="K57:K101" ca="1" si="14">IF(YEAR(NOW())-1962=A57,"*優勝校が決まったら、学校名と郡市名は値複写しておくこと。","")</f>
        <v/>
      </c>
    </row>
    <row r="58" spans="1:11" x14ac:dyDescent="0.2">
      <c r="A58" s="196">
        <v>57</v>
      </c>
      <c r="B58" s="91" t="s">
        <v>24</v>
      </c>
      <c r="C58" s="91" t="s">
        <v>599</v>
      </c>
      <c r="D58" s="196" t="str">
        <f t="shared" si="9"/>
        <v>16年ぶり5回目</v>
      </c>
      <c r="E58" s="198">
        <f>IF(B58="","",COUNTIF($B$2:B58,B58))</f>
        <v>5</v>
      </c>
      <c r="F58" s="198" t="str">
        <f t="shared" si="10"/>
        <v>5回目</v>
      </c>
      <c r="G58" s="198" t="str">
        <f t="shared" si="11"/>
        <v>松任5</v>
      </c>
      <c r="H58" s="198">
        <f t="shared" si="12"/>
        <v>57</v>
      </c>
      <c r="I58" s="198">
        <f>IF(OR(B58="",E58=1),"",A58-VLOOKUP(B58&amp;(E58-1),$G$2:H58,2,FALSE))</f>
        <v>16</v>
      </c>
      <c r="J58" s="198" t="str">
        <f t="shared" si="13"/>
        <v/>
      </c>
      <c r="K58" s="58" t="str">
        <f t="shared" ca="1" si="14"/>
        <v/>
      </c>
    </row>
    <row r="59" spans="1:11" x14ac:dyDescent="0.2">
      <c r="A59" s="196">
        <v>58</v>
      </c>
      <c r="B59" s="91" t="s">
        <v>128</v>
      </c>
      <c r="C59" s="91"/>
      <c r="D59" s="196" t="s">
        <v>129</v>
      </c>
      <c r="E59" s="198">
        <f>IF(B59="","",COUNTIF($B$2:B59,B59))</f>
        <v>1</v>
      </c>
      <c r="F59" s="198" t="str">
        <f t="shared" si="10"/>
        <v>初優勝</v>
      </c>
      <c r="G59" s="198" t="str">
        <f t="shared" si="11"/>
        <v>なし1</v>
      </c>
      <c r="H59" s="198">
        <f t="shared" si="12"/>
        <v>58</v>
      </c>
      <c r="I59" s="198" t="str">
        <f>IF(OR(B59="",E59=1),"",A59-VLOOKUP(B59&amp;(E59-1),$G$2:H59,2,FALSE))</f>
        <v/>
      </c>
      <c r="J59" s="198" t="str">
        <f t="shared" si="13"/>
        <v/>
      </c>
      <c r="K59" s="58" t="str">
        <f t="shared" ca="1" si="14"/>
        <v/>
      </c>
    </row>
    <row r="60" spans="1:11" x14ac:dyDescent="0.2">
      <c r="A60" s="196">
        <v>59</v>
      </c>
      <c r="B60" s="91" t="s">
        <v>590</v>
      </c>
      <c r="C60" s="91" t="s">
        <v>124</v>
      </c>
      <c r="D60" s="196" t="str">
        <f t="shared" si="9"/>
        <v>初優勝</v>
      </c>
      <c r="E60" s="198">
        <f>IF(B60="","",COUNTIF($B$2:B60,B60))</f>
        <v>1</v>
      </c>
      <c r="F60" s="198" t="str">
        <f t="shared" si="10"/>
        <v>初優勝</v>
      </c>
      <c r="G60" s="198" t="str">
        <f t="shared" si="11"/>
        <v>内灘1</v>
      </c>
      <c r="H60" s="198">
        <f t="shared" si="12"/>
        <v>59</v>
      </c>
      <c r="I60" s="198" t="str">
        <f>IF(OR(B60="",E60=1),"",A60-VLOOKUP(B60&amp;(E60-1),$G$2:H60,2,FALSE))</f>
        <v/>
      </c>
      <c r="J60" s="198" t="str">
        <f t="shared" si="13"/>
        <v/>
      </c>
      <c r="K60" s="58" t="str">
        <f t="shared" ca="1" si="14"/>
        <v/>
      </c>
    </row>
    <row r="61" spans="1:11" x14ac:dyDescent="0.2">
      <c r="A61" s="196">
        <v>60</v>
      </c>
      <c r="B61" s="91" t="s">
        <v>127</v>
      </c>
      <c r="C61" s="91" t="s">
        <v>119</v>
      </c>
      <c r="D61" s="196" t="str">
        <f t="shared" si="9"/>
        <v>4年ぶり17回目</v>
      </c>
      <c r="E61" s="198">
        <f>IF(B61="","",COUNTIF($B$2:B61,B61))</f>
        <v>17</v>
      </c>
      <c r="F61" s="198" t="str">
        <f t="shared" si="10"/>
        <v>17回目</v>
      </c>
      <c r="G61" s="198" t="str">
        <f t="shared" si="11"/>
        <v>星稜17</v>
      </c>
      <c r="H61" s="198">
        <f t="shared" si="12"/>
        <v>60</v>
      </c>
      <c r="I61" s="198">
        <f>IF(OR(B61="",E61=1),"",A61-VLOOKUP(B61&amp;(E61-1),$G$2:H61,2,FALSE))</f>
        <v>4</v>
      </c>
      <c r="J61" s="198" t="str">
        <f t="shared" si="13"/>
        <v/>
      </c>
      <c r="K61" s="58" t="str">
        <f t="shared" ca="1" si="14"/>
        <v/>
      </c>
    </row>
    <row r="62" spans="1:11" x14ac:dyDescent="0.2">
      <c r="A62" s="196">
        <v>61</v>
      </c>
      <c r="B62" s="91" t="s">
        <v>53</v>
      </c>
      <c r="C62" s="91" t="s">
        <v>53</v>
      </c>
      <c r="D62" s="196" t="str">
        <f t="shared" si="9"/>
        <v>初優勝</v>
      </c>
      <c r="E62" s="198">
        <f>IF(B62="","",COUNTIF($B$2:B62,B62))</f>
        <v>1</v>
      </c>
      <c r="F62" s="198" t="str">
        <f t="shared" si="10"/>
        <v>初優勝</v>
      </c>
      <c r="G62" s="198" t="str">
        <f t="shared" si="11"/>
        <v>七尾1</v>
      </c>
      <c r="H62" s="198">
        <f t="shared" si="12"/>
        <v>61</v>
      </c>
      <c r="I62" s="198" t="str">
        <f>IF(OR(B62="",E62=1),"",A62-VLOOKUP(B62&amp;(E62-1),$G$2:H62,2,FALSE))</f>
        <v/>
      </c>
      <c r="J62" s="198" t="str">
        <f t="shared" si="13"/>
        <v/>
      </c>
      <c r="K62" s="58" t="str">
        <f t="shared" ca="1" si="14"/>
        <v/>
      </c>
    </row>
    <row r="63" spans="1:11" x14ac:dyDescent="0.2">
      <c r="A63" s="196">
        <v>62</v>
      </c>
      <c r="B63" s="91" t="s">
        <v>127</v>
      </c>
      <c r="C63" s="91" t="s">
        <v>119</v>
      </c>
      <c r="D63" s="196" t="str">
        <f t="shared" si="9"/>
        <v>2年ぶり18回目</v>
      </c>
      <c r="E63" s="198">
        <f>IF(B63="","",COUNTIF($B$2:B63,B63))</f>
        <v>18</v>
      </c>
      <c r="F63" s="198" t="str">
        <f t="shared" si="10"/>
        <v>18回目</v>
      </c>
      <c r="G63" s="198" t="str">
        <f t="shared" si="11"/>
        <v>星稜18</v>
      </c>
      <c r="H63" s="198">
        <f t="shared" si="12"/>
        <v>62</v>
      </c>
      <c r="I63" s="198">
        <f>IF(OR(B63="",E63=1),"",A63-VLOOKUP(B63&amp;(E63-1),$G$2:H63,2,FALSE))</f>
        <v>2</v>
      </c>
      <c r="J63" s="198" t="str">
        <f t="shared" si="13"/>
        <v/>
      </c>
      <c r="K63" s="58" t="str">
        <f t="shared" ca="1" si="14"/>
        <v/>
      </c>
    </row>
    <row r="64" spans="1:11" x14ac:dyDescent="0.2">
      <c r="A64" s="196">
        <v>63</v>
      </c>
      <c r="B64" s="91" t="s">
        <v>127</v>
      </c>
      <c r="C64" s="91" t="s">
        <v>616</v>
      </c>
      <c r="D64" s="196" t="str">
        <f t="shared" si="9"/>
        <v>2年連続19回目</v>
      </c>
      <c r="E64" s="198">
        <f>IF(B64="","",COUNTIF($B$2:B64,B64))</f>
        <v>19</v>
      </c>
      <c r="F64" s="198" t="str">
        <f t="shared" si="10"/>
        <v>19回目</v>
      </c>
      <c r="G64" s="198" t="str">
        <f t="shared" si="11"/>
        <v>星稜19</v>
      </c>
      <c r="H64" s="198">
        <f t="shared" si="12"/>
        <v>63</v>
      </c>
      <c r="I64" s="198">
        <f>IF(OR(B64="",E64=1),"",A64-VLOOKUP(B64&amp;(E64-1),$G$2:H64,2,FALSE))</f>
        <v>1</v>
      </c>
      <c r="J64" s="198">
        <f t="shared" si="13"/>
        <v>2</v>
      </c>
      <c r="K64" s="58" t="str">
        <f t="shared" ca="1" si="14"/>
        <v>*優勝校が決まったら、学校名と郡市名は値複写しておくこと。</v>
      </c>
    </row>
    <row r="65" spans="1:11" x14ac:dyDescent="0.2">
      <c r="A65" s="196">
        <v>64</v>
      </c>
      <c r="B65" s="91" t="str">
        <f ca="1">IF(K65="","",IF('県体(12)'!$AE$12&gt;'県体(12)'!$AH$12,'県体(12)'!$N$14,IF('県体(12)'!$AH$12&gt;'県体(12)'!$AE$12,'県体(12)'!$AX$14,"")))</f>
        <v/>
      </c>
      <c r="C65" s="91" t="str">
        <f ca="1">IF(B65="","",LEFT(VLOOKUP(B65,県体学校名!$C$4:$F$15,2,FALSE),LEN(VLOOKUP(B65,県体学校名!$C$4:$F$15,2,FALSE))-1))</f>
        <v/>
      </c>
      <c r="D65" s="196" t="str">
        <f t="shared" ca="1" si="9"/>
        <v/>
      </c>
      <c r="E65" s="198" t="str">
        <f ca="1">IF(B65="","",COUNTIF($B$2:B65,B65))</f>
        <v/>
      </c>
      <c r="F65" s="198" t="str">
        <f t="shared" ca="1" si="10"/>
        <v/>
      </c>
      <c r="G65" s="198" t="str">
        <f t="shared" ca="1" si="11"/>
        <v/>
      </c>
      <c r="H65" s="198">
        <f t="shared" si="12"/>
        <v>64</v>
      </c>
      <c r="I65" s="198" t="str">
        <f ca="1">IF(OR(B65="",E65=1),"",A65-VLOOKUP(B65&amp;(E65-1),$G$2:H65,2,FALSE))</f>
        <v/>
      </c>
      <c r="J65" s="198" t="str">
        <f t="shared" ca="1" si="13"/>
        <v/>
      </c>
      <c r="K65" s="58" t="str">
        <f t="shared" ca="1" si="14"/>
        <v/>
      </c>
    </row>
    <row r="66" spans="1:11" x14ac:dyDescent="0.2">
      <c r="A66" s="196">
        <v>65</v>
      </c>
      <c r="B66" s="91" t="str">
        <f ca="1">IF(K66="","",IF('県体(12)'!$AE$12&gt;'県体(12)'!$AH$12,'県体(12)'!$N$14,IF('県体(12)'!$AH$12&gt;'県体(12)'!$AE$12,'県体(12)'!$AX$14,"")))</f>
        <v/>
      </c>
      <c r="C66" s="91" t="str">
        <f ca="1">IF(B66="","",LEFT(VLOOKUP(B66,県体学校名!$C$4:$F$15,2,FALSE),LEN(VLOOKUP(B66,県体学校名!$C$4:$F$15,2,FALSE))-1))</f>
        <v/>
      </c>
      <c r="D66" s="196" t="str">
        <f t="shared" ca="1" si="9"/>
        <v/>
      </c>
      <c r="E66" s="198" t="str">
        <f ca="1">IF(B66="","",COUNTIF($B$2:B66,B66))</f>
        <v/>
      </c>
      <c r="F66" s="198" t="str">
        <f t="shared" ca="1" si="10"/>
        <v/>
      </c>
      <c r="G66" s="198" t="str">
        <f t="shared" ca="1" si="11"/>
        <v/>
      </c>
      <c r="H66" s="198">
        <f t="shared" si="12"/>
        <v>65</v>
      </c>
      <c r="I66" s="198" t="str">
        <f ca="1">IF(OR(B66="",E66=1),"",A66-VLOOKUP(B66&amp;(E66-1),$G$2:H66,2,FALSE))</f>
        <v/>
      </c>
      <c r="J66" s="198" t="str">
        <f t="shared" ca="1" si="13"/>
        <v/>
      </c>
      <c r="K66" s="58" t="str">
        <f t="shared" ca="1" si="14"/>
        <v/>
      </c>
    </row>
    <row r="67" spans="1:11" x14ac:dyDescent="0.2">
      <c r="A67" s="196">
        <v>66</v>
      </c>
      <c r="B67" s="91" t="str">
        <f ca="1">IF(K67="","",IF('県体(12)'!$AE$12&gt;'県体(12)'!$AH$12,'県体(12)'!$N$14,IF('県体(12)'!$AH$12&gt;'県体(12)'!$AE$12,'県体(12)'!$AX$14,"")))</f>
        <v/>
      </c>
      <c r="C67" s="91" t="str">
        <f ca="1">IF(B67="","",LEFT(VLOOKUP(B67,県体学校名!$C$4:$F$15,2,FALSE),LEN(VLOOKUP(B67,県体学校名!$C$4:$F$15,2,FALSE))-1))</f>
        <v/>
      </c>
      <c r="D67" s="196" t="str">
        <f t="shared" ca="1" si="9"/>
        <v/>
      </c>
      <c r="E67" s="198" t="str">
        <f ca="1">IF(B67="","",COUNTIF($B$2:B67,B67))</f>
        <v/>
      </c>
      <c r="F67" s="198" t="str">
        <f t="shared" ca="1" si="10"/>
        <v/>
      </c>
      <c r="G67" s="198" t="str">
        <f t="shared" ca="1" si="11"/>
        <v/>
      </c>
      <c r="H67" s="198">
        <f t="shared" si="12"/>
        <v>66</v>
      </c>
      <c r="I67" s="198" t="str">
        <f ca="1">IF(OR(B67="",E67=1),"",A67-VLOOKUP(B67&amp;(E67-1),$G$2:H67,2,FALSE))</f>
        <v/>
      </c>
      <c r="J67" s="198" t="str">
        <f t="shared" ca="1" si="13"/>
        <v/>
      </c>
      <c r="K67" s="58" t="str">
        <f t="shared" ca="1" si="14"/>
        <v/>
      </c>
    </row>
    <row r="68" spans="1:11" x14ac:dyDescent="0.2">
      <c r="A68" s="196">
        <v>67</v>
      </c>
      <c r="B68" s="91" t="str">
        <f ca="1">IF(K68="","",IF('県体(12)'!$AE$12&gt;'県体(12)'!$AH$12,'県体(12)'!$N$14,IF('県体(12)'!$AH$12&gt;'県体(12)'!$AE$12,'県体(12)'!$AX$14,"")))</f>
        <v/>
      </c>
      <c r="C68" s="91" t="str">
        <f ca="1">IF(B68="","",LEFT(VLOOKUP(B68,県体学校名!$C$4:$F$15,2,FALSE),LEN(VLOOKUP(B68,県体学校名!$C$4:$F$15,2,FALSE))-1))</f>
        <v/>
      </c>
      <c r="D68" s="196" t="str">
        <f t="shared" ca="1" si="9"/>
        <v/>
      </c>
      <c r="E68" s="198" t="str">
        <f ca="1">IF(B68="","",COUNTIF($B$2:B68,B68))</f>
        <v/>
      </c>
      <c r="F68" s="198" t="str">
        <f t="shared" ca="1" si="10"/>
        <v/>
      </c>
      <c r="G68" s="198" t="str">
        <f t="shared" ca="1" si="11"/>
        <v/>
      </c>
      <c r="H68" s="198">
        <f t="shared" si="12"/>
        <v>67</v>
      </c>
      <c r="I68" s="198" t="str">
        <f ca="1">IF(OR(B68="",E68=1),"",A68-VLOOKUP(B68&amp;(E68-1),$G$2:H68,2,FALSE))</f>
        <v/>
      </c>
      <c r="J68" s="198" t="str">
        <f t="shared" ca="1" si="13"/>
        <v/>
      </c>
      <c r="K68" s="58" t="str">
        <f t="shared" ca="1" si="14"/>
        <v/>
      </c>
    </row>
    <row r="69" spans="1:11" x14ac:dyDescent="0.2">
      <c r="A69" s="196">
        <v>68</v>
      </c>
      <c r="B69" s="91" t="str">
        <f ca="1">IF(K69="","",IF('県体(12)'!$AE$12&gt;'県体(12)'!$AH$12,'県体(12)'!$N$14,IF('県体(12)'!$AH$12&gt;'県体(12)'!$AE$12,'県体(12)'!$AX$14,"")))</f>
        <v/>
      </c>
      <c r="C69" s="91" t="str">
        <f ca="1">IF(B69="","",LEFT(VLOOKUP(B69,県体学校名!$C$4:$F$15,2,FALSE),LEN(VLOOKUP(B69,県体学校名!$C$4:$F$15,2,FALSE))-1))</f>
        <v/>
      </c>
      <c r="D69" s="196" t="str">
        <f t="shared" ca="1" si="9"/>
        <v/>
      </c>
      <c r="E69" s="198" t="str">
        <f ca="1">IF(B69="","",COUNTIF($B$2:B69,B69))</f>
        <v/>
      </c>
      <c r="F69" s="198" t="str">
        <f t="shared" ca="1" si="10"/>
        <v/>
      </c>
      <c r="G69" s="198" t="str">
        <f t="shared" ca="1" si="11"/>
        <v/>
      </c>
      <c r="H69" s="198">
        <f t="shared" si="12"/>
        <v>68</v>
      </c>
      <c r="I69" s="198" t="str">
        <f ca="1">IF(OR(B69="",E69=1),"",A69-VLOOKUP(B69&amp;(E69-1),$G$2:H69,2,FALSE))</f>
        <v/>
      </c>
      <c r="J69" s="198" t="str">
        <f t="shared" ca="1" si="13"/>
        <v/>
      </c>
      <c r="K69" s="58" t="str">
        <f t="shared" ca="1" si="14"/>
        <v/>
      </c>
    </row>
    <row r="70" spans="1:11" x14ac:dyDescent="0.2">
      <c r="A70" s="196">
        <v>69</v>
      </c>
      <c r="B70" s="91" t="str">
        <f ca="1">IF(K70="","",IF('県体(12)'!$AE$12&gt;'県体(12)'!$AH$12,'県体(12)'!$N$14,IF('県体(12)'!$AH$12&gt;'県体(12)'!$AE$12,'県体(12)'!$AX$14,"")))</f>
        <v/>
      </c>
      <c r="C70" s="91" t="str">
        <f ca="1">IF(B70="","",LEFT(VLOOKUP(B70,県体学校名!$C$4:$F$15,2,FALSE),LEN(VLOOKUP(B70,県体学校名!$C$4:$F$15,2,FALSE))-1))</f>
        <v/>
      </c>
      <c r="D70" s="196" t="str">
        <f t="shared" ca="1" si="9"/>
        <v/>
      </c>
      <c r="E70" s="198" t="str">
        <f ca="1">IF(B70="","",COUNTIF($B$2:B70,B70))</f>
        <v/>
      </c>
      <c r="F70" s="198" t="str">
        <f t="shared" ca="1" si="10"/>
        <v/>
      </c>
      <c r="G70" s="198" t="str">
        <f t="shared" ca="1" si="11"/>
        <v/>
      </c>
      <c r="H70" s="198">
        <f t="shared" si="12"/>
        <v>69</v>
      </c>
      <c r="I70" s="198" t="str">
        <f ca="1">IF(OR(B70="",E70=1),"",A70-VLOOKUP(B70&amp;(E70-1),$G$2:H70,2,FALSE))</f>
        <v/>
      </c>
      <c r="J70" s="198" t="str">
        <f t="shared" ca="1" si="13"/>
        <v/>
      </c>
      <c r="K70" s="58" t="str">
        <f t="shared" ca="1" si="14"/>
        <v/>
      </c>
    </row>
    <row r="71" spans="1:11" x14ac:dyDescent="0.2">
      <c r="A71" s="196">
        <v>70</v>
      </c>
      <c r="B71" s="91" t="str">
        <f ca="1">IF(K71="","",IF('県体(12)'!$AE$12&gt;'県体(12)'!$AH$12,'県体(12)'!$N$14,IF('県体(12)'!$AH$12&gt;'県体(12)'!$AE$12,'県体(12)'!$AX$14,"")))</f>
        <v/>
      </c>
      <c r="C71" s="91" t="str">
        <f ca="1">IF(B71="","",LEFT(VLOOKUP(B71,県体学校名!$C$4:$F$15,2,FALSE),LEN(VLOOKUP(B71,県体学校名!$C$4:$F$15,2,FALSE))-1))</f>
        <v/>
      </c>
      <c r="D71" s="196" t="str">
        <f t="shared" ca="1" si="9"/>
        <v/>
      </c>
      <c r="E71" s="198" t="str">
        <f ca="1">IF(B71="","",COUNTIF($B$2:B71,B71))</f>
        <v/>
      </c>
      <c r="F71" s="198" t="str">
        <f t="shared" ca="1" si="10"/>
        <v/>
      </c>
      <c r="G71" s="198" t="str">
        <f t="shared" ca="1" si="11"/>
        <v/>
      </c>
      <c r="H71" s="198">
        <f t="shared" si="12"/>
        <v>70</v>
      </c>
      <c r="I71" s="198" t="str">
        <f ca="1">IF(OR(B71="",E71=1),"",A71-VLOOKUP(B71&amp;(E71-1),$G$2:H71,2,FALSE))</f>
        <v/>
      </c>
      <c r="J71" s="198" t="str">
        <f t="shared" ca="1" si="13"/>
        <v/>
      </c>
      <c r="K71" s="58" t="str">
        <f t="shared" ca="1" si="14"/>
        <v/>
      </c>
    </row>
    <row r="72" spans="1:11" x14ac:dyDescent="0.2">
      <c r="A72" s="196">
        <v>71</v>
      </c>
      <c r="B72" s="91" t="str">
        <f ca="1">IF(K72="","",IF('県体(12)'!$AE$12&gt;'県体(12)'!$AH$12,'県体(12)'!$N$14,IF('県体(12)'!$AH$12&gt;'県体(12)'!$AE$12,'県体(12)'!$AX$14,"")))</f>
        <v/>
      </c>
      <c r="C72" s="91" t="str">
        <f ca="1">IF(B72="","",LEFT(VLOOKUP(B72,県体学校名!$C$4:$F$15,2,FALSE),LEN(VLOOKUP(B72,県体学校名!$C$4:$F$15,2,FALSE))-1))</f>
        <v/>
      </c>
      <c r="D72" s="196" t="str">
        <f t="shared" ca="1" si="9"/>
        <v/>
      </c>
      <c r="E72" s="198" t="str">
        <f ca="1">IF(B72="","",COUNTIF($B$2:B72,B72))</f>
        <v/>
      </c>
      <c r="F72" s="198" t="str">
        <f t="shared" ca="1" si="10"/>
        <v/>
      </c>
      <c r="G72" s="198" t="str">
        <f t="shared" ca="1" si="11"/>
        <v/>
      </c>
      <c r="H72" s="198">
        <f t="shared" si="12"/>
        <v>71</v>
      </c>
      <c r="I72" s="198" t="str">
        <f ca="1">IF(OR(B72="",E72=1),"",A72-VLOOKUP(B72&amp;(E72-1),$G$2:H72,2,FALSE))</f>
        <v/>
      </c>
      <c r="J72" s="198" t="str">
        <f t="shared" ca="1" si="13"/>
        <v/>
      </c>
      <c r="K72" s="58" t="str">
        <f t="shared" ca="1" si="14"/>
        <v/>
      </c>
    </row>
    <row r="73" spans="1:11" x14ac:dyDescent="0.2">
      <c r="A73" s="196">
        <v>72</v>
      </c>
      <c r="B73" s="91" t="str">
        <f ca="1">IF(K73="","",IF('県体(12)'!$AE$12&gt;'県体(12)'!$AH$12,'県体(12)'!$N$14,IF('県体(12)'!$AH$12&gt;'県体(12)'!$AE$12,'県体(12)'!$AX$14,"")))</f>
        <v/>
      </c>
      <c r="C73" s="91" t="str">
        <f ca="1">IF(B73="","",LEFT(VLOOKUP(B73,県体学校名!$C$4:$F$15,2,FALSE),LEN(VLOOKUP(B73,県体学校名!$C$4:$F$15,2,FALSE))-1))</f>
        <v/>
      </c>
      <c r="D73" s="196" t="str">
        <f t="shared" ca="1" si="9"/>
        <v/>
      </c>
      <c r="E73" s="198" t="str">
        <f ca="1">IF(B73="","",COUNTIF($B$2:B73,B73))</f>
        <v/>
      </c>
      <c r="F73" s="198" t="str">
        <f t="shared" ca="1" si="10"/>
        <v/>
      </c>
      <c r="G73" s="198" t="str">
        <f t="shared" ca="1" si="11"/>
        <v/>
      </c>
      <c r="H73" s="198">
        <f t="shared" si="12"/>
        <v>72</v>
      </c>
      <c r="I73" s="198" t="str">
        <f ca="1">IF(OR(B73="",E73=1),"",A73-VLOOKUP(B73&amp;(E73-1),$G$2:H73,2,FALSE))</f>
        <v/>
      </c>
      <c r="J73" s="198" t="str">
        <f t="shared" ca="1" si="13"/>
        <v/>
      </c>
      <c r="K73" s="58" t="str">
        <f t="shared" ca="1" si="14"/>
        <v/>
      </c>
    </row>
    <row r="74" spans="1:11" x14ac:dyDescent="0.2">
      <c r="A74" s="196">
        <v>73</v>
      </c>
      <c r="B74" s="91" t="str">
        <f ca="1">IF(K74="","",IF('県体(12)'!$AE$12&gt;'県体(12)'!$AH$12,'県体(12)'!$N$14,IF('県体(12)'!$AH$12&gt;'県体(12)'!$AE$12,'県体(12)'!$AX$14,"")))</f>
        <v/>
      </c>
      <c r="C74" s="91" t="str">
        <f ca="1">IF(B74="","",LEFT(VLOOKUP(B74,県体学校名!$C$4:$F$15,2,FALSE),LEN(VLOOKUP(B74,県体学校名!$C$4:$F$15,2,FALSE))-1))</f>
        <v/>
      </c>
      <c r="D74" s="196" t="str">
        <f t="shared" ca="1" si="9"/>
        <v/>
      </c>
      <c r="E74" s="198" t="str">
        <f ca="1">IF(B74="","",COUNTIF($B$2:B74,B74))</f>
        <v/>
      </c>
      <c r="F74" s="198" t="str">
        <f t="shared" ca="1" si="10"/>
        <v/>
      </c>
      <c r="G74" s="198" t="str">
        <f t="shared" ca="1" si="11"/>
        <v/>
      </c>
      <c r="H74" s="198">
        <f t="shared" si="12"/>
        <v>73</v>
      </c>
      <c r="I74" s="198" t="str">
        <f ca="1">IF(OR(B74="",E74=1),"",A74-VLOOKUP(B74&amp;(E74-1),$G$2:H74,2,FALSE))</f>
        <v/>
      </c>
      <c r="J74" s="198" t="str">
        <f t="shared" ca="1" si="13"/>
        <v/>
      </c>
      <c r="K74" s="58" t="str">
        <f t="shared" ca="1" si="14"/>
        <v/>
      </c>
    </row>
    <row r="75" spans="1:11" x14ac:dyDescent="0.2">
      <c r="A75" s="196">
        <v>74</v>
      </c>
      <c r="B75" s="91" t="str">
        <f ca="1">IF(K75="","",IF('県体(12)'!$AE$12&gt;'県体(12)'!$AH$12,'県体(12)'!$N$14,IF('県体(12)'!$AH$12&gt;'県体(12)'!$AE$12,'県体(12)'!$AX$14,"")))</f>
        <v/>
      </c>
      <c r="C75" s="91" t="str">
        <f ca="1">IF(B75="","",LEFT(VLOOKUP(B75,県体学校名!$C$4:$F$15,2,FALSE),LEN(VLOOKUP(B75,県体学校名!$C$4:$F$15,2,FALSE))-1))</f>
        <v/>
      </c>
      <c r="D75" s="196" t="str">
        <f t="shared" ca="1" si="9"/>
        <v/>
      </c>
      <c r="E75" s="198" t="str">
        <f ca="1">IF(B75="","",COUNTIF($B$2:B75,B75))</f>
        <v/>
      </c>
      <c r="F75" s="198" t="str">
        <f t="shared" ca="1" si="10"/>
        <v/>
      </c>
      <c r="G75" s="198" t="str">
        <f t="shared" ca="1" si="11"/>
        <v/>
      </c>
      <c r="H75" s="198">
        <f t="shared" si="12"/>
        <v>74</v>
      </c>
      <c r="I75" s="198" t="str">
        <f ca="1">IF(OR(B75="",E75=1),"",A75-VLOOKUP(B75&amp;(E75-1),$G$2:H75,2,FALSE))</f>
        <v/>
      </c>
      <c r="J75" s="198" t="str">
        <f t="shared" ca="1" si="13"/>
        <v/>
      </c>
      <c r="K75" s="58" t="str">
        <f t="shared" ca="1" si="14"/>
        <v/>
      </c>
    </row>
    <row r="76" spans="1:11" x14ac:dyDescent="0.2">
      <c r="A76" s="196">
        <v>75</v>
      </c>
      <c r="B76" s="91" t="str">
        <f ca="1">IF(K76="","",IF('県体(12)'!$AE$12&gt;'県体(12)'!$AH$12,'県体(12)'!$N$14,IF('県体(12)'!$AH$12&gt;'県体(12)'!$AE$12,'県体(12)'!$AX$14,"")))</f>
        <v/>
      </c>
      <c r="C76" s="91" t="str">
        <f ca="1">IF(B76="","",LEFT(VLOOKUP(B76,県体学校名!$C$4:$F$15,2,FALSE),LEN(VLOOKUP(B76,県体学校名!$C$4:$F$15,2,FALSE))-1))</f>
        <v/>
      </c>
      <c r="D76" s="196" t="str">
        <f t="shared" ca="1" si="9"/>
        <v/>
      </c>
      <c r="E76" s="198" t="str">
        <f ca="1">IF(B76="","",COUNTIF($B$2:B76,B76))</f>
        <v/>
      </c>
      <c r="F76" s="198" t="str">
        <f t="shared" ca="1" si="10"/>
        <v/>
      </c>
      <c r="G76" s="198" t="str">
        <f t="shared" ca="1" si="11"/>
        <v/>
      </c>
      <c r="H76" s="198">
        <f t="shared" si="12"/>
        <v>75</v>
      </c>
      <c r="I76" s="198" t="str">
        <f ca="1">IF(OR(B76="",E76=1),"",A76-VLOOKUP(B76&amp;(E76-1),$G$2:H76,2,FALSE))</f>
        <v/>
      </c>
      <c r="J76" s="198" t="str">
        <f t="shared" ca="1" si="13"/>
        <v/>
      </c>
      <c r="K76" s="58" t="str">
        <f t="shared" ca="1" si="14"/>
        <v/>
      </c>
    </row>
    <row r="77" spans="1:11" x14ac:dyDescent="0.2">
      <c r="A77" s="196">
        <v>76</v>
      </c>
      <c r="B77" s="91" t="str">
        <f ca="1">IF(K77="","",IF('県体(12)'!$AE$12&gt;'県体(12)'!$AH$12,'県体(12)'!$N$14,IF('県体(12)'!$AH$12&gt;'県体(12)'!$AE$12,'県体(12)'!$AX$14,"")))</f>
        <v/>
      </c>
      <c r="C77" s="91" t="str">
        <f ca="1">IF(B77="","",LEFT(VLOOKUP(B77,県体学校名!$C$4:$F$15,2,FALSE),LEN(VLOOKUP(B77,県体学校名!$C$4:$F$15,2,FALSE))-1))</f>
        <v/>
      </c>
      <c r="D77" s="196" t="str">
        <f t="shared" ca="1" si="9"/>
        <v/>
      </c>
      <c r="E77" s="198" t="str">
        <f ca="1">IF(B77="","",COUNTIF($B$2:B77,B77))</f>
        <v/>
      </c>
      <c r="F77" s="198" t="str">
        <f t="shared" ca="1" si="10"/>
        <v/>
      </c>
      <c r="G77" s="198" t="str">
        <f t="shared" ca="1" si="11"/>
        <v/>
      </c>
      <c r="H77" s="198">
        <f t="shared" si="12"/>
        <v>76</v>
      </c>
      <c r="I77" s="198" t="str">
        <f ca="1">IF(OR(B77="",E77=1),"",A77-VLOOKUP(B77&amp;(E77-1),$G$2:H77,2,FALSE))</f>
        <v/>
      </c>
      <c r="J77" s="198" t="str">
        <f t="shared" ca="1" si="13"/>
        <v/>
      </c>
      <c r="K77" s="58" t="str">
        <f t="shared" ca="1" si="14"/>
        <v/>
      </c>
    </row>
    <row r="78" spans="1:11" x14ac:dyDescent="0.2">
      <c r="A78" s="196">
        <v>77</v>
      </c>
      <c r="B78" s="91" t="str">
        <f ca="1">IF(K78="","",IF('県体(12)'!$AE$12&gt;'県体(12)'!$AH$12,'県体(12)'!$N$14,IF('県体(12)'!$AH$12&gt;'県体(12)'!$AE$12,'県体(12)'!$AX$14,"")))</f>
        <v/>
      </c>
      <c r="C78" s="91" t="str">
        <f ca="1">IF(B78="","",LEFT(VLOOKUP(B78,県体学校名!$C$4:$F$15,2,FALSE),LEN(VLOOKUP(B78,県体学校名!$C$4:$F$15,2,FALSE))-1))</f>
        <v/>
      </c>
      <c r="D78" s="196" t="str">
        <f t="shared" ca="1" si="9"/>
        <v/>
      </c>
      <c r="E78" s="198" t="str">
        <f ca="1">IF(B78="","",COUNTIF($B$2:B78,B78))</f>
        <v/>
      </c>
      <c r="F78" s="198" t="str">
        <f t="shared" ca="1" si="10"/>
        <v/>
      </c>
      <c r="G78" s="198" t="str">
        <f t="shared" ca="1" si="11"/>
        <v/>
      </c>
      <c r="H78" s="198">
        <f t="shared" si="12"/>
        <v>77</v>
      </c>
      <c r="I78" s="198" t="str">
        <f ca="1">IF(OR(B78="",E78=1),"",A78-VLOOKUP(B78&amp;(E78-1),$G$2:H78,2,FALSE))</f>
        <v/>
      </c>
      <c r="J78" s="198" t="str">
        <f t="shared" ca="1" si="13"/>
        <v/>
      </c>
      <c r="K78" s="58" t="str">
        <f t="shared" ca="1" si="14"/>
        <v/>
      </c>
    </row>
    <row r="79" spans="1:11" x14ac:dyDescent="0.2">
      <c r="A79" s="196">
        <v>78</v>
      </c>
      <c r="B79" s="91" t="str">
        <f ca="1">IF(K79="","",IF('県体(12)'!$AE$12&gt;'県体(12)'!$AH$12,'県体(12)'!$N$14,IF('県体(12)'!$AH$12&gt;'県体(12)'!$AE$12,'県体(12)'!$AX$14,"")))</f>
        <v/>
      </c>
      <c r="C79" s="91" t="str">
        <f ca="1">IF(B79="","",LEFT(VLOOKUP(B79,県体学校名!$C$4:$F$15,2,FALSE),LEN(VLOOKUP(B79,県体学校名!$C$4:$F$15,2,FALSE))-1))</f>
        <v/>
      </c>
      <c r="D79" s="196" t="str">
        <f t="shared" ca="1" si="9"/>
        <v/>
      </c>
      <c r="E79" s="198" t="str">
        <f ca="1">IF(B79="","",COUNTIF($B$2:B79,B79))</f>
        <v/>
      </c>
      <c r="F79" s="198" t="str">
        <f t="shared" ca="1" si="10"/>
        <v/>
      </c>
      <c r="G79" s="198" t="str">
        <f t="shared" ca="1" si="11"/>
        <v/>
      </c>
      <c r="H79" s="198">
        <f t="shared" si="12"/>
        <v>78</v>
      </c>
      <c r="I79" s="198" t="str">
        <f ca="1">IF(OR(B79="",E79=1),"",A79-VLOOKUP(B79&amp;(E79-1),$G$2:H79,2,FALSE))</f>
        <v/>
      </c>
      <c r="J79" s="198" t="str">
        <f t="shared" ca="1" si="13"/>
        <v/>
      </c>
      <c r="K79" s="58" t="str">
        <f t="shared" ca="1" si="14"/>
        <v/>
      </c>
    </row>
    <row r="80" spans="1:11" x14ac:dyDescent="0.2">
      <c r="A80" s="196">
        <v>79</v>
      </c>
      <c r="B80" s="91" t="str">
        <f ca="1">IF(K80="","",IF('県体(12)'!$AE$12&gt;'県体(12)'!$AH$12,'県体(12)'!$N$14,IF('県体(12)'!$AH$12&gt;'県体(12)'!$AE$12,'県体(12)'!$AX$14,"")))</f>
        <v/>
      </c>
      <c r="C80" s="91" t="str">
        <f ca="1">IF(B80="","",LEFT(VLOOKUP(B80,県体学校名!$C$4:$F$15,2,FALSE),LEN(VLOOKUP(B80,県体学校名!$C$4:$F$15,2,FALSE))-1))</f>
        <v/>
      </c>
      <c r="D80" s="196" t="str">
        <f t="shared" ca="1" si="9"/>
        <v/>
      </c>
      <c r="E80" s="198" t="str">
        <f ca="1">IF(B80="","",COUNTIF($B$2:B80,B80))</f>
        <v/>
      </c>
      <c r="F80" s="198" t="str">
        <f t="shared" ca="1" si="10"/>
        <v/>
      </c>
      <c r="G80" s="198" t="str">
        <f t="shared" ca="1" si="11"/>
        <v/>
      </c>
      <c r="H80" s="198">
        <f t="shared" si="12"/>
        <v>79</v>
      </c>
      <c r="I80" s="198" t="str">
        <f ca="1">IF(OR(B80="",E80=1),"",A80-VLOOKUP(B80&amp;(E80-1),$G$2:H80,2,FALSE))</f>
        <v/>
      </c>
      <c r="J80" s="198" t="str">
        <f t="shared" ca="1" si="13"/>
        <v/>
      </c>
      <c r="K80" s="58" t="str">
        <f t="shared" ca="1" si="14"/>
        <v/>
      </c>
    </row>
    <row r="81" spans="1:11" x14ac:dyDescent="0.2">
      <c r="A81" s="196">
        <v>80</v>
      </c>
      <c r="B81" s="91" t="str">
        <f ca="1">IF(K81="","",IF('県体(12)'!$AE$12&gt;'県体(12)'!$AH$12,'県体(12)'!$N$14,IF('県体(12)'!$AH$12&gt;'県体(12)'!$AE$12,'県体(12)'!$AX$14,"")))</f>
        <v/>
      </c>
      <c r="C81" s="91" t="str">
        <f ca="1">IF(B81="","",LEFT(VLOOKUP(B81,県体学校名!$C$4:$F$15,2,FALSE),LEN(VLOOKUP(B81,県体学校名!$C$4:$F$15,2,FALSE))-1))</f>
        <v/>
      </c>
      <c r="D81" s="196" t="str">
        <f t="shared" ca="1" si="9"/>
        <v/>
      </c>
      <c r="E81" s="198" t="str">
        <f ca="1">IF(B81="","",COUNTIF($B$2:B81,B81))</f>
        <v/>
      </c>
      <c r="F81" s="198" t="str">
        <f t="shared" ca="1" si="10"/>
        <v/>
      </c>
      <c r="G81" s="198" t="str">
        <f t="shared" ca="1" si="11"/>
        <v/>
      </c>
      <c r="H81" s="198">
        <f t="shared" si="12"/>
        <v>80</v>
      </c>
      <c r="I81" s="198" t="str">
        <f ca="1">IF(OR(B81="",E81=1),"",A81-VLOOKUP(B81&amp;(E81-1),$G$2:H81,2,FALSE))</f>
        <v/>
      </c>
      <c r="J81" s="198" t="str">
        <f t="shared" ca="1" si="13"/>
        <v/>
      </c>
      <c r="K81" s="58" t="str">
        <f t="shared" ca="1" si="14"/>
        <v/>
      </c>
    </row>
    <row r="82" spans="1:11" x14ac:dyDescent="0.2">
      <c r="A82" s="196">
        <v>81</v>
      </c>
      <c r="B82" s="91" t="str">
        <f ca="1">IF(K82="","",IF('県体(12)'!$AE$12&gt;'県体(12)'!$AH$12,'県体(12)'!$N$14,IF('県体(12)'!$AH$12&gt;'県体(12)'!$AE$12,'県体(12)'!$AX$14,"")))</f>
        <v/>
      </c>
      <c r="C82" s="91" t="str">
        <f ca="1">IF(B82="","",LEFT(VLOOKUP(B82,県体学校名!$C$4:$F$15,2,FALSE),LEN(VLOOKUP(B82,県体学校名!$C$4:$F$15,2,FALSE))-1))</f>
        <v/>
      </c>
      <c r="D82" s="196" t="str">
        <f t="shared" ca="1" si="9"/>
        <v/>
      </c>
      <c r="E82" s="198" t="str">
        <f ca="1">IF(B82="","",COUNTIF($B$2:B82,B82))</f>
        <v/>
      </c>
      <c r="F82" s="198" t="str">
        <f t="shared" ca="1" si="10"/>
        <v/>
      </c>
      <c r="G82" s="198" t="str">
        <f t="shared" ca="1" si="11"/>
        <v/>
      </c>
      <c r="H82" s="198">
        <f t="shared" si="12"/>
        <v>81</v>
      </c>
      <c r="I82" s="198" t="str">
        <f ca="1">IF(OR(B82="",E82=1),"",A82-VLOOKUP(B82&amp;(E82-1),$G$2:H82,2,FALSE))</f>
        <v/>
      </c>
      <c r="J82" s="198" t="str">
        <f t="shared" ca="1" si="13"/>
        <v/>
      </c>
      <c r="K82" s="58" t="str">
        <f t="shared" ca="1" si="14"/>
        <v/>
      </c>
    </row>
    <row r="83" spans="1:11" x14ac:dyDescent="0.2">
      <c r="A83" s="196">
        <v>82</v>
      </c>
      <c r="B83" s="91" t="str">
        <f ca="1">IF(K83="","",IF('県体(12)'!$AE$12&gt;'県体(12)'!$AH$12,'県体(12)'!$N$14,IF('県体(12)'!$AH$12&gt;'県体(12)'!$AE$12,'県体(12)'!$AX$14,"")))</f>
        <v/>
      </c>
      <c r="C83" s="91" t="str">
        <f ca="1">IF(B83="","",LEFT(VLOOKUP(B83,県体学校名!$C$4:$F$15,2,FALSE),LEN(VLOOKUP(B83,県体学校名!$C$4:$F$15,2,FALSE))-1))</f>
        <v/>
      </c>
      <c r="D83" s="196" t="str">
        <f t="shared" ca="1" si="9"/>
        <v/>
      </c>
      <c r="E83" s="198" t="str">
        <f ca="1">IF(B83="","",COUNTIF($B$2:B83,B83))</f>
        <v/>
      </c>
      <c r="F83" s="198" t="str">
        <f t="shared" ca="1" si="10"/>
        <v/>
      </c>
      <c r="G83" s="198" t="str">
        <f t="shared" ca="1" si="11"/>
        <v/>
      </c>
      <c r="H83" s="198">
        <f t="shared" si="12"/>
        <v>82</v>
      </c>
      <c r="I83" s="198" t="str">
        <f ca="1">IF(OR(B83="",E83=1),"",A83-VLOOKUP(B83&amp;(E83-1),$G$2:H83,2,FALSE))</f>
        <v/>
      </c>
      <c r="J83" s="198" t="str">
        <f t="shared" ca="1" si="13"/>
        <v/>
      </c>
      <c r="K83" s="58" t="str">
        <f t="shared" ca="1" si="14"/>
        <v/>
      </c>
    </row>
    <row r="84" spans="1:11" x14ac:dyDescent="0.2">
      <c r="A84" s="196">
        <v>83</v>
      </c>
      <c r="B84" s="91" t="str">
        <f ca="1">IF(K84="","",IF('県体(12)'!$AE$12&gt;'県体(12)'!$AH$12,'県体(12)'!$N$14,IF('県体(12)'!$AH$12&gt;'県体(12)'!$AE$12,'県体(12)'!$AX$14,"")))</f>
        <v/>
      </c>
      <c r="C84" s="91" t="str">
        <f ca="1">IF(B84="","",LEFT(VLOOKUP(B84,県体学校名!$C$4:$F$15,2,FALSE),LEN(VLOOKUP(B84,県体学校名!$C$4:$F$15,2,FALSE))-1))</f>
        <v/>
      </c>
      <c r="D84" s="196" t="str">
        <f t="shared" ca="1" si="9"/>
        <v/>
      </c>
      <c r="E84" s="198" t="str">
        <f ca="1">IF(B84="","",COUNTIF($B$2:B84,B84))</f>
        <v/>
      </c>
      <c r="F84" s="198" t="str">
        <f t="shared" ca="1" si="10"/>
        <v/>
      </c>
      <c r="G84" s="198" t="str">
        <f t="shared" ca="1" si="11"/>
        <v/>
      </c>
      <c r="H84" s="198">
        <f t="shared" si="12"/>
        <v>83</v>
      </c>
      <c r="I84" s="198" t="str">
        <f ca="1">IF(OR(B84="",E84=1),"",A84-VLOOKUP(B84&amp;(E84-1),$G$2:H84,2,FALSE))</f>
        <v/>
      </c>
      <c r="J84" s="198" t="str">
        <f t="shared" ca="1" si="13"/>
        <v/>
      </c>
      <c r="K84" s="58" t="str">
        <f t="shared" ca="1" si="14"/>
        <v/>
      </c>
    </row>
    <row r="85" spans="1:11" x14ac:dyDescent="0.2">
      <c r="A85" s="196">
        <v>84</v>
      </c>
      <c r="B85" s="91" t="str">
        <f ca="1">IF(K85="","",IF('県体(12)'!$AE$12&gt;'県体(12)'!$AH$12,'県体(12)'!$N$14,IF('県体(12)'!$AH$12&gt;'県体(12)'!$AE$12,'県体(12)'!$AX$14,"")))</f>
        <v/>
      </c>
      <c r="C85" s="91" t="str">
        <f ca="1">IF(B85="","",LEFT(VLOOKUP(B85,県体学校名!$C$4:$F$15,2,FALSE),LEN(VLOOKUP(B85,県体学校名!$C$4:$F$15,2,FALSE))-1))</f>
        <v/>
      </c>
      <c r="D85" s="196" t="str">
        <f t="shared" ca="1" si="9"/>
        <v/>
      </c>
      <c r="E85" s="198" t="str">
        <f ca="1">IF(B85="","",COUNTIF($B$2:B85,B85))</f>
        <v/>
      </c>
      <c r="F85" s="198" t="str">
        <f t="shared" ca="1" si="10"/>
        <v/>
      </c>
      <c r="G85" s="198" t="str">
        <f t="shared" ca="1" si="11"/>
        <v/>
      </c>
      <c r="H85" s="198">
        <f t="shared" si="12"/>
        <v>84</v>
      </c>
      <c r="I85" s="198" t="str">
        <f ca="1">IF(OR(B85="",E85=1),"",A85-VLOOKUP(B85&amp;(E85-1),$G$2:H85,2,FALSE))</f>
        <v/>
      </c>
      <c r="J85" s="198" t="str">
        <f t="shared" ca="1" si="13"/>
        <v/>
      </c>
      <c r="K85" s="58" t="str">
        <f t="shared" ca="1" si="14"/>
        <v/>
      </c>
    </row>
    <row r="86" spans="1:11" x14ac:dyDescent="0.2">
      <c r="A86" s="196">
        <v>85</v>
      </c>
      <c r="B86" s="91" t="str">
        <f ca="1">IF(K86="","",IF('県体(12)'!$AE$12&gt;'県体(12)'!$AH$12,'県体(12)'!$N$14,IF('県体(12)'!$AH$12&gt;'県体(12)'!$AE$12,'県体(12)'!$AX$14,"")))</f>
        <v/>
      </c>
      <c r="C86" s="91" t="str">
        <f ca="1">IF(B86="","",LEFT(VLOOKUP(B86,県体学校名!$C$4:$F$15,2,FALSE),LEN(VLOOKUP(B86,県体学校名!$C$4:$F$15,2,FALSE))-1))</f>
        <v/>
      </c>
      <c r="D86" s="196" t="str">
        <f t="shared" ca="1" si="9"/>
        <v/>
      </c>
      <c r="E86" s="198" t="str">
        <f ca="1">IF(B86="","",COUNTIF($B$2:B86,B86))</f>
        <v/>
      </c>
      <c r="F86" s="198" t="str">
        <f t="shared" ca="1" si="10"/>
        <v/>
      </c>
      <c r="G86" s="198" t="str">
        <f t="shared" ca="1" si="11"/>
        <v/>
      </c>
      <c r="H86" s="198">
        <f t="shared" si="12"/>
        <v>85</v>
      </c>
      <c r="I86" s="198" t="str">
        <f ca="1">IF(OR(B86="",E86=1),"",A86-VLOOKUP(B86&amp;(E86-1),$G$2:H86,2,FALSE))</f>
        <v/>
      </c>
      <c r="J86" s="198" t="str">
        <f t="shared" ca="1" si="13"/>
        <v/>
      </c>
      <c r="K86" s="58" t="str">
        <f t="shared" ca="1" si="14"/>
        <v/>
      </c>
    </row>
    <row r="87" spans="1:11" x14ac:dyDescent="0.2">
      <c r="A87" s="196">
        <v>86</v>
      </c>
      <c r="B87" s="91" t="str">
        <f ca="1">IF(K87="","",IF('県体(12)'!$AE$12&gt;'県体(12)'!$AH$12,'県体(12)'!$N$14,IF('県体(12)'!$AH$12&gt;'県体(12)'!$AE$12,'県体(12)'!$AX$14,"")))</f>
        <v/>
      </c>
      <c r="C87" s="91" t="str">
        <f ca="1">IF(B87="","",LEFT(VLOOKUP(B87,県体学校名!$C$4:$F$15,2,FALSE),LEN(VLOOKUP(B87,県体学校名!$C$4:$F$15,2,FALSE))-1))</f>
        <v/>
      </c>
      <c r="D87" s="196" t="str">
        <f t="shared" ca="1" si="9"/>
        <v/>
      </c>
      <c r="E87" s="198" t="str">
        <f ca="1">IF(B87="","",COUNTIF($B$2:B87,B87))</f>
        <v/>
      </c>
      <c r="F87" s="198" t="str">
        <f t="shared" ca="1" si="10"/>
        <v/>
      </c>
      <c r="G87" s="198" t="str">
        <f t="shared" ca="1" si="11"/>
        <v/>
      </c>
      <c r="H87" s="198">
        <f t="shared" si="12"/>
        <v>86</v>
      </c>
      <c r="I87" s="198" t="str">
        <f ca="1">IF(OR(B87="",E87=1),"",A87-VLOOKUP(B87&amp;(E87-1),$G$2:H87,2,FALSE))</f>
        <v/>
      </c>
      <c r="J87" s="198" t="str">
        <f t="shared" ca="1" si="13"/>
        <v/>
      </c>
      <c r="K87" s="58" t="str">
        <f t="shared" ca="1" si="14"/>
        <v/>
      </c>
    </row>
    <row r="88" spans="1:11" x14ac:dyDescent="0.2">
      <c r="A88" s="196">
        <v>87</v>
      </c>
      <c r="B88" s="91" t="str">
        <f ca="1">IF(K88="","",IF('県体(12)'!$AE$12&gt;'県体(12)'!$AH$12,'県体(12)'!$N$14,IF('県体(12)'!$AH$12&gt;'県体(12)'!$AE$12,'県体(12)'!$AX$14,"")))</f>
        <v/>
      </c>
      <c r="C88" s="91" t="str">
        <f ca="1">IF(B88="","",LEFT(VLOOKUP(B88,県体学校名!$C$4:$F$15,2,FALSE),LEN(VLOOKUP(B88,県体学校名!$C$4:$F$15,2,FALSE))-1))</f>
        <v/>
      </c>
      <c r="D88" s="196" t="str">
        <f t="shared" ca="1" si="9"/>
        <v/>
      </c>
      <c r="E88" s="198" t="str">
        <f ca="1">IF(B88="","",COUNTIF($B$2:B88,B88))</f>
        <v/>
      </c>
      <c r="F88" s="198" t="str">
        <f t="shared" ca="1" si="10"/>
        <v/>
      </c>
      <c r="G88" s="198" t="str">
        <f t="shared" ca="1" si="11"/>
        <v/>
      </c>
      <c r="H88" s="198">
        <f t="shared" si="12"/>
        <v>87</v>
      </c>
      <c r="I88" s="198" t="str">
        <f ca="1">IF(OR(B88="",E88=1),"",A88-VLOOKUP(B88&amp;(E88-1),$G$2:H88,2,FALSE))</f>
        <v/>
      </c>
      <c r="J88" s="198" t="str">
        <f t="shared" ca="1" si="13"/>
        <v/>
      </c>
      <c r="K88" s="58" t="str">
        <f t="shared" ca="1" si="14"/>
        <v/>
      </c>
    </row>
    <row r="89" spans="1:11" x14ac:dyDescent="0.2">
      <c r="A89" s="196">
        <v>88</v>
      </c>
      <c r="B89" s="91" t="str">
        <f ca="1">IF(K89="","",IF('県体(12)'!$AE$12&gt;'県体(12)'!$AH$12,'県体(12)'!$N$14,IF('県体(12)'!$AH$12&gt;'県体(12)'!$AE$12,'県体(12)'!$AX$14,"")))</f>
        <v/>
      </c>
      <c r="C89" s="91" t="str">
        <f ca="1">IF(B89="","",LEFT(VLOOKUP(B89,県体学校名!$C$4:$F$15,2,FALSE),LEN(VLOOKUP(B89,県体学校名!$C$4:$F$15,2,FALSE))-1))</f>
        <v/>
      </c>
      <c r="D89" s="196" t="str">
        <f t="shared" ca="1" si="9"/>
        <v/>
      </c>
      <c r="E89" s="198" t="str">
        <f ca="1">IF(B89="","",COUNTIF($B$2:B89,B89))</f>
        <v/>
      </c>
      <c r="F89" s="198" t="str">
        <f t="shared" ca="1" si="10"/>
        <v/>
      </c>
      <c r="G89" s="198" t="str">
        <f t="shared" ca="1" si="11"/>
        <v/>
      </c>
      <c r="H89" s="198">
        <f t="shared" si="12"/>
        <v>88</v>
      </c>
      <c r="I89" s="198" t="str">
        <f ca="1">IF(OR(B89="",E89=1),"",A89-VLOOKUP(B89&amp;(E89-1),$G$2:H89,2,FALSE))</f>
        <v/>
      </c>
      <c r="J89" s="198" t="str">
        <f t="shared" ca="1" si="13"/>
        <v/>
      </c>
      <c r="K89" s="58" t="str">
        <f t="shared" ca="1" si="14"/>
        <v/>
      </c>
    </row>
    <row r="90" spans="1:11" x14ac:dyDescent="0.2">
      <c r="A90" s="196">
        <v>89</v>
      </c>
      <c r="B90" s="91" t="str">
        <f ca="1">IF(K90="","",IF('県体(12)'!$AE$12&gt;'県体(12)'!$AH$12,'県体(12)'!$N$14,IF('県体(12)'!$AH$12&gt;'県体(12)'!$AE$12,'県体(12)'!$AX$14,"")))</f>
        <v/>
      </c>
      <c r="C90" s="91" t="str">
        <f ca="1">IF(B90="","",LEFT(VLOOKUP(B90,県体学校名!$C$4:$F$15,2,FALSE),LEN(VLOOKUP(B90,県体学校名!$C$4:$F$15,2,FALSE))-1))</f>
        <v/>
      </c>
      <c r="D90" s="196" t="str">
        <f t="shared" ca="1" si="9"/>
        <v/>
      </c>
      <c r="E90" s="198" t="str">
        <f ca="1">IF(B90="","",COUNTIF($B$2:B90,B90))</f>
        <v/>
      </c>
      <c r="F90" s="198" t="str">
        <f t="shared" ca="1" si="10"/>
        <v/>
      </c>
      <c r="G90" s="198" t="str">
        <f t="shared" ca="1" si="11"/>
        <v/>
      </c>
      <c r="H90" s="198">
        <f t="shared" si="12"/>
        <v>89</v>
      </c>
      <c r="I90" s="198" t="str">
        <f ca="1">IF(OR(B90="",E90=1),"",A90-VLOOKUP(B90&amp;(E90-1),$G$2:H90,2,FALSE))</f>
        <v/>
      </c>
      <c r="J90" s="198" t="str">
        <f t="shared" ca="1" si="13"/>
        <v/>
      </c>
      <c r="K90" s="58" t="str">
        <f t="shared" ca="1" si="14"/>
        <v/>
      </c>
    </row>
    <row r="91" spans="1:11" x14ac:dyDescent="0.2">
      <c r="A91" s="196">
        <v>90</v>
      </c>
      <c r="B91" s="91" t="str">
        <f ca="1">IF(K91="","",IF('県体(12)'!$AE$12&gt;'県体(12)'!$AH$12,'県体(12)'!$N$14,IF('県体(12)'!$AH$12&gt;'県体(12)'!$AE$12,'県体(12)'!$AX$14,"")))</f>
        <v/>
      </c>
      <c r="C91" s="91" t="str">
        <f ca="1">IF(B91="","",LEFT(VLOOKUP(B91,県体学校名!$C$4:$F$15,2,FALSE),LEN(VLOOKUP(B91,県体学校名!$C$4:$F$15,2,FALSE))-1))</f>
        <v/>
      </c>
      <c r="D91" s="196" t="str">
        <f t="shared" ca="1" si="9"/>
        <v/>
      </c>
      <c r="E91" s="198" t="str">
        <f ca="1">IF(B91="","",COUNTIF($B$2:B91,B91))</f>
        <v/>
      </c>
      <c r="F91" s="198" t="str">
        <f t="shared" ca="1" si="10"/>
        <v/>
      </c>
      <c r="G91" s="198" t="str">
        <f t="shared" ca="1" si="11"/>
        <v/>
      </c>
      <c r="H91" s="198">
        <f t="shared" si="12"/>
        <v>90</v>
      </c>
      <c r="I91" s="198" t="str">
        <f ca="1">IF(OR(B91="",E91=1),"",A91-VLOOKUP(B91&amp;(E91-1),$G$2:H91,2,FALSE))</f>
        <v/>
      </c>
      <c r="J91" s="198" t="str">
        <f t="shared" ca="1" si="13"/>
        <v/>
      </c>
      <c r="K91" s="58" t="str">
        <f t="shared" ca="1" si="14"/>
        <v/>
      </c>
    </row>
    <row r="92" spans="1:11" x14ac:dyDescent="0.2">
      <c r="A92" s="196">
        <v>91</v>
      </c>
      <c r="B92" s="91" t="str">
        <f ca="1">IF(K92="","",IF('県体(12)'!$AE$12&gt;'県体(12)'!$AH$12,'県体(12)'!$N$14,IF('県体(12)'!$AH$12&gt;'県体(12)'!$AE$12,'県体(12)'!$AX$14,"")))</f>
        <v/>
      </c>
      <c r="C92" s="91" t="str">
        <f ca="1">IF(B92="","",LEFT(VLOOKUP(B92,県体学校名!$C$4:$F$15,2,FALSE),LEN(VLOOKUP(B92,県体学校名!$C$4:$F$15,2,FALSE))-1))</f>
        <v/>
      </c>
      <c r="D92" s="196" t="str">
        <f t="shared" ca="1" si="9"/>
        <v/>
      </c>
      <c r="E92" s="198" t="str">
        <f ca="1">IF(B92="","",COUNTIF($B$2:B92,B92))</f>
        <v/>
      </c>
      <c r="F92" s="198" t="str">
        <f t="shared" ca="1" si="10"/>
        <v/>
      </c>
      <c r="G92" s="198" t="str">
        <f t="shared" ca="1" si="11"/>
        <v/>
      </c>
      <c r="H92" s="198">
        <f t="shared" si="12"/>
        <v>91</v>
      </c>
      <c r="I92" s="198" t="str">
        <f ca="1">IF(OR(B92="",E92=1),"",A92-VLOOKUP(B92&amp;(E92-1),$G$2:H92,2,FALSE))</f>
        <v/>
      </c>
      <c r="J92" s="198" t="str">
        <f t="shared" ca="1" si="13"/>
        <v/>
      </c>
      <c r="K92" s="58" t="str">
        <f t="shared" ca="1" si="14"/>
        <v/>
      </c>
    </row>
    <row r="93" spans="1:11" x14ac:dyDescent="0.2">
      <c r="A93" s="196">
        <v>92</v>
      </c>
      <c r="B93" s="91" t="str">
        <f ca="1">IF(K93="","",IF('県体(12)'!$AE$12&gt;'県体(12)'!$AH$12,'県体(12)'!$N$14,IF('県体(12)'!$AH$12&gt;'県体(12)'!$AE$12,'県体(12)'!$AX$14,"")))</f>
        <v/>
      </c>
      <c r="C93" s="91" t="str">
        <f ca="1">IF(B93="","",LEFT(VLOOKUP(B93,県体学校名!$C$4:$F$15,2,FALSE),LEN(VLOOKUP(B93,県体学校名!$C$4:$F$15,2,FALSE))-1))</f>
        <v/>
      </c>
      <c r="D93" s="196" t="str">
        <f t="shared" ca="1" si="9"/>
        <v/>
      </c>
      <c r="E93" s="198" t="str">
        <f ca="1">IF(B93="","",COUNTIF($B$2:B93,B93))</f>
        <v/>
      </c>
      <c r="F93" s="198" t="str">
        <f t="shared" ca="1" si="10"/>
        <v/>
      </c>
      <c r="G93" s="198" t="str">
        <f t="shared" ca="1" si="11"/>
        <v/>
      </c>
      <c r="H93" s="198">
        <f t="shared" si="12"/>
        <v>92</v>
      </c>
      <c r="I93" s="198" t="str">
        <f ca="1">IF(OR(B93="",E93=1),"",A93-VLOOKUP(B93&amp;(E93-1),$G$2:H93,2,FALSE))</f>
        <v/>
      </c>
      <c r="J93" s="198" t="str">
        <f t="shared" ca="1" si="13"/>
        <v/>
      </c>
      <c r="K93" s="58" t="str">
        <f t="shared" ca="1" si="14"/>
        <v/>
      </c>
    </row>
    <row r="94" spans="1:11" x14ac:dyDescent="0.2">
      <c r="A94" s="196">
        <v>93</v>
      </c>
      <c r="B94" s="91" t="str">
        <f ca="1">IF(K94="","",IF('県体(12)'!$AE$12&gt;'県体(12)'!$AH$12,'県体(12)'!$N$14,IF('県体(12)'!$AH$12&gt;'県体(12)'!$AE$12,'県体(12)'!$AX$14,"")))</f>
        <v/>
      </c>
      <c r="C94" s="91" t="str">
        <f ca="1">IF(B94="","",LEFT(VLOOKUP(B94,県体学校名!$C$4:$F$15,2,FALSE),LEN(VLOOKUP(B94,県体学校名!$C$4:$F$15,2,FALSE))-1))</f>
        <v/>
      </c>
      <c r="D94" s="196" t="str">
        <f t="shared" ca="1" si="9"/>
        <v/>
      </c>
      <c r="E94" s="198" t="str">
        <f ca="1">IF(B94="","",COUNTIF($B$2:B94,B94))</f>
        <v/>
      </c>
      <c r="F94" s="198" t="str">
        <f t="shared" ca="1" si="10"/>
        <v/>
      </c>
      <c r="G94" s="198" t="str">
        <f t="shared" ca="1" si="11"/>
        <v/>
      </c>
      <c r="H94" s="198">
        <f t="shared" si="12"/>
        <v>93</v>
      </c>
      <c r="I94" s="198" t="str">
        <f ca="1">IF(OR(B94="",E94=1),"",A94-VLOOKUP(B94&amp;(E94-1),$G$2:H94,2,FALSE))</f>
        <v/>
      </c>
      <c r="J94" s="198" t="str">
        <f t="shared" ca="1" si="13"/>
        <v/>
      </c>
      <c r="K94" s="58" t="str">
        <f t="shared" ca="1" si="14"/>
        <v/>
      </c>
    </row>
    <row r="95" spans="1:11" x14ac:dyDescent="0.2">
      <c r="A95" s="196">
        <v>94</v>
      </c>
      <c r="B95" s="91" t="str">
        <f ca="1">IF(K95="","",IF('県体(12)'!$AE$12&gt;'県体(12)'!$AH$12,'県体(12)'!$N$14,IF('県体(12)'!$AH$12&gt;'県体(12)'!$AE$12,'県体(12)'!$AX$14,"")))</f>
        <v/>
      </c>
      <c r="C95" s="91" t="str">
        <f ca="1">IF(B95="","",LEFT(VLOOKUP(B95,県体学校名!$C$4:$F$15,2,FALSE),LEN(VLOOKUP(B95,県体学校名!$C$4:$F$15,2,FALSE))-1))</f>
        <v/>
      </c>
      <c r="D95" s="196" t="str">
        <f t="shared" ca="1" si="9"/>
        <v/>
      </c>
      <c r="E95" s="198" t="str">
        <f ca="1">IF(B95="","",COUNTIF($B$2:B95,B95))</f>
        <v/>
      </c>
      <c r="F95" s="198" t="str">
        <f t="shared" ca="1" si="10"/>
        <v/>
      </c>
      <c r="G95" s="198" t="str">
        <f t="shared" ca="1" si="11"/>
        <v/>
      </c>
      <c r="H95" s="198">
        <f t="shared" si="12"/>
        <v>94</v>
      </c>
      <c r="I95" s="198" t="str">
        <f ca="1">IF(OR(B95="",E95=1),"",A95-VLOOKUP(B95&amp;(E95-1),$G$2:H95,2,FALSE))</f>
        <v/>
      </c>
      <c r="J95" s="198" t="str">
        <f t="shared" ca="1" si="13"/>
        <v/>
      </c>
      <c r="K95" s="58" t="str">
        <f t="shared" ca="1" si="14"/>
        <v/>
      </c>
    </row>
    <row r="96" spans="1:11" x14ac:dyDescent="0.2">
      <c r="A96" s="196">
        <v>95</v>
      </c>
      <c r="B96" s="91" t="str">
        <f ca="1">IF(K96="","",IF('県体(12)'!$AE$12&gt;'県体(12)'!$AH$12,'県体(12)'!$N$14,IF('県体(12)'!$AH$12&gt;'県体(12)'!$AE$12,'県体(12)'!$AX$14,"")))</f>
        <v/>
      </c>
      <c r="C96" s="91" t="str">
        <f ca="1">IF(B96="","",LEFT(VLOOKUP(B96,県体学校名!$C$4:$F$15,2,FALSE),LEN(VLOOKUP(B96,県体学校名!$C$4:$F$15,2,FALSE))-1))</f>
        <v/>
      </c>
      <c r="D96" s="196" t="str">
        <f t="shared" ca="1" si="9"/>
        <v/>
      </c>
      <c r="E96" s="198" t="str">
        <f ca="1">IF(B96="","",COUNTIF($B$2:B96,B96))</f>
        <v/>
      </c>
      <c r="F96" s="198" t="str">
        <f t="shared" ca="1" si="10"/>
        <v/>
      </c>
      <c r="G96" s="198" t="str">
        <f t="shared" ca="1" si="11"/>
        <v/>
      </c>
      <c r="H96" s="198">
        <f t="shared" si="12"/>
        <v>95</v>
      </c>
      <c r="I96" s="198" t="str">
        <f ca="1">IF(OR(B96="",E96=1),"",A96-VLOOKUP(B96&amp;(E96-1),$G$2:H96,2,FALSE))</f>
        <v/>
      </c>
      <c r="J96" s="198" t="str">
        <f t="shared" ca="1" si="13"/>
        <v/>
      </c>
      <c r="K96" s="58" t="str">
        <f t="shared" ca="1" si="14"/>
        <v/>
      </c>
    </row>
    <row r="97" spans="1:11" x14ac:dyDescent="0.2">
      <c r="A97" s="196">
        <v>96</v>
      </c>
      <c r="B97" s="91" t="str">
        <f ca="1">IF(K97="","",IF('県体(12)'!$AE$12&gt;'県体(12)'!$AH$12,'県体(12)'!$N$14,IF('県体(12)'!$AH$12&gt;'県体(12)'!$AE$12,'県体(12)'!$AX$14,"")))</f>
        <v/>
      </c>
      <c r="C97" s="91" t="str">
        <f ca="1">IF(B97="","",LEFT(VLOOKUP(B97,県体学校名!$C$4:$F$15,2,FALSE),LEN(VLOOKUP(B97,県体学校名!$C$4:$F$15,2,FALSE))-1))</f>
        <v/>
      </c>
      <c r="D97" s="196" t="str">
        <f t="shared" ca="1" si="9"/>
        <v/>
      </c>
      <c r="E97" s="198" t="str">
        <f ca="1">IF(B97="","",COUNTIF($B$2:B97,B97))</f>
        <v/>
      </c>
      <c r="F97" s="198" t="str">
        <f t="shared" ca="1" si="10"/>
        <v/>
      </c>
      <c r="G97" s="198" t="str">
        <f t="shared" ca="1" si="11"/>
        <v/>
      </c>
      <c r="H97" s="198">
        <f t="shared" si="12"/>
        <v>96</v>
      </c>
      <c r="I97" s="198" t="str">
        <f ca="1">IF(OR(B97="",E97=1),"",A97-VLOOKUP(B97&amp;(E97-1),$G$2:H97,2,FALSE))</f>
        <v/>
      </c>
      <c r="J97" s="198" t="str">
        <f t="shared" ca="1" si="13"/>
        <v/>
      </c>
      <c r="K97" s="58" t="str">
        <f t="shared" ca="1" si="14"/>
        <v/>
      </c>
    </row>
    <row r="98" spans="1:11" x14ac:dyDescent="0.2">
      <c r="A98" s="196">
        <v>97</v>
      </c>
      <c r="B98" s="91" t="str">
        <f ca="1">IF(K98="","",IF('県体(12)'!$AE$12&gt;'県体(12)'!$AH$12,'県体(12)'!$N$14,IF('県体(12)'!$AH$12&gt;'県体(12)'!$AE$12,'県体(12)'!$AX$14,"")))</f>
        <v/>
      </c>
      <c r="C98" s="91" t="str">
        <f ca="1">IF(B98="","",LEFT(VLOOKUP(B98,県体学校名!$C$4:$F$15,2,FALSE),LEN(VLOOKUP(B98,県体学校名!$C$4:$F$15,2,FALSE))-1))</f>
        <v/>
      </c>
      <c r="D98" s="196" t="str">
        <f t="shared" ca="1" si="9"/>
        <v/>
      </c>
      <c r="E98" s="198" t="str">
        <f ca="1">IF(B98="","",COUNTIF($B$2:B98,B98))</f>
        <v/>
      </c>
      <c r="F98" s="198" t="str">
        <f t="shared" ca="1" si="10"/>
        <v/>
      </c>
      <c r="G98" s="198" t="str">
        <f t="shared" ca="1" si="11"/>
        <v/>
      </c>
      <c r="H98" s="198">
        <f t="shared" si="12"/>
        <v>97</v>
      </c>
      <c r="I98" s="198" t="str">
        <f ca="1">IF(OR(B98="",E98=1),"",A98-VLOOKUP(B98&amp;(E98-1),$G$2:H98,2,FALSE))</f>
        <v/>
      </c>
      <c r="J98" s="198" t="str">
        <f t="shared" ca="1" si="13"/>
        <v/>
      </c>
      <c r="K98" s="58" t="str">
        <f t="shared" ca="1" si="14"/>
        <v/>
      </c>
    </row>
    <row r="99" spans="1:11" x14ac:dyDescent="0.2">
      <c r="A99" s="196">
        <v>98</v>
      </c>
      <c r="B99" s="91" t="str">
        <f ca="1">IF(K99="","",IF('県体(12)'!$AE$12&gt;'県体(12)'!$AH$12,'県体(12)'!$N$14,IF('県体(12)'!$AH$12&gt;'県体(12)'!$AE$12,'県体(12)'!$AX$14,"")))</f>
        <v/>
      </c>
      <c r="C99" s="91" t="str">
        <f ca="1">IF(B99="","",LEFT(VLOOKUP(B99,県体学校名!$C$4:$F$15,2,FALSE),LEN(VLOOKUP(B99,県体学校名!$C$4:$F$15,2,FALSE))-1))</f>
        <v/>
      </c>
      <c r="D99" s="196" t="str">
        <f t="shared" ca="1" si="9"/>
        <v/>
      </c>
      <c r="E99" s="198" t="str">
        <f ca="1">IF(B99="","",COUNTIF($B$2:B99,B99))</f>
        <v/>
      </c>
      <c r="F99" s="198" t="str">
        <f t="shared" ca="1" si="10"/>
        <v/>
      </c>
      <c r="G99" s="198" t="str">
        <f t="shared" ca="1" si="11"/>
        <v/>
      </c>
      <c r="H99" s="198">
        <f t="shared" si="12"/>
        <v>98</v>
      </c>
      <c r="I99" s="198" t="str">
        <f ca="1">IF(OR(B99="",E99=1),"",A99-VLOOKUP(B99&amp;(E99-1),$G$2:H99,2,FALSE))</f>
        <v/>
      </c>
      <c r="J99" s="198" t="str">
        <f t="shared" ca="1" si="13"/>
        <v/>
      </c>
      <c r="K99" s="58" t="str">
        <f t="shared" ca="1" si="14"/>
        <v/>
      </c>
    </row>
    <row r="100" spans="1:11" x14ac:dyDescent="0.2">
      <c r="A100" s="196">
        <v>99</v>
      </c>
      <c r="B100" s="91" t="str">
        <f ca="1">IF(K100="","",IF('県体(12)'!$AE$12&gt;'県体(12)'!$AH$12,'県体(12)'!$N$14,IF('県体(12)'!$AH$12&gt;'県体(12)'!$AE$12,'県体(12)'!$AX$14,"")))</f>
        <v/>
      </c>
      <c r="C100" s="91" t="str">
        <f ca="1">IF(B100="","",LEFT(VLOOKUP(B100,県体学校名!$C$4:$F$15,2,FALSE),LEN(VLOOKUP(B100,県体学校名!$C$4:$F$15,2,FALSE))-1))</f>
        <v/>
      </c>
      <c r="D100" s="196" t="str">
        <f t="shared" ca="1" si="9"/>
        <v/>
      </c>
      <c r="E100" s="198" t="str">
        <f ca="1">IF(B100="","",COUNTIF($B$2:B100,B100))</f>
        <v/>
      </c>
      <c r="F100" s="198" t="str">
        <f t="shared" ca="1" si="10"/>
        <v/>
      </c>
      <c r="G100" s="198" t="str">
        <f t="shared" ca="1" si="11"/>
        <v/>
      </c>
      <c r="H100" s="198">
        <f t="shared" si="12"/>
        <v>99</v>
      </c>
      <c r="I100" s="198" t="str">
        <f ca="1">IF(OR(B100="",E100=1),"",A100-VLOOKUP(B100&amp;(E100-1),$G$2:H100,2,FALSE))</f>
        <v/>
      </c>
      <c r="J100" s="198" t="str">
        <f t="shared" ca="1" si="13"/>
        <v/>
      </c>
      <c r="K100" s="58" t="str">
        <f t="shared" ca="1" si="14"/>
        <v/>
      </c>
    </row>
    <row r="101" spans="1:11" x14ac:dyDescent="0.2">
      <c r="A101" s="196">
        <v>100</v>
      </c>
      <c r="B101" s="91" t="str">
        <f ca="1">IF(K101="","",IF('県体(12)'!$AE$12&gt;'県体(12)'!$AH$12,'県体(12)'!$N$14,IF('県体(12)'!$AH$12&gt;'県体(12)'!$AE$12,'県体(12)'!$AX$14,"")))</f>
        <v/>
      </c>
      <c r="C101" s="91" t="str">
        <f ca="1">IF(B101="","",LEFT(VLOOKUP(B101,県体学校名!$C$4:$F$15,2,FALSE),LEN(VLOOKUP(B101,県体学校名!$C$4:$F$15,2,FALSE))-1))</f>
        <v/>
      </c>
      <c r="D101" s="196" t="str">
        <f t="shared" ca="1" si="9"/>
        <v/>
      </c>
      <c r="E101" s="198" t="str">
        <f ca="1">IF(B101="","",COUNTIF($B$2:B101,B101))</f>
        <v/>
      </c>
      <c r="F101" s="198" t="str">
        <f t="shared" ca="1" si="10"/>
        <v/>
      </c>
      <c r="G101" s="198" t="str">
        <f t="shared" ca="1" si="11"/>
        <v/>
      </c>
      <c r="H101" s="198">
        <f t="shared" si="12"/>
        <v>100</v>
      </c>
      <c r="I101" s="198" t="str">
        <f ca="1">IF(OR(B101="",E101=1),"",A101-VLOOKUP(B101&amp;(E101-1),$G$2:H101,2,FALSE))</f>
        <v/>
      </c>
      <c r="J101" s="198" t="str">
        <f t="shared" ca="1" si="13"/>
        <v/>
      </c>
      <c r="K101" s="58" t="str">
        <f t="shared" ca="1" si="14"/>
        <v/>
      </c>
    </row>
  </sheetData>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U378"/>
  <sheetViews>
    <sheetView topLeftCell="A227" zoomScaleNormal="100" workbookViewId="0">
      <selection activeCell="X239" sqref="X239"/>
    </sheetView>
  </sheetViews>
  <sheetFormatPr defaultColWidth="9" defaultRowHeight="14.25" x14ac:dyDescent="0.15"/>
  <cols>
    <col min="1" max="1" width="9" style="58" customWidth="1"/>
    <col min="2" max="3" width="9" style="58"/>
    <col min="4" max="4" width="8.875" style="58" customWidth="1"/>
    <col min="5" max="11" width="4.375" style="58" customWidth="1"/>
    <col min="12" max="12" width="3.125" style="58" customWidth="1"/>
    <col min="13" max="13" width="19.625" style="58" bestFit="1" customWidth="1"/>
    <col min="14" max="15" width="9" style="58"/>
    <col min="16" max="16" width="6" style="58" bestFit="1" customWidth="1"/>
    <col min="17" max="17" width="7.375" style="58" bestFit="1" customWidth="1"/>
    <col min="18" max="18" width="8.875" style="58" bestFit="1" customWidth="1"/>
    <col min="19" max="19" width="3.625" style="58" bestFit="1" customWidth="1"/>
    <col min="20" max="20" width="3.875" style="58" bestFit="1" customWidth="1"/>
    <col min="21" max="21" width="10.875" style="58" bestFit="1" customWidth="1"/>
    <col min="22" max="16384" width="9" style="58"/>
  </cols>
  <sheetData>
    <row r="1" spans="1:21" x14ac:dyDescent="0.15">
      <c r="A1" s="199"/>
      <c r="O1" s="199"/>
    </row>
    <row r="2" spans="1:21" x14ac:dyDescent="0.15">
      <c r="P2" s="58">
        <v>500</v>
      </c>
      <c r="Q2" s="58" t="s">
        <v>130</v>
      </c>
      <c r="R2" s="58">
        <f>SUM(R10:R325)/500+32</f>
        <v>417</v>
      </c>
      <c r="U2" s="58">
        <f>SUM(P8:P325)-17*8+32</f>
        <v>417</v>
      </c>
    </row>
    <row r="3" spans="1:21" x14ac:dyDescent="0.15">
      <c r="T3" s="58" t="s">
        <v>131</v>
      </c>
      <c r="U3" s="58" t="e">
        <f t="array" ref="U3">SUM(IF($U$5:$U$336=$T3,$P$5:$P$336,""))+16</f>
        <v>#REF!</v>
      </c>
    </row>
    <row r="4" spans="1:21" ht="15" thickBot="1" x14ac:dyDescent="0.2">
      <c r="T4" s="58" t="s">
        <v>113</v>
      </c>
      <c r="U4" s="58" t="e">
        <f t="array" ref="U4">SUM(IF($U$5:$U$336=$T4,$P$5:$P$336,""))+16</f>
        <v>#REF!</v>
      </c>
    </row>
    <row r="5" spans="1:21" ht="26.25" customHeight="1" x14ac:dyDescent="0.15">
      <c r="B5" s="200"/>
      <c r="C5" s="201"/>
      <c r="D5" s="201"/>
      <c r="E5" s="201"/>
      <c r="F5" s="201"/>
      <c r="G5" s="201"/>
      <c r="H5" s="201"/>
      <c r="I5" s="201"/>
      <c r="J5" s="201"/>
      <c r="K5" s="201"/>
      <c r="L5" s="201"/>
      <c r="M5" s="201"/>
      <c r="N5" s="202"/>
    </row>
    <row r="6" spans="1:21" ht="27.75" thickBot="1" x14ac:dyDescent="0.2">
      <c r="B6" s="203"/>
      <c r="C6" s="204"/>
      <c r="D6" s="204"/>
      <c r="E6" s="204"/>
      <c r="F6" s="719" t="s">
        <v>132</v>
      </c>
      <c r="G6" s="719"/>
      <c r="H6" s="719"/>
      <c r="I6" s="719"/>
      <c r="J6" s="719"/>
      <c r="K6" s="719"/>
      <c r="L6" s="204"/>
      <c r="M6" s="204"/>
      <c r="N6" s="205"/>
    </row>
    <row r="7" spans="1:21" ht="15" thickTop="1" x14ac:dyDescent="0.15">
      <c r="B7" s="203"/>
      <c r="N7" s="205"/>
    </row>
    <row r="8" spans="1:21" ht="27" x14ac:dyDescent="0.15">
      <c r="B8" s="203"/>
      <c r="C8" s="718" t="str">
        <f>VLOOKUP(P8,県体学校名!$B$4:$I$15,8,FALSE)&amp;" 様"</f>
        <v xml:space="preserve"> 様</v>
      </c>
      <c r="D8" s="718"/>
      <c r="E8" s="718"/>
      <c r="F8" s="718"/>
      <c r="G8" s="718"/>
      <c r="H8" s="718"/>
      <c r="I8" s="718"/>
      <c r="M8" s="206">
        <f ca="1">'県体(12)'!A63</f>
        <v>45850</v>
      </c>
      <c r="N8" s="205"/>
      <c r="P8" s="58">
        <v>1</v>
      </c>
    </row>
    <row r="9" spans="1:21" ht="15" thickBot="1" x14ac:dyDescent="0.2">
      <c r="B9" s="203"/>
      <c r="E9" s="83">
        <v>6</v>
      </c>
      <c r="F9" s="83">
        <v>5</v>
      </c>
      <c r="G9" s="83">
        <v>4</v>
      </c>
      <c r="H9" s="83">
        <v>3</v>
      </c>
      <c r="I9" s="83">
        <v>2</v>
      </c>
      <c r="J9" s="83">
        <v>1</v>
      </c>
      <c r="K9" s="83">
        <v>0</v>
      </c>
      <c r="N9" s="205"/>
    </row>
    <row r="10" spans="1:21" ht="33.75" customHeight="1" thickBot="1" x14ac:dyDescent="0.2">
      <c r="B10" s="203"/>
      <c r="D10" s="207" t="s">
        <v>133</v>
      </c>
      <c r="E10" s="208" t="str">
        <f t="shared" ref="E10:K10" si="0">IF(E9&gt;=$T10,"",MID($R10,$T10-E9,1))</f>
        <v/>
      </c>
      <c r="F10" s="209" t="str">
        <f t="shared" si="0"/>
        <v/>
      </c>
      <c r="G10" s="444" t="str">
        <f t="shared" si="0"/>
        <v>1</v>
      </c>
      <c r="H10" s="445" t="str">
        <f t="shared" si="0"/>
        <v>0</v>
      </c>
      <c r="I10" s="446" t="str">
        <f t="shared" si="0"/>
        <v>0</v>
      </c>
      <c r="J10" s="444" t="str">
        <f t="shared" si="0"/>
        <v>0</v>
      </c>
      <c r="K10" s="444" t="str">
        <f t="shared" si="0"/>
        <v>0</v>
      </c>
      <c r="L10" s="210" t="s">
        <v>134</v>
      </c>
      <c r="N10" s="205"/>
      <c r="P10" s="58">
        <v>20</v>
      </c>
      <c r="Q10" s="58" t="s">
        <v>135</v>
      </c>
      <c r="R10" s="58">
        <f>P10*$P$2</f>
        <v>10000</v>
      </c>
      <c r="S10" s="58" t="s">
        <v>134</v>
      </c>
      <c r="T10" s="58">
        <f>LEN(R10)</f>
        <v>5</v>
      </c>
      <c r="U10" s="58" t="e">
        <f>#REF!</f>
        <v>#REF!</v>
      </c>
    </row>
    <row r="11" spans="1:21" ht="22.5" customHeight="1" x14ac:dyDescent="0.2">
      <c r="B11" s="203"/>
      <c r="D11" s="211" t="s">
        <v>136</v>
      </c>
      <c r="E11" s="211"/>
      <c r="F11" s="211"/>
      <c r="G11" s="211"/>
      <c r="H11" s="211"/>
      <c r="I11" s="211"/>
      <c r="J11" s="212"/>
      <c r="K11" s="212"/>
      <c r="L11" s="212"/>
      <c r="N11" s="205"/>
    </row>
    <row r="12" spans="1:21" x14ac:dyDescent="0.15">
      <c r="B12" s="203"/>
      <c r="N12" s="205"/>
    </row>
    <row r="13" spans="1:21" x14ac:dyDescent="0.15">
      <c r="B13" s="203"/>
      <c r="D13" s="58" t="s">
        <v>137</v>
      </c>
      <c r="N13" s="205"/>
    </row>
    <row r="14" spans="1:21" x14ac:dyDescent="0.15">
      <c r="B14" s="203"/>
      <c r="N14" s="205"/>
    </row>
    <row r="15" spans="1:21" x14ac:dyDescent="0.15">
      <c r="B15" s="203"/>
      <c r="H15" s="58" t="s">
        <v>138</v>
      </c>
      <c r="N15" s="205"/>
    </row>
    <row r="16" spans="1:21" ht="24.75" x14ac:dyDescent="0.15">
      <c r="B16" s="203"/>
      <c r="K16" s="62" t="s">
        <v>139</v>
      </c>
      <c r="M16" s="720" t="s">
        <v>606</v>
      </c>
      <c r="N16" s="721"/>
    </row>
    <row r="17" spans="1:21" ht="26.25" customHeight="1" thickBot="1" x14ac:dyDescent="0.2">
      <c r="B17" s="213"/>
      <c r="C17" s="214"/>
      <c r="D17" s="214"/>
      <c r="E17" s="214"/>
      <c r="F17" s="214"/>
      <c r="G17" s="214"/>
      <c r="H17" s="214"/>
      <c r="I17" s="214"/>
      <c r="J17" s="214"/>
      <c r="K17" s="214"/>
      <c r="L17" s="214"/>
      <c r="M17" s="214"/>
      <c r="N17" s="215"/>
    </row>
    <row r="22" spans="1:21" x14ac:dyDescent="0.15">
      <c r="A22" s="199"/>
      <c r="O22" s="199"/>
    </row>
    <row r="25" spans="1:21" ht="15" thickBot="1" x14ac:dyDescent="0.2"/>
    <row r="26" spans="1:21" ht="26.25" customHeight="1" x14ac:dyDescent="0.15">
      <c r="B26" s="200"/>
      <c r="C26" s="201"/>
      <c r="D26" s="201"/>
      <c r="E26" s="201"/>
      <c r="F26" s="201"/>
      <c r="G26" s="201"/>
      <c r="H26" s="201"/>
      <c r="I26" s="201"/>
      <c r="J26" s="201"/>
      <c r="K26" s="201"/>
      <c r="L26" s="201"/>
      <c r="M26" s="201"/>
      <c r="N26" s="202"/>
    </row>
    <row r="27" spans="1:21" ht="27.75" thickBot="1" x14ac:dyDescent="0.2">
      <c r="B27" s="203"/>
      <c r="C27" s="204"/>
      <c r="D27" s="204"/>
      <c r="E27" s="204"/>
      <c r="F27" s="719" t="s">
        <v>132</v>
      </c>
      <c r="G27" s="719"/>
      <c r="H27" s="719"/>
      <c r="I27" s="719"/>
      <c r="J27" s="719"/>
      <c r="K27" s="719"/>
      <c r="L27" s="204"/>
      <c r="M27" s="204"/>
      <c r="N27" s="205"/>
    </row>
    <row r="28" spans="1:21" ht="15" thickTop="1" x14ac:dyDescent="0.15">
      <c r="B28" s="203"/>
      <c r="N28" s="205"/>
    </row>
    <row r="29" spans="1:21" ht="27" x14ac:dyDescent="0.15">
      <c r="B29" s="203"/>
      <c r="C29" s="718" t="str">
        <f>VLOOKUP(P29,県体学校名!$B$4:$I$15,8,FALSE)&amp;" 様"</f>
        <v xml:space="preserve"> 様</v>
      </c>
      <c r="D29" s="718"/>
      <c r="E29" s="718"/>
      <c r="F29" s="718"/>
      <c r="G29" s="718"/>
      <c r="H29" s="718"/>
      <c r="I29" s="718"/>
      <c r="M29" s="216">
        <f ca="1">$M$8</f>
        <v>45850</v>
      </c>
      <c r="N29" s="205"/>
      <c r="P29" s="58">
        <f>P8+1</f>
        <v>2</v>
      </c>
    </row>
    <row r="30" spans="1:21" ht="15" thickBot="1" x14ac:dyDescent="0.2">
      <c r="B30" s="203"/>
      <c r="E30" s="83">
        <v>6</v>
      </c>
      <c r="F30" s="83">
        <v>5</v>
      </c>
      <c r="G30" s="83">
        <v>4</v>
      </c>
      <c r="H30" s="83">
        <v>3</v>
      </c>
      <c r="I30" s="83">
        <v>2</v>
      </c>
      <c r="J30" s="83">
        <v>1</v>
      </c>
      <c r="K30" s="83">
        <v>0</v>
      </c>
      <c r="N30" s="205"/>
    </row>
    <row r="31" spans="1:21" ht="33.75" customHeight="1" thickBot="1" x14ac:dyDescent="0.2">
      <c r="B31" s="203"/>
      <c r="D31" s="207" t="s">
        <v>133</v>
      </c>
      <c r="E31" s="208" t="str">
        <f t="shared" ref="E31:K31" si="1">IF(E30&gt;=$T31,"",MID($R31,$T31-E30,1))</f>
        <v/>
      </c>
      <c r="F31" s="209" t="str">
        <f t="shared" si="1"/>
        <v/>
      </c>
      <c r="G31" s="444" t="str">
        <f t="shared" si="1"/>
        <v>1</v>
      </c>
      <c r="H31" s="445" t="str">
        <f t="shared" si="1"/>
        <v>0</v>
      </c>
      <c r="I31" s="446" t="str">
        <f t="shared" si="1"/>
        <v>0</v>
      </c>
      <c r="J31" s="444" t="str">
        <f t="shared" si="1"/>
        <v>0</v>
      </c>
      <c r="K31" s="444" t="str">
        <f t="shared" si="1"/>
        <v>0</v>
      </c>
      <c r="L31" s="210" t="s">
        <v>134</v>
      </c>
      <c r="N31" s="205"/>
      <c r="P31" s="58">
        <v>20</v>
      </c>
      <c r="Q31" s="58" t="s">
        <v>135</v>
      </c>
      <c r="R31" s="58">
        <f>P31*$P$2</f>
        <v>10000</v>
      </c>
      <c r="S31" s="58" t="s">
        <v>134</v>
      </c>
      <c r="T31" s="58">
        <f>LEN(R31)</f>
        <v>5</v>
      </c>
      <c r="U31" s="58" t="e">
        <f>U10</f>
        <v>#REF!</v>
      </c>
    </row>
    <row r="32" spans="1:21" ht="22.5" customHeight="1" x14ac:dyDescent="0.2">
      <c r="B32" s="203"/>
      <c r="D32" s="211" t="s">
        <v>136</v>
      </c>
      <c r="E32" s="211"/>
      <c r="F32" s="211"/>
      <c r="G32" s="211"/>
      <c r="H32" s="211"/>
      <c r="I32" s="211"/>
      <c r="J32" s="212"/>
      <c r="K32" s="212"/>
      <c r="L32" s="212"/>
      <c r="N32" s="205"/>
    </row>
    <row r="33" spans="1:15" x14ac:dyDescent="0.15">
      <c r="B33" s="203"/>
      <c r="N33" s="205"/>
    </row>
    <row r="34" spans="1:15" x14ac:dyDescent="0.15">
      <c r="B34" s="203"/>
      <c r="D34" s="58" t="s">
        <v>137</v>
      </c>
      <c r="N34" s="205"/>
    </row>
    <row r="35" spans="1:15" x14ac:dyDescent="0.15">
      <c r="B35" s="203"/>
      <c r="N35" s="205"/>
    </row>
    <row r="36" spans="1:15" x14ac:dyDescent="0.15">
      <c r="B36" s="203"/>
      <c r="H36" s="58" t="s">
        <v>138</v>
      </c>
      <c r="N36" s="205"/>
    </row>
    <row r="37" spans="1:15" ht="24.75" x14ac:dyDescent="0.15">
      <c r="B37" s="203"/>
      <c r="K37" s="62" t="s">
        <v>139</v>
      </c>
      <c r="M37" s="720" t="str">
        <f>$M$16</f>
        <v>酒 巻　浩 司</v>
      </c>
      <c r="N37" s="721"/>
    </row>
    <row r="38" spans="1:15" ht="26.25" customHeight="1" thickBot="1" x14ac:dyDescent="0.2">
      <c r="B38" s="213"/>
      <c r="C38" s="214"/>
      <c r="D38" s="214"/>
      <c r="E38" s="214"/>
      <c r="F38" s="214"/>
      <c r="G38" s="214"/>
      <c r="H38" s="214"/>
      <c r="I38" s="214"/>
      <c r="J38" s="214"/>
      <c r="K38" s="214"/>
      <c r="L38" s="214"/>
      <c r="M38" s="214"/>
      <c r="N38" s="215"/>
    </row>
    <row r="43" spans="1:15" x14ac:dyDescent="0.15">
      <c r="A43" s="199"/>
      <c r="O43" s="199"/>
    </row>
    <row r="46" spans="1:15" ht="15" thickBot="1" x14ac:dyDescent="0.2"/>
    <row r="47" spans="1:15" ht="26.25" customHeight="1" x14ac:dyDescent="0.15">
      <c r="B47" s="200"/>
      <c r="C47" s="201"/>
      <c r="D47" s="201"/>
      <c r="E47" s="201"/>
      <c r="F47" s="201"/>
      <c r="G47" s="201"/>
      <c r="H47" s="201"/>
      <c r="I47" s="201"/>
      <c r="J47" s="201"/>
      <c r="K47" s="201"/>
      <c r="L47" s="201"/>
      <c r="M47" s="201"/>
      <c r="N47" s="202"/>
    </row>
    <row r="48" spans="1:15" ht="27.75" thickBot="1" x14ac:dyDescent="0.2">
      <c r="B48" s="203"/>
      <c r="C48" s="204"/>
      <c r="D48" s="204"/>
      <c r="E48" s="204"/>
      <c r="F48" s="719" t="s">
        <v>132</v>
      </c>
      <c r="G48" s="719"/>
      <c r="H48" s="719"/>
      <c r="I48" s="719"/>
      <c r="J48" s="719"/>
      <c r="K48" s="719"/>
      <c r="L48" s="204"/>
      <c r="M48" s="204"/>
      <c r="N48" s="205"/>
    </row>
    <row r="49" spans="1:21" ht="15" thickTop="1" x14ac:dyDescent="0.15">
      <c r="B49" s="203"/>
      <c r="N49" s="205"/>
    </row>
    <row r="50" spans="1:21" ht="27" x14ac:dyDescent="0.15">
      <c r="B50" s="203"/>
      <c r="C50" s="718" t="str">
        <f>VLOOKUP(P50,県体学校名!$B$4:$I$15,8,FALSE)&amp;" 様"</f>
        <v xml:space="preserve"> 様</v>
      </c>
      <c r="D50" s="718"/>
      <c r="E50" s="718"/>
      <c r="F50" s="718"/>
      <c r="G50" s="718"/>
      <c r="H50" s="718"/>
      <c r="I50" s="718"/>
      <c r="M50" s="216">
        <f ca="1">$M$8</f>
        <v>45850</v>
      </c>
      <c r="N50" s="205"/>
      <c r="P50" s="58">
        <f>P29+1</f>
        <v>3</v>
      </c>
    </row>
    <row r="51" spans="1:21" ht="15" thickBot="1" x14ac:dyDescent="0.2">
      <c r="B51" s="203"/>
      <c r="E51" s="83">
        <v>6</v>
      </c>
      <c r="F51" s="83">
        <v>5</v>
      </c>
      <c r="G51" s="83">
        <v>4</v>
      </c>
      <c r="H51" s="83">
        <v>3</v>
      </c>
      <c r="I51" s="83">
        <v>2</v>
      </c>
      <c r="J51" s="83">
        <v>1</v>
      </c>
      <c r="K51" s="83">
        <v>0</v>
      </c>
      <c r="N51" s="205"/>
    </row>
    <row r="52" spans="1:21" ht="33.75" customHeight="1" thickBot="1" x14ac:dyDescent="0.2">
      <c r="B52" s="203"/>
      <c r="D52" s="207" t="s">
        <v>133</v>
      </c>
      <c r="E52" s="208" t="str">
        <f t="shared" ref="E52:K52" si="2">IF(E51&gt;=$T52,"",MID($R52,$T52-E51,1))</f>
        <v/>
      </c>
      <c r="F52" s="209" t="str">
        <f t="shared" si="2"/>
        <v/>
      </c>
      <c r="G52" s="444" t="str">
        <f t="shared" si="2"/>
        <v>1</v>
      </c>
      <c r="H52" s="445" t="str">
        <f t="shared" si="2"/>
        <v>0</v>
      </c>
      <c r="I52" s="446" t="str">
        <f t="shared" si="2"/>
        <v>0</v>
      </c>
      <c r="J52" s="444" t="str">
        <f t="shared" si="2"/>
        <v>0</v>
      </c>
      <c r="K52" s="444" t="str">
        <f t="shared" si="2"/>
        <v>0</v>
      </c>
      <c r="L52" s="210" t="s">
        <v>134</v>
      </c>
      <c r="N52" s="205"/>
      <c r="P52" s="58">
        <v>20</v>
      </c>
      <c r="Q52" s="58" t="s">
        <v>135</v>
      </c>
      <c r="R52" s="58">
        <f>P52*$P$2</f>
        <v>10000</v>
      </c>
      <c r="S52" s="58" t="s">
        <v>134</v>
      </c>
      <c r="T52" s="58">
        <f>LEN(R52)</f>
        <v>5</v>
      </c>
      <c r="U52" s="58" t="e">
        <f>#REF!</f>
        <v>#REF!</v>
      </c>
    </row>
    <row r="53" spans="1:21" ht="22.5" customHeight="1" x14ac:dyDescent="0.2">
      <c r="B53" s="203"/>
      <c r="D53" s="211" t="s">
        <v>136</v>
      </c>
      <c r="E53" s="211"/>
      <c r="F53" s="211"/>
      <c r="G53" s="211"/>
      <c r="H53" s="211"/>
      <c r="I53" s="211"/>
      <c r="J53" s="212"/>
      <c r="K53" s="212"/>
      <c r="L53" s="212"/>
      <c r="N53" s="205"/>
    </row>
    <row r="54" spans="1:21" x14ac:dyDescent="0.15">
      <c r="B54" s="203"/>
      <c r="N54" s="205"/>
    </row>
    <row r="55" spans="1:21" x14ac:dyDescent="0.15">
      <c r="B55" s="203"/>
      <c r="D55" s="58" t="s">
        <v>137</v>
      </c>
      <c r="N55" s="205"/>
    </row>
    <row r="56" spans="1:21" x14ac:dyDescent="0.15">
      <c r="B56" s="203"/>
      <c r="N56" s="205"/>
    </row>
    <row r="57" spans="1:21" x14ac:dyDescent="0.15">
      <c r="B57" s="203"/>
      <c r="H57" s="58" t="s">
        <v>138</v>
      </c>
      <c r="N57" s="205"/>
    </row>
    <row r="58" spans="1:21" ht="24.75" x14ac:dyDescent="0.15">
      <c r="B58" s="203"/>
      <c r="K58" s="62" t="s">
        <v>139</v>
      </c>
      <c r="M58" s="720" t="str">
        <f>$M$16</f>
        <v>酒 巻　浩 司</v>
      </c>
      <c r="N58" s="721"/>
    </row>
    <row r="59" spans="1:21" ht="26.25" customHeight="1" thickBot="1" x14ac:dyDescent="0.2">
      <c r="B59" s="213"/>
      <c r="C59" s="214"/>
      <c r="D59" s="214"/>
      <c r="E59" s="214"/>
      <c r="F59" s="214"/>
      <c r="G59" s="214"/>
      <c r="H59" s="214"/>
      <c r="I59" s="214"/>
      <c r="J59" s="214"/>
      <c r="K59" s="214"/>
      <c r="L59" s="214"/>
      <c r="M59" s="214"/>
      <c r="N59" s="215"/>
    </row>
    <row r="63" spans="1:21" x14ac:dyDescent="0.15">
      <c r="A63" s="217"/>
      <c r="O63" s="217"/>
    </row>
    <row r="64" spans="1:21" x14ac:dyDescent="0.15">
      <c r="A64" s="199"/>
      <c r="O64" s="199"/>
    </row>
    <row r="67" spans="2:21" ht="15" thickBot="1" x14ac:dyDescent="0.2"/>
    <row r="68" spans="2:21" ht="26.25" customHeight="1" x14ac:dyDescent="0.15">
      <c r="B68" s="200"/>
      <c r="C68" s="201"/>
      <c r="D68" s="201"/>
      <c r="E68" s="201"/>
      <c r="F68" s="201"/>
      <c r="G68" s="201"/>
      <c r="H68" s="201"/>
      <c r="I68" s="201"/>
      <c r="J68" s="201"/>
      <c r="K68" s="201"/>
      <c r="L68" s="201"/>
      <c r="M68" s="201"/>
      <c r="N68" s="202"/>
    </row>
    <row r="69" spans="2:21" ht="27.75" thickBot="1" x14ac:dyDescent="0.2">
      <c r="B69" s="203"/>
      <c r="C69" s="204"/>
      <c r="D69" s="204"/>
      <c r="E69" s="204"/>
      <c r="F69" s="719" t="s">
        <v>132</v>
      </c>
      <c r="G69" s="719"/>
      <c r="H69" s="719"/>
      <c r="I69" s="719"/>
      <c r="J69" s="719"/>
      <c r="K69" s="719"/>
      <c r="L69" s="204"/>
      <c r="M69" s="204"/>
      <c r="N69" s="205"/>
    </row>
    <row r="70" spans="2:21" ht="15" thickTop="1" x14ac:dyDescent="0.15">
      <c r="B70" s="203"/>
      <c r="N70" s="205"/>
    </row>
    <row r="71" spans="2:21" ht="27" x14ac:dyDescent="0.15">
      <c r="B71" s="203"/>
      <c r="C71" s="718" t="str">
        <f>VLOOKUP(P71,県体学校名!$B$4:$I$15,8,FALSE)&amp;" 様"</f>
        <v xml:space="preserve"> 様</v>
      </c>
      <c r="D71" s="718"/>
      <c r="E71" s="718"/>
      <c r="F71" s="718"/>
      <c r="G71" s="718"/>
      <c r="H71" s="718"/>
      <c r="I71" s="718"/>
      <c r="M71" s="216">
        <f ca="1">$M$8</f>
        <v>45850</v>
      </c>
      <c r="N71" s="205"/>
      <c r="P71" s="58">
        <f>P50+1</f>
        <v>4</v>
      </c>
    </row>
    <row r="72" spans="2:21" ht="15" thickBot="1" x14ac:dyDescent="0.2">
      <c r="B72" s="203"/>
      <c r="E72" s="83">
        <v>6</v>
      </c>
      <c r="F72" s="83">
        <v>5</v>
      </c>
      <c r="G72" s="83">
        <v>4</v>
      </c>
      <c r="H72" s="83">
        <v>3</v>
      </c>
      <c r="I72" s="83">
        <v>2</v>
      </c>
      <c r="J72" s="83">
        <v>1</v>
      </c>
      <c r="K72" s="83">
        <v>0</v>
      </c>
      <c r="N72" s="205"/>
    </row>
    <row r="73" spans="2:21" ht="33.75" customHeight="1" thickBot="1" x14ac:dyDescent="0.2">
      <c r="B73" s="203"/>
      <c r="D73" s="207" t="s">
        <v>133</v>
      </c>
      <c r="E73" s="208" t="str">
        <f t="shared" ref="E73:K73" si="3">IF(E72&gt;=$T73,"",MID($R73,$T73-E72,1))</f>
        <v/>
      </c>
      <c r="F73" s="209" t="str">
        <f t="shared" si="3"/>
        <v/>
      </c>
      <c r="G73" s="444" t="str">
        <f t="shared" si="3"/>
        <v>1</v>
      </c>
      <c r="H73" s="445" t="str">
        <f t="shared" si="3"/>
        <v>0</v>
      </c>
      <c r="I73" s="446" t="str">
        <f t="shared" si="3"/>
        <v>5</v>
      </c>
      <c r="J73" s="444" t="str">
        <f t="shared" si="3"/>
        <v>0</v>
      </c>
      <c r="K73" s="444" t="str">
        <f t="shared" si="3"/>
        <v>0</v>
      </c>
      <c r="L73" s="210" t="s">
        <v>134</v>
      </c>
      <c r="N73" s="205"/>
      <c r="P73" s="58">
        <v>21</v>
      </c>
      <c r="Q73" s="58" t="s">
        <v>135</v>
      </c>
      <c r="R73" s="58">
        <f>P73*$P$2</f>
        <v>10500</v>
      </c>
      <c r="S73" s="58" t="s">
        <v>134</v>
      </c>
      <c r="T73" s="58">
        <f>LEN(R73)</f>
        <v>5</v>
      </c>
      <c r="U73" s="58" t="e">
        <f>U52</f>
        <v>#REF!</v>
      </c>
    </row>
    <row r="74" spans="2:21" ht="22.5" customHeight="1" x14ac:dyDescent="0.2">
      <c r="B74" s="203"/>
      <c r="D74" s="211" t="s">
        <v>136</v>
      </c>
      <c r="E74" s="211"/>
      <c r="F74" s="211"/>
      <c r="G74" s="211"/>
      <c r="H74" s="211"/>
      <c r="I74" s="211"/>
      <c r="J74" s="212"/>
      <c r="K74" s="212"/>
      <c r="L74" s="212"/>
      <c r="N74" s="205"/>
    </row>
    <row r="75" spans="2:21" x14ac:dyDescent="0.15">
      <c r="B75" s="203"/>
      <c r="N75" s="205"/>
    </row>
    <row r="76" spans="2:21" x14ac:dyDescent="0.15">
      <c r="B76" s="203"/>
      <c r="D76" s="58" t="s">
        <v>137</v>
      </c>
      <c r="N76" s="205"/>
    </row>
    <row r="77" spans="2:21" x14ac:dyDescent="0.15">
      <c r="B77" s="203"/>
      <c r="N77" s="205"/>
    </row>
    <row r="78" spans="2:21" x14ac:dyDescent="0.15">
      <c r="B78" s="203"/>
      <c r="H78" s="58" t="s">
        <v>138</v>
      </c>
      <c r="N78" s="205"/>
    </row>
    <row r="79" spans="2:21" ht="24.75" x14ac:dyDescent="0.15">
      <c r="B79" s="203"/>
      <c r="K79" s="62" t="s">
        <v>139</v>
      </c>
      <c r="M79" s="720" t="str">
        <f>$M$16</f>
        <v>酒 巻　浩 司</v>
      </c>
      <c r="N79" s="721"/>
    </row>
    <row r="80" spans="2:21" ht="26.25" customHeight="1" thickBot="1" x14ac:dyDescent="0.2">
      <c r="B80" s="213"/>
      <c r="C80" s="214"/>
      <c r="D80" s="214"/>
      <c r="E80" s="214"/>
      <c r="F80" s="214"/>
      <c r="G80" s="214"/>
      <c r="H80" s="214"/>
      <c r="I80" s="214"/>
      <c r="J80" s="214"/>
      <c r="K80" s="214"/>
      <c r="L80" s="214"/>
      <c r="M80" s="214"/>
      <c r="N80" s="215"/>
    </row>
    <row r="85" spans="1:21" x14ac:dyDescent="0.15">
      <c r="A85" s="199"/>
      <c r="O85" s="199"/>
    </row>
    <row r="88" spans="1:21" ht="15" thickBot="1" x14ac:dyDescent="0.2"/>
    <row r="89" spans="1:21" ht="26.25" customHeight="1" x14ac:dyDescent="0.15">
      <c r="B89" s="200"/>
      <c r="C89" s="201"/>
      <c r="D89" s="201"/>
      <c r="E89" s="201"/>
      <c r="F89" s="201"/>
      <c r="G89" s="201"/>
      <c r="H89" s="201"/>
      <c r="I89" s="201"/>
      <c r="J89" s="201"/>
      <c r="K89" s="201"/>
      <c r="L89" s="201"/>
      <c r="M89" s="201"/>
      <c r="N89" s="202"/>
    </row>
    <row r="90" spans="1:21" ht="27.75" thickBot="1" x14ac:dyDescent="0.2">
      <c r="B90" s="203"/>
      <c r="C90" s="204"/>
      <c r="D90" s="204"/>
      <c r="E90" s="204"/>
      <c r="F90" s="719" t="s">
        <v>132</v>
      </c>
      <c r="G90" s="719"/>
      <c r="H90" s="719"/>
      <c r="I90" s="719"/>
      <c r="J90" s="719"/>
      <c r="K90" s="719"/>
      <c r="L90" s="204"/>
      <c r="M90" s="204"/>
      <c r="N90" s="205"/>
    </row>
    <row r="91" spans="1:21" ht="15" thickTop="1" x14ac:dyDescent="0.15">
      <c r="B91" s="203"/>
      <c r="N91" s="205"/>
    </row>
    <row r="92" spans="1:21" ht="27" x14ac:dyDescent="0.15">
      <c r="B92" s="203"/>
      <c r="C92" s="718" t="str">
        <f>VLOOKUP(P92,県体学校名!$B$4:$I$15,8,FALSE)&amp;" 様"</f>
        <v xml:space="preserve"> 様</v>
      </c>
      <c r="D92" s="718"/>
      <c r="E92" s="718"/>
      <c r="F92" s="718"/>
      <c r="G92" s="718"/>
      <c r="H92" s="718"/>
      <c r="I92" s="718"/>
      <c r="M92" s="216">
        <f ca="1">$M$8</f>
        <v>45850</v>
      </c>
      <c r="N92" s="205"/>
      <c r="P92" s="58">
        <f>P71+1</f>
        <v>5</v>
      </c>
    </row>
    <row r="93" spans="1:21" ht="15" thickBot="1" x14ac:dyDescent="0.2">
      <c r="B93" s="203"/>
      <c r="E93" s="83">
        <v>6</v>
      </c>
      <c r="F93" s="83">
        <v>5</v>
      </c>
      <c r="G93" s="83">
        <v>4</v>
      </c>
      <c r="H93" s="83">
        <v>3</v>
      </c>
      <c r="I93" s="83">
        <v>2</v>
      </c>
      <c r="J93" s="83">
        <v>1</v>
      </c>
      <c r="K93" s="83">
        <v>0</v>
      </c>
      <c r="N93" s="205"/>
    </row>
    <row r="94" spans="1:21" ht="33.75" customHeight="1" thickBot="1" x14ac:dyDescent="0.2">
      <c r="B94" s="203"/>
      <c r="D94" s="207" t="s">
        <v>133</v>
      </c>
      <c r="E94" s="208" t="str">
        <f t="shared" ref="E94:K94" si="4">IF(E93&gt;=$T94,"",MID($R94,$T94-E93,1))</f>
        <v/>
      </c>
      <c r="F94" s="209" t="str">
        <f t="shared" si="4"/>
        <v/>
      </c>
      <c r="G94" s="444" t="str">
        <f t="shared" si="4"/>
        <v>1</v>
      </c>
      <c r="H94" s="445" t="str">
        <f t="shared" si="4"/>
        <v>9</v>
      </c>
      <c r="I94" s="446" t="str">
        <f t="shared" si="4"/>
        <v>0</v>
      </c>
      <c r="J94" s="444" t="str">
        <f t="shared" si="4"/>
        <v>0</v>
      </c>
      <c r="K94" s="444" t="str">
        <f t="shared" si="4"/>
        <v>0</v>
      </c>
      <c r="L94" s="210" t="s">
        <v>134</v>
      </c>
      <c r="N94" s="205"/>
      <c r="P94" s="58">
        <v>38</v>
      </c>
      <c r="Q94" s="58" t="s">
        <v>135</v>
      </c>
      <c r="R94" s="58">
        <f>P94*$P$2</f>
        <v>19000</v>
      </c>
      <c r="S94" s="58" t="s">
        <v>134</v>
      </c>
      <c r="T94" s="58">
        <f>LEN(R94)</f>
        <v>5</v>
      </c>
      <c r="U94" s="58" t="e">
        <f>#REF!</f>
        <v>#REF!</v>
      </c>
    </row>
    <row r="95" spans="1:21" ht="22.5" customHeight="1" x14ac:dyDescent="0.2">
      <c r="B95" s="203"/>
      <c r="D95" s="211" t="s">
        <v>136</v>
      </c>
      <c r="E95" s="211"/>
      <c r="F95" s="211"/>
      <c r="G95" s="211"/>
      <c r="H95" s="211"/>
      <c r="I95" s="211"/>
      <c r="J95" s="212"/>
      <c r="K95" s="212"/>
      <c r="L95" s="212"/>
      <c r="N95" s="205"/>
    </row>
    <row r="96" spans="1:21" x14ac:dyDescent="0.15">
      <c r="B96" s="203"/>
      <c r="N96" s="205"/>
    </row>
    <row r="97" spans="1:15" x14ac:dyDescent="0.15">
      <c r="B97" s="203"/>
      <c r="D97" s="58" t="s">
        <v>137</v>
      </c>
      <c r="N97" s="205"/>
    </row>
    <row r="98" spans="1:15" x14ac:dyDescent="0.15">
      <c r="B98" s="203"/>
      <c r="N98" s="205"/>
    </row>
    <row r="99" spans="1:15" x14ac:dyDescent="0.15">
      <c r="B99" s="203"/>
      <c r="H99" s="58" t="s">
        <v>138</v>
      </c>
      <c r="N99" s="205"/>
    </row>
    <row r="100" spans="1:15" ht="24.75" x14ac:dyDescent="0.15">
      <c r="B100" s="203"/>
      <c r="K100" s="62" t="s">
        <v>139</v>
      </c>
      <c r="M100" s="720" t="str">
        <f>$M$16</f>
        <v>酒 巻　浩 司</v>
      </c>
      <c r="N100" s="721"/>
    </row>
    <row r="101" spans="1:15" ht="26.25" customHeight="1" thickBot="1" x14ac:dyDescent="0.2">
      <c r="B101" s="213"/>
      <c r="C101" s="214"/>
      <c r="D101" s="214"/>
      <c r="E101" s="214"/>
      <c r="F101" s="214"/>
      <c r="G101" s="214"/>
      <c r="H101" s="214"/>
      <c r="I101" s="214"/>
      <c r="J101" s="214"/>
      <c r="K101" s="214"/>
      <c r="L101" s="214"/>
      <c r="M101" s="214"/>
      <c r="N101" s="215"/>
    </row>
    <row r="106" spans="1:15" x14ac:dyDescent="0.15">
      <c r="A106" s="199"/>
      <c r="O106" s="199"/>
    </row>
    <row r="109" spans="1:15" ht="15" thickBot="1" x14ac:dyDescent="0.2"/>
    <row r="110" spans="1:15" ht="26.25" customHeight="1" x14ac:dyDescent="0.15">
      <c r="B110" s="200"/>
      <c r="C110" s="201"/>
      <c r="D110" s="201"/>
      <c r="E110" s="201"/>
      <c r="F110" s="201"/>
      <c r="G110" s="201"/>
      <c r="H110" s="201"/>
      <c r="I110" s="201"/>
      <c r="J110" s="201"/>
      <c r="K110" s="201"/>
      <c r="L110" s="201"/>
      <c r="M110" s="201"/>
      <c r="N110" s="202"/>
    </row>
    <row r="111" spans="1:15" ht="27.75" thickBot="1" x14ac:dyDescent="0.2">
      <c r="B111" s="203"/>
      <c r="C111" s="204"/>
      <c r="D111" s="204"/>
      <c r="E111" s="204"/>
      <c r="F111" s="719" t="s">
        <v>132</v>
      </c>
      <c r="G111" s="719"/>
      <c r="H111" s="719"/>
      <c r="I111" s="719"/>
      <c r="J111" s="719"/>
      <c r="K111" s="719"/>
      <c r="L111" s="204"/>
      <c r="M111" s="204"/>
      <c r="N111" s="205"/>
    </row>
    <row r="112" spans="1:15" ht="15" thickTop="1" x14ac:dyDescent="0.15">
      <c r="B112" s="203"/>
      <c r="N112" s="205"/>
    </row>
    <row r="113" spans="1:21" ht="27" x14ac:dyDescent="0.15">
      <c r="B113" s="203"/>
      <c r="C113" s="718" t="str">
        <f>VLOOKUP(P113,県体学校名!$B$4:$I$15,8,FALSE)&amp;" 様"</f>
        <v xml:space="preserve"> 様</v>
      </c>
      <c r="D113" s="718"/>
      <c r="E113" s="718"/>
      <c r="F113" s="718"/>
      <c r="G113" s="718"/>
      <c r="H113" s="718"/>
      <c r="I113" s="718"/>
      <c r="M113" s="216">
        <f ca="1">$M$8</f>
        <v>45850</v>
      </c>
      <c r="N113" s="205"/>
      <c r="P113" s="58">
        <f>P92+1</f>
        <v>6</v>
      </c>
    </row>
    <row r="114" spans="1:21" ht="15" thickBot="1" x14ac:dyDescent="0.2">
      <c r="B114" s="203"/>
      <c r="E114" s="83">
        <v>6</v>
      </c>
      <c r="F114" s="83">
        <v>5</v>
      </c>
      <c r="G114" s="83">
        <v>4</v>
      </c>
      <c r="H114" s="83">
        <v>3</v>
      </c>
      <c r="I114" s="83">
        <v>2</v>
      </c>
      <c r="J114" s="83">
        <v>1</v>
      </c>
      <c r="K114" s="83">
        <v>0</v>
      </c>
      <c r="N114" s="205"/>
    </row>
    <row r="115" spans="1:21" ht="33.75" customHeight="1" thickBot="1" x14ac:dyDescent="0.2">
      <c r="B115" s="203"/>
      <c r="D115" s="207" t="s">
        <v>133</v>
      </c>
      <c r="E115" s="208" t="str">
        <f t="shared" ref="E115:K115" si="5">IF(E114&gt;=$T115,"",MID($R115,$T115-E114,1))</f>
        <v/>
      </c>
      <c r="F115" s="209" t="str">
        <f t="shared" si="5"/>
        <v/>
      </c>
      <c r="G115" s="444" t="str">
        <f t="shared" si="5"/>
        <v>1</v>
      </c>
      <c r="H115" s="445" t="str">
        <f t="shared" si="5"/>
        <v>0</v>
      </c>
      <c r="I115" s="446" t="str">
        <f t="shared" si="5"/>
        <v>0</v>
      </c>
      <c r="J115" s="444" t="str">
        <f t="shared" si="5"/>
        <v>0</v>
      </c>
      <c r="K115" s="444" t="str">
        <f t="shared" si="5"/>
        <v>0</v>
      </c>
      <c r="L115" s="210" t="s">
        <v>134</v>
      </c>
      <c r="N115" s="205"/>
      <c r="P115" s="58">
        <v>20</v>
      </c>
      <c r="Q115" s="58" t="s">
        <v>135</v>
      </c>
      <c r="R115" s="58">
        <f>P115*$P$2</f>
        <v>10000</v>
      </c>
      <c r="S115" s="58" t="s">
        <v>134</v>
      </c>
      <c r="T115" s="58">
        <f>LEN(R115)</f>
        <v>5</v>
      </c>
      <c r="U115" s="58" t="e">
        <f t="shared" ref="U115" si="6">U94</f>
        <v>#REF!</v>
      </c>
    </row>
    <row r="116" spans="1:21" ht="22.5" customHeight="1" x14ac:dyDescent="0.2">
      <c r="B116" s="203"/>
      <c r="D116" s="211" t="s">
        <v>136</v>
      </c>
      <c r="E116" s="211"/>
      <c r="F116" s="211"/>
      <c r="G116" s="211"/>
      <c r="H116" s="211"/>
      <c r="I116" s="211"/>
      <c r="J116" s="212"/>
      <c r="K116" s="212"/>
      <c r="L116" s="212"/>
      <c r="N116" s="205"/>
    </row>
    <row r="117" spans="1:21" x14ac:dyDescent="0.15">
      <c r="B117" s="203"/>
      <c r="N117" s="205"/>
    </row>
    <row r="118" spans="1:21" x14ac:dyDescent="0.15">
      <c r="B118" s="203"/>
      <c r="D118" s="58" t="s">
        <v>137</v>
      </c>
      <c r="N118" s="205"/>
    </row>
    <row r="119" spans="1:21" x14ac:dyDescent="0.15">
      <c r="B119" s="203"/>
      <c r="N119" s="205"/>
    </row>
    <row r="120" spans="1:21" x14ac:dyDescent="0.15">
      <c r="B120" s="203"/>
      <c r="H120" s="58" t="s">
        <v>138</v>
      </c>
      <c r="N120" s="205"/>
    </row>
    <row r="121" spans="1:21" ht="24.75" x14ac:dyDescent="0.15">
      <c r="B121" s="203"/>
      <c r="K121" s="62" t="s">
        <v>139</v>
      </c>
      <c r="M121" s="720" t="str">
        <f>$M$16</f>
        <v>酒 巻　浩 司</v>
      </c>
      <c r="N121" s="721"/>
    </row>
    <row r="122" spans="1:21" ht="26.25" customHeight="1" thickBot="1" x14ac:dyDescent="0.2">
      <c r="B122" s="213"/>
      <c r="C122" s="214"/>
      <c r="D122" s="214"/>
      <c r="E122" s="214"/>
      <c r="F122" s="214"/>
      <c r="G122" s="214"/>
      <c r="H122" s="214"/>
      <c r="I122" s="214"/>
      <c r="J122" s="214"/>
      <c r="K122" s="214"/>
      <c r="L122" s="214"/>
      <c r="M122" s="214"/>
      <c r="N122" s="215"/>
    </row>
    <row r="126" spans="1:21" x14ac:dyDescent="0.15">
      <c r="A126" s="217"/>
      <c r="O126" s="217"/>
    </row>
    <row r="127" spans="1:21" x14ac:dyDescent="0.15">
      <c r="A127" s="199"/>
      <c r="O127" s="199"/>
    </row>
    <row r="130" spans="2:21" ht="15" thickBot="1" x14ac:dyDescent="0.2"/>
    <row r="131" spans="2:21" ht="26.25" customHeight="1" x14ac:dyDescent="0.15">
      <c r="B131" s="200"/>
      <c r="C131" s="201"/>
      <c r="D131" s="201"/>
      <c r="E131" s="201"/>
      <c r="F131" s="201"/>
      <c r="G131" s="201"/>
      <c r="H131" s="201"/>
      <c r="I131" s="201"/>
      <c r="J131" s="201"/>
      <c r="K131" s="201"/>
      <c r="L131" s="201"/>
      <c r="M131" s="201"/>
      <c r="N131" s="202"/>
    </row>
    <row r="132" spans="2:21" ht="27.75" thickBot="1" x14ac:dyDescent="0.2">
      <c r="B132" s="203"/>
      <c r="C132" s="204"/>
      <c r="D132" s="204"/>
      <c r="E132" s="204"/>
      <c r="F132" s="719" t="s">
        <v>132</v>
      </c>
      <c r="G132" s="719"/>
      <c r="H132" s="719"/>
      <c r="I132" s="719"/>
      <c r="J132" s="719"/>
      <c r="K132" s="719"/>
      <c r="L132" s="204"/>
      <c r="M132" s="204"/>
      <c r="N132" s="205"/>
    </row>
    <row r="133" spans="2:21" ht="15" thickTop="1" x14ac:dyDescent="0.15">
      <c r="B133" s="203"/>
      <c r="N133" s="205"/>
    </row>
    <row r="134" spans="2:21" ht="27" x14ac:dyDescent="0.15">
      <c r="B134" s="203"/>
      <c r="C134" s="718" t="str">
        <f>VLOOKUP(P134,県体学校名!$B$4:$I$15,8,FALSE)&amp;" 様"</f>
        <v xml:space="preserve"> 様</v>
      </c>
      <c r="D134" s="718"/>
      <c r="E134" s="718"/>
      <c r="F134" s="718"/>
      <c r="G134" s="718"/>
      <c r="H134" s="718"/>
      <c r="I134" s="718"/>
      <c r="M134" s="216">
        <f ca="1">$M$8</f>
        <v>45850</v>
      </c>
      <c r="N134" s="205"/>
      <c r="P134" s="58">
        <f>P113+1</f>
        <v>7</v>
      </c>
    </row>
    <row r="135" spans="2:21" ht="15" thickBot="1" x14ac:dyDescent="0.2">
      <c r="B135" s="203"/>
      <c r="E135" s="83">
        <v>6</v>
      </c>
      <c r="F135" s="83">
        <v>5</v>
      </c>
      <c r="G135" s="83">
        <v>4</v>
      </c>
      <c r="H135" s="83">
        <v>3</v>
      </c>
      <c r="I135" s="83">
        <v>2</v>
      </c>
      <c r="J135" s="83">
        <v>1</v>
      </c>
      <c r="K135" s="83">
        <v>0</v>
      </c>
      <c r="N135" s="205"/>
    </row>
    <row r="136" spans="2:21" ht="33.75" customHeight="1" thickBot="1" x14ac:dyDescent="0.2">
      <c r="B136" s="203"/>
      <c r="D136" s="207" t="s">
        <v>133</v>
      </c>
      <c r="E136" s="208" t="str">
        <f t="shared" ref="E136:K136" si="7">IF(E135&gt;=$T136,"",MID($R136,$T136-E135,1))</f>
        <v/>
      </c>
      <c r="F136" s="209" t="str">
        <f t="shared" si="7"/>
        <v/>
      </c>
      <c r="G136" s="444" t="str">
        <f t="shared" si="7"/>
        <v>1</v>
      </c>
      <c r="H136" s="445" t="str">
        <f t="shared" si="7"/>
        <v>0</v>
      </c>
      <c r="I136" s="446" t="str">
        <f t="shared" si="7"/>
        <v>0</v>
      </c>
      <c r="J136" s="444" t="str">
        <f t="shared" si="7"/>
        <v>0</v>
      </c>
      <c r="K136" s="444" t="str">
        <f t="shared" si="7"/>
        <v>0</v>
      </c>
      <c r="L136" s="210" t="s">
        <v>134</v>
      </c>
      <c r="N136" s="205"/>
      <c r="P136" s="58">
        <v>20</v>
      </c>
      <c r="Q136" s="58" t="s">
        <v>135</v>
      </c>
      <c r="R136" s="58">
        <f>P136*$P$2</f>
        <v>10000</v>
      </c>
      <c r="S136" s="58" t="s">
        <v>134</v>
      </c>
      <c r="T136" s="58">
        <f>LEN(R136)</f>
        <v>5</v>
      </c>
      <c r="U136" s="58" t="e">
        <f>#REF!</f>
        <v>#REF!</v>
      </c>
    </row>
    <row r="137" spans="2:21" ht="22.5" customHeight="1" x14ac:dyDescent="0.2">
      <c r="B137" s="203"/>
      <c r="D137" s="211" t="s">
        <v>136</v>
      </c>
      <c r="E137" s="211"/>
      <c r="F137" s="211"/>
      <c r="G137" s="211"/>
      <c r="H137" s="211"/>
      <c r="I137" s="211"/>
      <c r="J137" s="212"/>
      <c r="K137" s="212"/>
      <c r="L137" s="212"/>
      <c r="N137" s="205"/>
    </row>
    <row r="138" spans="2:21" x14ac:dyDescent="0.15">
      <c r="B138" s="203"/>
      <c r="N138" s="205"/>
    </row>
    <row r="139" spans="2:21" x14ac:dyDescent="0.15">
      <c r="B139" s="203"/>
      <c r="D139" s="58" t="s">
        <v>137</v>
      </c>
      <c r="N139" s="205"/>
    </row>
    <row r="140" spans="2:21" x14ac:dyDescent="0.15">
      <c r="B140" s="203"/>
      <c r="N140" s="205"/>
    </row>
    <row r="141" spans="2:21" x14ac:dyDescent="0.15">
      <c r="B141" s="203"/>
      <c r="H141" s="58" t="s">
        <v>138</v>
      </c>
      <c r="N141" s="205"/>
    </row>
    <row r="142" spans="2:21" ht="24.75" x14ac:dyDescent="0.15">
      <c r="B142" s="203"/>
      <c r="K142" s="62" t="s">
        <v>139</v>
      </c>
      <c r="M142" s="720" t="str">
        <f>$M$16</f>
        <v>酒 巻　浩 司</v>
      </c>
      <c r="N142" s="721"/>
    </row>
    <row r="143" spans="2:21" ht="26.25" customHeight="1" thickBot="1" x14ac:dyDescent="0.2">
      <c r="B143" s="213"/>
      <c r="C143" s="214"/>
      <c r="D143" s="214"/>
      <c r="E143" s="214"/>
      <c r="F143" s="214"/>
      <c r="G143" s="214"/>
      <c r="H143" s="214"/>
      <c r="I143" s="214"/>
      <c r="J143" s="214"/>
      <c r="K143" s="214"/>
      <c r="L143" s="214"/>
      <c r="M143" s="214"/>
      <c r="N143" s="215"/>
    </row>
    <row r="148" spans="1:21" x14ac:dyDescent="0.15">
      <c r="A148" s="199"/>
      <c r="O148" s="199"/>
    </row>
    <row r="151" spans="1:21" ht="15" thickBot="1" x14ac:dyDescent="0.2"/>
    <row r="152" spans="1:21" ht="26.25" customHeight="1" x14ac:dyDescent="0.15">
      <c r="B152" s="200"/>
      <c r="C152" s="201"/>
      <c r="D152" s="201"/>
      <c r="E152" s="201"/>
      <c r="F152" s="201"/>
      <c r="G152" s="201"/>
      <c r="H152" s="201"/>
      <c r="I152" s="201"/>
      <c r="J152" s="201"/>
      <c r="K152" s="201"/>
      <c r="L152" s="201"/>
      <c r="M152" s="201"/>
      <c r="N152" s="202"/>
    </row>
    <row r="153" spans="1:21" ht="27.75" thickBot="1" x14ac:dyDescent="0.2">
      <c r="B153" s="203"/>
      <c r="C153" s="204"/>
      <c r="D153" s="204"/>
      <c r="E153" s="204"/>
      <c r="F153" s="719" t="s">
        <v>132</v>
      </c>
      <c r="G153" s="719"/>
      <c r="H153" s="719"/>
      <c r="I153" s="719"/>
      <c r="J153" s="719"/>
      <c r="K153" s="719"/>
      <c r="L153" s="204"/>
      <c r="M153" s="204"/>
      <c r="N153" s="205"/>
    </row>
    <row r="154" spans="1:21" ht="15" thickTop="1" x14ac:dyDescent="0.15">
      <c r="B154" s="203"/>
      <c r="N154" s="205"/>
    </row>
    <row r="155" spans="1:21" ht="27" x14ac:dyDescent="0.15">
      <c r="B155" s="203"/>
      <c r="C155" s="718" t="str">
        <f>VLOOKUP(P155,県体学校名!$B$4:$I$15,8,FALSE)&amp;" 様"</f>
        <v xml:space="preserve"> 様</v>
      </c>
      <c r="D155" s="718"/>
      <c r="E155" s="718"/>
      <c r="F155" s="718"/>
      <c r="G155" s="718"/>
      <c r="H155" s="718"/>
      <c r="I155" s="718"/>
      <c r="M155" s="216">
        <f ca="1">$M$8</f>
        <v>45850</v>
      </c>
      <c r="N155" s="205"/>
      <c r="P155" s="58">
        <f>P134+1</f>
        <v>8</v>
      </c>
    </row>
    <row r="156" spans="1:21" ht="15" thickBot="1" x14ac:dyDescent="0.2">
      <c r="B156" s="203"/>
      <c r="E156" s="83">
        <v>6</v>
      </c>
      <c r="F156" s="83">
        <v>5</v>
      </c>
      <c r="G156" s="83">
        <v>4</v>
      </c>
      <c r="H156" s="83">
        <v>3</v>
      </c>
      <c r="I156" s="83">
        <v>2</v>
      </c>
      <c r="J156" s="83">
        <v>1</v>
      </c>
      <c r="K156" s="83">
        <v>0</v>
      </c>
      <c r="N156" s="205"/>
    </row>
    <row r="157" spans="1:21" ht="33.75" customHeight="1" thickBot="1" x14ac:dyDescent="0.2">
      <c r="B157" s="203"/>
      <c r="D157" s="207" t="s">
        <v>133</v>
      </c>
      <c r="E157" s="208" t="str">
        <f t="shared" ref="E157:K157" si="8">IF(E156&gt;=$T157,"",MID($R157,$T157-E156,1))</f>
        <v/>
      </c>
      <c r="F157" s="209" t="str">
        <f t="shared" si="8"/>
        <v/>
      </c>
      <c r="G157" s="444" t="str">
        <f t="shared" si="8"/>
        <v>1</v>
      </c>
      <c r="H157" s="445" t="str">
        <f t="shared" si="8"/>
        <v>0</v>
      </c>
      <c r="I157" s="446" t="str">
        <f t="shared" si="8"/>
        <v>5</v>
      </c>
      <c r="J157" s="444" t="str">
        <f t="shared" si="8"/>
        <v>0</v>
      </c>
      <c r="K157" s="444" t="str">
        <f t="shared" si="8"/>
        <v>0</v>
      </c>
      <c r="L157" s="210" t="s">
        <v>134</v>
      </c>
      <c r="N157" s="205"/>
      <c r="P157" s="58">
        <v>21</v>
      </c>
      <c r="Q157" s="58" t="s">
        <v>135</v>
      </c>
      <c r="R157" s="58">
        <f>P157*$P$2</f>
        <v>10500</v>
      </c>
      <c r="S157" s="58" t="s">
        <v>134</v>
      </c>
      <c r="T157" s="58">
        <f>LEN(R157)</f>
        <v>5</v>
      </c>
      <c r="U157" s="58" t="e">
        <f t="shared" ref="U157" si="9">U136</f>
        <v>#REF!</v>
      </c>
    </row>
    <row r="158" spans="1:21" ht="22.5" customHeight="1" x14ac:dyDescent="0.2">
      <c r="B158" s="203"/>
      <c r="D158" s="211" t="s">
        <v>136</v>
      </c>
      <c r="E158" s="211"/>
      <c r="F158" s="211"/>
      <c r="G158" s="211"/>
      <c r="H158" s="211"/>
      <c r="I158" s="211"/>
      <c r="J158" s="212"/>
      <c r="K158" s="212"/>
      <c r="L158" s="212"/>
      <c r="N158" s="205"/>
    </row>
    <row r="159" spans="1:21" x14ac:dyDescent="0.15">
      <c r="B159" s="203"/>
      <c r="N159" s="205"/>
    </row>
    <row r="160" spans="1:21" x14ac:dyDescent="0.15">
      <c r="B160" s="203"/>
      <c r="D160" s="58" t="s">
        <v>137</v>
      </c>
      <c r="N160" s="205"/>
    </row>
    <row r="161" spans="1:16" x14ac:dyDescent="0.15">
      <c r="B161" s="203"/>
      <c r="N161" s="205"/>
    </row>
    <row r="162" spans="1:16" x14ac:dyDescent="0.15">
      <c r="B162" s="203"/>
      <c r="H162" s="58" t="s">
        <v>138</v>
      </c>
      <c r="N162" s="205"/>
    </row>
    <row r="163" spans="1:16" ht="24.75" x14ac:dyDescent="0.15">
      <c r="B163" s="203"/>
      <c r="K163" s="62" t="s">
        <v>139</v>
      </c>
      <c r="M163" s="720" t="str">
        <f>$M$16</f>
        <v>酒 巻　浩 司</v>
      </c>
      <c r="N163" s="721"/>
    </row>
    <row r="164" spans="1:16" ht="26.25" customHeight="1" thickBot="1" x14ac:dyDescent="0.2">
      <c r="B164" s="213"/>
      <c r="C164" s="214"/>
      <c r="D164" s="214"/>
      <c r="E164" s="214"/>
      <c r="F164" s="214"/>
      <c r="G164" s="214"/>
      <c r="H164" s="214"/>
      <c r="I164" s="214"/>
      <c r="J164" s="214"/>
      <c r="K164" s="214"/>
      <c r="L164" s="214"/>
      <c r="M164" s="214"/>
      <c r="N164" s="215"/>
    </row>
    <row r="169" spans="1:16" x14ac:dyDescent="0.15">
      <c r="A169" s="199"/>
      <c r="O169" s="199"/>
    </row>
    <row r="172" spans="1:16" ht="15" thickBot="1" x14ac:dyDescent="0.2"/>
    <row r="173" spans="1:16" ht="26.25" customHeight="1" x14ac:dyDescent="0.15">
      <c r="B173" s="200"/>
      <c r="C173" s="201"/>
      <c r="D173" s="201"/>
      <c r="E173" s="201"/>
      <c r="F173" s="201"/>
      <c r="G173" s="201"/>
      <c r="H173" s="201"/>
      <c r="I173" s="201"/>
      <c r="J173" s="201"/>
      <c r="K173" s="201"/>
      <c r="L173" s="201"/>
      <c r="M173" s="201"/>
      <c r="N173" s="202"/>
    </row>
    <row r="174" spans="1:16" ht="27.75" thickBot="1" x14ac:dyDescent="0.2">
      <c r="B174" s="203"/>
      <c r="C174" s="204"/>
      <c r="D174" s="204"/>
      <c r="E174" s="204"/>
      <c r="F174" s="719" t="s">
        <v>132</v>
      </c>
      <c r="G174" s="719"/>
      <c r="H174" s="719"/>
      <c r="I174" s="719"/>
      <c r="J174" s="719"/>
      <c r="K174" s="719"/>
      <c r="L174" s="204"/>
      <c r="M174" s="204"/>
      <c r="N174" s="205"/>
    </row>
    <row r="175" spans="1:16" ht="15" thickTop="1" x14ac:dyDescent="0.15">
      <c r="B175" s="203"/>
      <c r="N175" s="205"/>
    </row>
    <row r="176" spans="1:16" ht="27" x14ac:dyDescent="0.15">
      <c r="B176" s="203"/>
      <c r="C176" s="718" t="str">
        <f>VLOOKUP(P176,県体学校名!$B$4:$I$15,8,FALSE)&amp;" 様"</f>
        <v xml:space="preserve"> 様</v>
      </c>
      <c r="D176" s="718"/>
      <c r="E176" s="718"/>
      <c r="F176" s="718"/>
      <c r="G176" s="718"/>
      <c r="H176" s="718"/>
      <c r="I176" s="718"/>
      <c r="M176" s="216">
        <f ca="1">$M$8</f>
        <v>45850</v>
      </c>
      <c r="N176" s="205"/>
      <c r="P176" s="58">
        <f>P155+1</f>
        <v>9</v>
      </c>
    </row>
    <row r="177" spans="1:21" ht="15" thickBot="1" x14ac:dyDescent="0.2">
      <c r="B177" s="203"/>
      <c r="E177" s="83">
        <v>6</v>
      </c>
      <c r="F177" s="83">
        <v>5</v>
      </c>
      <c r="G177" s="83">
        <v>4</v>
      </c>
      <c r="H177" s="83">
        <v>3</v>
      </c>
      <c r="I177" s="83">
        <v>2</v>
      </c>
      <c r="J177" s="83">
        <v>1</v>
      </c>
      <c r="K177" s="83">
        <v>0</v>
      </c>
      <c r="N177" s="205"/>
    </row>
    <row r="178" spans="1:21" ht="33.75" customHeight="1" thickBot="1" x14ac:dyDescent="0.2">
      <c r="B178" s="203"/>
      <c r="D178" s="207" t="s">
        <v>133</v>
      </c>
      <c r="E178" s="208" t="str">
        <f t="shared" ref="E178:K178" si="10">IF(E177&gt;=$T178,"",MID($R178,$T178-E177,1))</f>
        <v/>
      </c>
      <c r="F178" s="209" t="str">
        <f t="shared" si="10"/>
        <v/>
      </c>
      <c r="G178" s="444" t="str">
        <f t="shared" si="10"/>
        <v/>
      </c>
      <c r="H178" s="445" t="str">
        <f t="shared" si="10"/>
        <v>9</v>
      </c>
      <c r="I178" s="446" t="str">
        <f t="shared" si="10"/>
        <v>0</v>
      </c>
      <c r="J178" s="444" t="str">
        <f t="shared" si="10"/>
        <v>0</v>
      </c>
      <c r="K178" s="444" t="str">
        <f t="shared" si="10"/>
        <v>0</v>
      </c>
      <c r="L178" s="210" t="s">
        <v>134</v>
      </c>
      <c r="N178" s="205"/>
      <c r="P178" s="58">
        <v>18</v>
      </c>
      <c r="Q178" s="58" t="s">
        <v>135</v>
      </c>
      <c r="R178" s="58">
        <f>P178*$P$2</f>
        <v>9000</v>
      </c>
      <c r="S178" s="58" t="s">
        <v>134</v>
      </c>
      <c r="T178" s="58">
        <f>LEN(R178)</f>
        <v>4</v>
      </c>
      <c r="U178" s="58" t="e">
        <f>#REF!</f>
        <v>#REF!</v>
      </c>
    </row>
    <row r="179" spans="1:21" ht="22.5" customHeight="1" x14ac:dyDescent="0.2">
      <c r="B179" s="203"/>
      <c r="D179" s="211" t="s">
        <v>136</v>
      </c>
      <c r="E179" s="211"/>
      <c r="F179" s="211"/>
      <c r="G179" s="211"/>
      <c r="H179" s="211"/>
      <c r="I179" s="211"/>
      <c r="J179" s="212"/>
      <c r="K179" s="212"/>
      <c r="L179" s="212"/>
      <c r="N179" s="205"/>
    </row>
    <row r="180" spans="1:21" x14ac:dyDescent="0.15">
      <c r="B180" s="203"/>
      <c r="N180" s="205"/>
    </row>
    <row r="181" spans="1:21" x14ac:dyDescent="0.15">
      <c r="B181" s="203"/>
      <c r="D181" s="58" t="s">
        <v>137</v>
      </c>
      <c r="N181" s="205"/>
    </row>
    <row r="182" spans="1:21" x14ac:dyDescent="0.15">
      <c r="B182" s="203"/>
      <c r="N182" s="205"/>
    </row>
    <row r="183" spans="1:21" x14ac:dyDescent="0.15">
      <c r="B183" s="203"/>
      <c r="H183" s="58" t="s">
        <v>138</v>
      </c>
      <c r="N183" s="205"/>
    </row>
    <row r="184" spans="1:21" ht="24.75" x14ac:dyDescent="0.15">
      <c r="B184" s="203"/>
      <c r="K184" s="62" t="s">
        <v>139</v>
      </c>
      <c r="M184" s="720" t="str">
        <f>$M$16</f>
        <v>酒 巻　浩 司</v>
      </c>
      <c r="N184" s="721"/>
    </row>
    <row r="185" spans="1:21" ht="26.25" customHeight="1" thickBot="1" x14ac:dyDescent="0.2">
      <c r="B185" s="213"/>
      <c r="C185" s="214"/>
      <c r="D185" s="214"/>
      <c r="E185" s="214"/>
      <c r="F185" s="214"/>
      <c r="G185" s="214"/>
      <c r="H185" s="214"/>
      <c r="I185" s="214"/>
      <c r="J185" s="214"/>
      <c r="K185" s="214"/>
      <c r="L185" s="214"/>
      <c r="M185" s="214"/>
      <c r="N185" s="215"/>
    </row>
    <row r="189" spans="1:21" x14ac:dyDescent="0.15">
      <c r="A189" s="217"/>
      <c r="O189" s="217"/>
    </row>
    <row r="190" spans="1:21" x14ac:dyDescent="0.15">
      <c r="A190" s="199"/>
      <c r="O190" s="199"/>
    </row>
    <row r="193" spans="2:21" ht="15" thickBot="1" x14ac:dyDescent="0.2"/>
    <row r="194" spans="2:21" ht="26.25" customHeight="1" x14ac:dyDescent="0.15">
      <c r="B194" s="200"/>
      <c r="C194" s="201"/>
      <c r="D194" s="201"/>
      <c r="E194" s="201"/>
      <c r="F194" s="201"/>
      <c r="G194" s="201"/>
      <c r="H194" s="201"/>
      <c r="I194" s="201"/>
      <c r="J194" s="201"/>
      <c r="K194" s="201"/>
      <c r="L194" s="201"/>
      <c r="M194" s="201"/>
      <c r="N194" s="202"/>
    </row>
    <row r="195" spans="2:21" ht="27.75" thickBot="1" x14ac:dyDescent="0.2">
      <c r="B195" s="203"/>
      <c r="C195" s="204"/>
      <c r="D195" s="204"/>
      <c r="E195" s="204"/>
      <c r="F195" s="719" t="s">
        <v>132</v>
      </c>
      <c r="G195" s="719"/>
      <c r="H195" s="719"/>
      <c r="I195" s="719"/>
      <c r="J195" s="719"/>
      <c r="K195" s="719"/>
      <c r="L195" s="204"/>
      <c r="M195" s="204"/>
      <c r="N195" s="205"/>
    </row>
    <row r="196" spans="2:21" ht="15" thickTop="1" x14ac:dyDescent="0.15">
      <c r="B196" s="203"/>
      <c r="N196" s="205"/>
    </row>
    <row r="197" spans="2:21" ht="27" x14ac:dyDescent="0.15">
      <c r="B197" s="203"/>
      <c r="C197" s="718" t="str">
        <f>VLOOKUP(P197,県体学校名!$B$4:$I$15,8,FALSE)&amp;" 様"</f>
        <v xml:space="preserve"> 様</v>
      </c>
      <c r="D197" s="718"/>
      <c r="E197" s="718"/>
      <c r="F197" s="718"/>
      <c r="G197" s="718"/>
      <c r="H197" s="718"/>
      <c r="I197" s="718"/>
      <c r="M197" s="216">
        <f ca="1">$M$8</f>
        <v>45850</v>
      </c>
      <c r="N197" s="205"/>
      <c r="P197" s="58">
        <f>P176+1</f>
        <v>10</v>
      </c>
    </row>
    <row r="198" spans="2:21" ht="15" thickBot="1" x14ac:dyDescent="0.2">
      <c r="B198" s="203"/>
      <c r="E198" s="83">
        <v>6</v>
      </c>
      <c r="F198" s="83">
        <v>5</v>
      </c>
      <c r="G198" s="83">
        <v>4</v>
      </c>
      <c r="H198" s="83">
        <v>3</v>
      </c>
      <c r="I198" s="83">
        <v>2</v>
      </c>
      <c r="J198" s="83">
        <v>1</v>
      </c>
      <c r="K198" s="83">
        <v>0</v>
      </c>
      <c r="N198" s="205"/>
    </row>
    <row r="199" spans="2:21" ht="33.75" customHeight="1" thickBot="1" x14ac:dyDescent="0.2">
      <c r="B199" s="203"/>
      <c r="D199" s="207" t="s">
        <v>133</v>
      </c>
      <c r="E199" s="208" t="str">
        <f t="shared" ref="E199:K199" si="11">IF(E198&gt;=$T199,"",MID($R199,$T199-E198,1))</f>
        <v/>
      </c>
      <c r="F199" s="209" t="str">
        <f t="shared" si="11"/>
        <v/>
      </c>
      <c r="G199" s="444" t="str">
        <f t="shared" si="11"/>
        <v>1</v>
      </c>
      <c r="H199" s="445" t="str">
        <f t="shared" si="11"/>
        <v>2</v>
      </c>
      <c r="I199" s="446" t="str">
        <f t="shared" si="11"/>
        <v>5</v>
      </c>
      <c r="J199" s="444" t="str">
        <f t="shared" si="11"/>
        <v>0</v>
      </c>
      <c r="K199" s="444" t="str">
        <f t="shared" si="11"/>
        <v>0</v>
      </c>
      <c r="L199" s="210" t="s">
        <v>134</v>
      </c>
      <c r="N199" s="205"/>
      <c r="P199" s="58">
        <v>25</v>
      </c>
      <c r="Q199" s="58" t="s">
        <v>135</v>
      </c>
      <c r="R199" s="58">
        <f>P199*$P$2</f>
        <v>12500</v>
      </c>
      <c r="S199" s="58" t="s">
        <v>134</v>
      </c>
      <c r="T199" s="58">
        <f>LEN(R199)</f>
        <v>5</v>
      </c>
      <c r="U199" s="58" t="e">
        <f t="shared" ref="U199" si="12">U178</f>
        <v>#REF!</v>
      </c>
    </row>
    <row r="200" spans="2:21" ht="22.5" customHeight="1" x14ac:dyDescent="0.2">
      <c r="B200" s="203"/>
      <c r="D200" s="211" t="s">
        <v>136</v>
      </c>
      <c r="E200" s="211"/>
      <c r="F200" s="211"/>
      <c r="G200" s="211"/>
      <c r="H200" s="211"/>
      <c r="I200" s="211"/>
      <c r="J200" s="212"/>
      <c r="K200" s="212"/>
      <c r="L200" s="212"/>
      <c r="N200" s="205"/>
    </row>
    <row r="201" spans="2:21" x14ac:dyDescent="0.15">
      <c r="B201" s="203"/>
      <c r="N201" s="205"/>
    </row>
    <row r="202" spans="2:21" x14ac:dyDescent="0.15">
      <c r="B202" s="203"/>
      <c r="D202" s="58" t="s">
        <v>137</v>
      </c>
      <c r="N202" s="205"/>
    </row>
    <row r="203" spans="2:21" x14ac:dyDescent="0.15">
      <c r="B203" s="203"/>
      <c r="N203" s="205"/>
    </row>
    <row r="204" spans="2:21" x14ac:dyDescent="0.15">
      <c r="B204" s="203"/>
      <c r="H204" s="58" t="s">
        <v>138</v>
      </c>
      <c r="N204" s="205"/>
    </row>
    <row r="205" spans="2:21" ht="24.75" x14ac:dyDescent="0.15">
      <c r="B205" s="203"/>
      <c r="K205" s="62" t="s">
        <v>139</v>
      </c>
      <c r="M205" s="720" t="str">
        <f>$M$16</f>
        <v>酒 巻　浩 司</v>
      </c>
      <c r="N205" s="721"/>
    </row>
    <row r="206" spans="2:21" ht="26.25" customHeight="1" thickBot="1" x14ac:dyDescent="0.2">
      <c r="B206" s="213"/>
      <c r="C206" s="214"/>
      <c r="D206" s="214"/>
      <c r="E206" s="214"/>
      <c r="F206" s="214"/>
      <c r="G206" s="214"/>
      <c r="H206" s="214"/>
      <c r="I206" s="214"/>
      <c r="J206" s="214"/>
      <c r="K206" s="214"/>
      <c r="L206" s="214"/>
      <c r="M206" s="214"/>
      <c r="N206" s="215"/>
    </row>
    <row r="211" spans="1:21" x14ac:dyDescent="0.15">
      <c r="A211" s="199"/>
      <c r="O211" s="199"/>
    </row>
    <row r="214" spans="1:21" ht="15" thickBot="1" x14ac:dyDescent="0.2"/>
    <row r="215" spans="1:21" ht="26.25" customHeight="1" x14ac:dyDescent="0.15">
      <c r="B215" s="200"/>
      <c r="C215" s="201"/>
      <c r="D215" s="201"/>
      <c r="E215" s="201"/>
      <c r="F215" s="201"/>
      <c r="G215" s="201"/>
      <c r="H215" s="201"/>
      <c r="I215" s="201"/>
      <c r="J215" s="201"/>
      <c r="K215" s="201"/>
      <c r="L215" s="201"/>
      <c r="M215" s="201"/>
      <c r="N215" s="202"/>
    </row>
    <row r="216" spans="1:21" ht="27.75" thickBot="1" x14ac:dyDescent="0.2">
      <c r="B216" s="203"/>
      <c r="C216" s="204"/>
      <c r="D216" s="204"/>
      <c r="E216" s="204"/>
      <c r="F216" s="719" t="s">
        <v>132</v>
      </c>
      <c r="G216" s="719"/>
      <c r="H216" s="719"/>
      <c r="I216" s="719"/>
      <c r="J216" s="719"/>
      <c r="K216" s="719"/>
      <c r="L216" s="204"/>
      <c r="M216" s="204"/>
      <c r="N216" s="205"/>
    </row>
    <row r="217" spans="1:21" ht="15" thickTop="1" x14ac:dyDescent="0.15">
      <c r="B217" s="203"/>
      <c r="N217" s="205"/>
    </row>
    <row r="218" spans="1:21" ht="27" x14ac:dyDescent="0.15">
      <c r="B218" s="203"/>
      <c r="C218" s="718" t="str">
        <f>VLOOKUP(P218,県体学校名!$B$4:$I$15,8,FALSE)&amp;" 様"</f>
        <v xml:space="preserve"> 様</v>
      </c>
      <c r="D218" s="718"/>
      <c r="E218" s="718"/>
      <c r="F218" s="718"/>
      <c r="G218" s="718"/>
      <c r="H218" s="718"/>
      <c r="I218" s="718"/>
      <c r="M218" s="216">
        <f ca="1">$M$8</f>
        <v>45850</v>
      </c>
      <c r="N218" s="205"/>
      <c r="P218" s="58">
        <f>P197+1</f>
        <v>11</v>
      </c>
    </row>
    <row r="219" spans="1:21" ht="15" thickBot="1" x14ac:dyDescent="0.2">
      <c r="B219" s="203"/>
      <c r="E219" s="83">
        <v>6</v>
      </c>
      <c r="F219" s="83">
        <v>5</v>
      </c>
      <c r="G219" s="83">
        <v>4</v>
      </c>
      <c r="H219" s="83">
        <v>3</v>
      </c>
      <c r="I219" s="83">
        <v>2</v>
      </c>
      <c r="J219" s="83">
        <v>1</v>
      </c>
      <c r="K219" s="83">
        <v>0</v>
      </c>
      <c r="N219" s="205"/>
    </row>
    <row r="220" spans="1:21" ht="33.75" customHeight="1" thickBot="1" x14ac:dyDescent="0.2">
      <c r="B220" s="203"/>
      <c r="D220" s="207" t="s">
        <v>133</v>
      </c>
      <c r="E220" s="208" t="str">
        <f t="shared" ref="E220:K220" si="13">IF(E219&gt;=$T220,"",MID($R220,$T220-E219,1))</f>
        <v/>
      </c>
      <c r="F220" s="209" t="str">
        <f t="shared" si="13"/>
        <v/>
      </c>
      <c r="G220" s="444" t="str">
        <f t="shared" si="13"/>
        <v>1</v>
      </c>
      <c r="H220" s="445" t="str">
        <f t="shared" si="13"/>
        <v>7</v>
      </c>
      <c r="I220" s="446" t="str">
        <f t="shared" si="13"/>
        <v>5</v>
      </c>
      <c r="J220" s="444" t="str">
        <f t="shared" si="13"/>
        <v>0</v>
      </c>
      <c r="K220" s="444" t="str">
        <f t="shared" si="13"/>
        <v>0</v>
      </c>
      <c r="L220" s="210" t="s">
        <v>134</v>
      </c>
      <c r="N220" s="205"/>
      <c r="P220" s="58">
        <v>35</v>
      </c>
      <c r="Q220" s="58" t="s">
        <v>135</v>
      </c>
      <c r="R220" s="58">
        <f>P220*$P$2</f>
        <v>17500</v>
      </c>
      <c r="S220" s="58" t="s">
        <v>134</v>
      </c>
      <c r="T220" s="58">
        <f>LEN(R220)</f>
        <v>5</v>
      </c>
      <c r="U220" s="58" t="e">
        <f>#REF!</f>
        <v>#REF!</v>
      </c>
    </row>
    <row r="221" spans="1:21" ht="22.5" customHeight="1" x14ac:dyDescent="0.2">
      <c r="B221" s="203"/>
      <c r="D221" s="211" t="s">
        <v>136</v>
      </c>
      <c r="E221" s="211"/>
      <c r="F221" s="211"/>
      <c r="G221" s="211"/>
      <c r="H221" s="211"/>
      <c r="I221" s="211"/>
      <c r="J221" s="212"/>
      <c r="K221" s="212"/>
      <c r="L221" s="212"/>
      <c r="N221" s="205"/>
    </row>
    <row r="222" spans="1:21" x14ac:dyDescent="0.15">
      <c r="B222" s="203"/>
      <c r="N222" s="205"/>
    </row>
    <row r="223" spans="1:21" x14ac:dyDescent="0.15">
      <c r="B223" s="203"/>
      <c r="D223" s="58" t="s">
        <v>137</v>
      </c>
      <c r="N223" s="205"/>
    </row>
    <row r="224" spans="1:21" x14ac:dyDescent="0.15">
      <c r="B224" s="203"/>
      <c r="N224" s="205"/>
    </row>
    <row r="225" spans="1:16" x14ac:dyDescent="0.15">
      <c r="B225" s="203"/>
      <c r="H225" s="58" t="s">
        <v>138</v>
      </c>
      <c r="N225" s="205"/>
    </row>
    <row r="226" spans="1:16" ht="24.75" x14ac:dyDescent="0.15">
      <c r="B226" s="203"/>
      <c r="K226" s="62" t="s">
        <v>139</v>
      </c>
      <c r="M226" s="720" t="str">
        <f>$M$16</f>
        <v>酒 巻　浩 司</v>
      </c>
      <c r="N226" s="721"/>
    </row>
    <row r="227" spans="1:16" ht="26.25" customHeight="1" thickBot="1" x14ac:dyDescent="0.2">
      <c r="B227" s="213"/>
      <c r="C227" s="214"/>
      <c r="D227" s="214"/>
      <c r="E227" s="214"/>
      <c r="F227" s="214"/>
      <c r="G227" s="214"/>
      <c r="H227" s="214"/>
      <c r="I227" s="214"/>
      <c r="J227" s="214"/>
      <c r="K227" s="214"/>
      <c r="L227" s="214"/>
      <c r="M227" s="214"/>
      <c r="N227" s="215"/>
    </row>
    <row r="232" spans="1:16" x14ac:dyDescent="0.15">
      <c r="A232" s="199"/>
      <c r="O232" s="199"/>
    </row>
    <row r="235" spans="1:16" ht="15" thickBot="1" x14ac:dyDescent="0.2"/>
    <row r="236" spans="1:16" ht="26.25" customHeight="1" x14ac:dyDescent="0.15">
      <c r="B236" s="200"/>
      <c r="C236" s="201"/>
      <c r="D236" s="201"/>
      <c r="E236" s="201"/>
      <c r="F236" s="201"/>
      <c r="G236" s="201"/>
      <c r="H236" s="201"/>
      <c r="I236" s="201"/>
      <c r="J236" s="201"/>
      <c r="K236" s="201"/>
      <c r="L236" s="201"/>
      <c r="M236" s="201"/>
      <c r="N236" s="202"/>
    </row>
    <row r="237" spans="1:16" ht="27.75" thickBot="1" x14ac:dyDescent="0.2">
      <c r="B237" s="203"/>
      <c r="C237" s="204"/>
      <c r="D237" s="204"/>
      <c r="E237" s="204"/>
      <c r="F237" s="719" t="s">
        <v>132</v>
      </c>
      <c r="G237" s="719"/>
      <c r="H237" s="719"/>
      <c r="I237" s="719"/>
      <c r="J237" s="719"/>
      <c r="K237" s="719"/>
      <c r="L237" s="204"/>
      <c r="M237" s="204"/>
      <c r="N237" s="205"/>
    </row>
    <row r="238" spans="1:16" ht="15" thickTop="1" x14ac:dyDescent="0.15">
      <c r="B238" s="203"/>
      <c r="N238" s="205"/>
    </row>
    <row r="239" spans="1:16" ht="27" x14ac:dyDescent="0.15">
      <c r="B239" s="203"/>
      <c r="C239" s="718" t="str">
        <f>VLOOKUP(P239,県体学校名!$B$4:$I$15,8,FALSE)&amp;" 様"</f>
        <v xml:space="preserve"> 様</v>
      </c>
      <c r="D239" s="718"/>
      <c r="E239" s="718"/>
      <c r="F239" s="718"/>
      <c r="G239" s="718"/>
      <c r="H239" s="718"/>
      <c r="I239" s="718"/>
      <c r="M239" s="216">
        <f ca="1">$M$8</f>
        <v>45850</v>
      </c>
      <c r="N239" s="205"/>
      <c r="P239" s="58">
        <f>P218+1</f>
        <v>12</v>
      </c>
    </row>
    <row r="240" spans="1:16" ht="15" thickBot="1" x14ac:dyDescent="0.2">
      <c r="B240" s="203"/>
      <c r="E240" s="83">
        <v>6</v>
      </c>
      <c r="F240" s="83">
        <v>5</v>
      </c>
      <c r="G240" s="83">
        <v>4</v>
      </c>
      <c r="H240" s="83">
        <v>3</v>
      </c>
      <c r="I240" s="83">
        <v>2</v>
      </c>
      <c r="J240" s="83">
        <v>1</v>
      </c>
      <c r="K240" s="83">
        <v>0</v>
      </c>
      <c r="N240" s="205"/>
    </row>
    <row r="241" spans="1:21" ht="33.75" customHeight="1" thickBot="1" x14ac:dyDescent="0.2">
      <c r="B241" s="203"/>
      <c r="D241" s="207" t="s">
        <v>133</v>
      </c>
      <c r="E241" s="208" t="str">
        <f t="shared" ref="E241:K241" si="14">IF(E240&gt;=$T241,"",MID($R241,$T241-E240,1))</f>
        <v/>
      </c>
      <c r="F241" s="209" t="str">
        <f t="shared" si="14"/>
        <v/>
      </c>
      <c r="G241" s="444" t="str">
        <f t="shared" si="14"/>
        <v>1</v>
      </c>
      <c r="H241" s="445" t="str">
        <f t="shared" si="14"/>
        <v>2</v>
      </c>
      <c r="I241" s="446" t="str">
        <f t="shared" si="14"/>
        <v>5</v>
      </c>
      <c r="J241" s="444" t="str">
        <f t="shared" si="14"/>
        <v>0</v>
      </c>
      <c r="K241" s="444" t="str">
        <f t="shared" si="14"/>
        <v>0</v>
      </c>
      <c r="L241" s="210" t="s">
        <v>134</v>
      </c>
      <c r="N241" s="205"/>
      <c r="P241" s="58">
        <v>25</v>
      </c>
      <c r="Q241" s="58" t="s">
        <v>135</v>
      </c>
      <c r="R241" s="58">
        <f>P241*$P$2</f>
        <v>12500</v>
      </c>
      <c r="S241" s="58" t="s">
        <v>134</v>
      </c>
      <c r="T241" s="58">
        <f>LEN(R241)</f>
        <v>5</v>
      </c>
      <c r="U241" s="58" t="e">
        <f t="shared" ref="U241" si="15">U220</f>
        <v>#REF!</v>
      </c>
    </row>
    <row r="242" spans="1:21" ht="22.5" customHeight="1" x14ac:dyDescent="0.2">
      <c r="B242" s="203"/>
      <c r="D242" s="211" t="s">
        <v>136</v>
      </c>
      <c r="E242" s="211"/>
      <c r="F242" s="211"/>
      <c r="G242" s="211"/>
      <c r="H242" s="211"/>
      <c r="I242" s="211"/>
      <c r="J242" s="212"/>
      <c r="K242" s="212"/>
      <c r="L242" s="212"/>
      <c r="N242" s="205"/>
    </row>
    <row r="243" spans="1:21" x14ac:dyDescent="0.15">
      <c r="B243" s="203"/>
      <c r="N243" s="205"/>
    </row>
    <row r="244" spans="1:21" x14ac:dyDescent="0.15">
      <c r="B244" s="203"/>
      <c r="D244" s="58" t="s">
        <v>137</v>
      </c>
      <c r="N244" s="205"/>
    </row>
    <row r="245" spans="1:21" x14ac:dyDescent="0.15">
      <c r="B245" s="203"/>
      <c r="N245" s="205"/>
    </row>
    <row r="246" spans="1:21" x14ac:dyDescent="0.15">
      <c r="B246" s="203"/>
      <c r="H246" s="58" t="s">
        <v>138</v>
      </c>
      <c r="N246" s="205"/>
    </row>
    <row r="247" spans="1:21" ht="24.75" x14ac:dyDescent="0.15">
      <c r="B247" s="203"/>
      <c r="K247" s="62" t="s">
        <v>139</v>
      </c>
      <c r="M247" s="720" t="str">
        <f>$M$16</f>
        <v>酒 巻　浩 司</v>
      </c>
      <c r="N247" s="721"/>
    </row>
    <row r="248" spans="1:21" ht="26.25" customHeight="1" thickBot="1" x14ac:dyDescent="0.2">
      <c r="B248" s="213"/>
      <c r="C248" s="214"/>
      <c r="D248" s="214"/>
      <c r="E248" s="214"/>
      <c r="F248" s="214"/>
      <c r="G248" s="214"/>
      <c r="H248" s="214"/>
      <c r="I248" s="214"/>
      <c r="J248" s="214"/>
      <c r="K248" s="214"/>
      <c r="L248" s="214"/>
      <c r="M248" s="214"/>
      <c r="N248" s="215"/>
    </row>
    <row r="252" spans="1:21" x14ac:dyDescent="0.15">
      <c r="A252" s="217"/>
      <c r="O252" s="217"/>
    </row>
    <row r="253" spans="1:21" hidden="1" x14ac:dyDescent="0.15">
      <c r="A253" s="199"/>
      <c r="O253" s="199"/>
    </row>
    <row r="254" spans="1:21" hidden="1" x14ac:dyDescent="0.15"/>
    <row r="255" spans="1:21" hidden="1" x14ac:dyDescent="0.15"/>
    <row r="256" spans="1:21" ht="15" hidden="1" thickBot="1" x14ac:dyDescent="0.2"/>
    <row r="257" spans="2:21" ht="26.25" hidden="1" customHeight="1" x14ac:dyDescent="0.15">
      <c r="B257" s="200"/>
      <c r="C257" s="201"/>
      <c r="D257" s="201"/>
      <c r="E257" s="201"/>
      <c r="F257" s="201"/>
      <c r="G257" s="201"/>
      <c r="H257" s="201"/>
      <c r="I257" s="201"/>
      <c r="J257" s="201"/>
      <c r="K257" s="201"/>
      <c r="L257" s="201"/>
      <c r="M257" s="201"/>
      <c r="N257" s="202"/>
    </row>
    <row r="258" spans="2:21" ht="27.75" hidden="1" thickBot="1" x14ac:dyDescent="0.2">
      <c r="B258" s="203"/>
      <c r="C258" s="204"/>
      <c r="D258" s="204"/>
      <c r="E258" s="204"/>
      <c r="F258" s="719" t="s">
        <v>132</v>
      </c>
      <c r="G258" s="719"/>
      <c r="H258" s="719"/>
      <c r="I258" s="719"/>
      <c r="J258" s="719"/>
      <c r="K258" s="719"/>
      <c r="L258" s="204"/>
      <c r="M258" s="204"/>
      <c r="N258" s="205"/>
    </row>
    <row r="259" spans="2:21" ht="15" hidden="1" thickTop="1" x14ac:dyDescent="0.15">
      <c r="B259" s="203"/>
      <c r="N259" s="205"/>
    </row>
    <row r="260" spans="2:21" ht="27" hidden="1" x14ac:dyDescent="0.15">
      <c r="B260" s="203"/>
      <c r="C260" s="718" t="e">
        <f>VLOOKUP(P260,県体学校名!$B$4:$I$15,8,FALSE)&amp;" 様"</f>
        <v>#N/A</v>
      </c>
      <c r="D260" s="718"/>
      <c r="E260" s="718"/>
      <c r="F260" s="718"/>
      <c r="G260" s="718"/>
      <c r="H260" s="718"/>
      <c r="I260" s="718"/>
      <c r="M260" s="216">
        <f ca="1">$M$8</f>
        <v>45850</v>
      </c>
      <c r="N260" s="205"/>
      <c r="P260" s="58">
        <f>P239+1</f>
        <v>13</v>
      </c>
    </row>
    <row r="261" spans="2:21" ht="15" hidden="1" thickBot="1" x14ac:dyDescent="0.2">
      <c r="B261" s="203"/>
      <c r="E261" s="83">
        <v>6</v>
      </c>
      <c r="F261" s="83">
        <v>5</v>
      </c>
      <c r="G261" s="83">
        <v>4</v>
      </c>
      <c r="H261" s="83">
        <v>3</v>
      </c>
      <c r="I261" s="83">
        <v>2</v>
      </c>
      <c r="J261" s="83">
        <v>1</v>
      </c>
      <c r="K261" s="83">
        <v>0</v>
      </c>
      <c r="N261" s="205"/>
    </row>
    <row r="262" spans="2:21" ht="33.75" hidden="1" customHeight="1" thickBot="1" x14ac:dyDescent="0.2">
      <c r="B262" s="203"/>
      <c r="D262" s="207" t="s">
        <v>133</v>
      </c>
      <c r="E262" s="208" t="str">
        <f t="shared" ref="E262:K262" si="16">IF(E261&gt;=$T262,"",MID($R262,$T262-E261,1))</f>
        <v/>
      </c>
      <c r="F262" s="209" t="str">
        <f t="shared" si="16"/>
        <v/>
      </c>
      <c r="G262" s="444" t="str">
        <f t="shared" si="16"/>
        <v>1</v>
      </c>
      <c r="H262" s="445" t="str">
        <f t="shared" si="16"/>
        <v>6</v>
      </c>
      <c r="I262" s="446" t="str">
        <f t="shared" si="16"/>
        <v>5</v>
      </c>
      <c r="J262" s="444" t="str">
        <f t="shared" si="16"/>
        <v>0</v>
      </c>
      <c r="K262" s="444" t="str">
        <f t="shared" si="16"/>
        <v>0</v>
      </c>
      <c r="L262" s="210" t="s">
        <v>134</v>
      </c>
      <c r="N262" s="205"/>
      <c r="P262" s="58">
        <v>33</v>
      </c>
      <c r="Q262" s="58" t="s">
        <v>135</v>
      </c>
      <c r="R262" s="58">
        <f>P262*$P$2</f>
        <v>16500</v>
      </c>
      <c r="S262" s="58" t="s">
        <v>134</v>
      </c>
      <c r="T262" s="58">
        <f>LEN(R262)</f>
        <v>5</v>
      </c>
      <c r="U262" s="58" t="e">
        <f>#REF!</f>
        <v>#REF!</v>
      </c>
    </row>
    <row r="263" spans="2:21" ht="22.5" hidden="1" customHeight="1" x14ac:dyDescent="0.2">
      <c r="B263" s="203"/>
      <c r="D263" s="211" t="s">
        <v>136</v>
      </c>
      <c r="E263" s="211"/>
      <c r="F263" s="211"/>
      <c r="G263" s="211"/>
      <c r="H263" s="211"/>
      <c r="I263" s="211"/>
      <c r="J263" s="212"/>
      <c r="K263" s="212"/>
      <c r="L263" s="212"/>
      <c r="N263" s="205"/>
    </row>
    <row r="264" spans="2:21" hidden="1" x14ac:dyDescent="0.15">
      <c r="B264" s="203"/>
      <c r="N264" s="205"/>
    </row>
    <row r="265" spans="2:21" hidden="1" x14ac:dyDescent="0.15">
      <c r="B265" s="203"/>
      <c r="D265" s="58" t="s">
        <v>137</v>
      </c>
      <c r="N265" s="205"/>
    </row>
    <row r="266" spans="2:21" hidden="1" x14ac:dyDescent="0.15">
      <c r="B266" s="203"/>
      <c r="N266" s="205"/>
    </row>
    <row r="267" spans="2:21" hidden="1" x14ac:dyDescent="0.15">
      <c r="B267" s="203"/>
      <c r="H267" s="58" t="s">
        <v>138</v>
      </c>
      <c r="N267" s="205"/>
    </row>
    <row r="268" spans="2:21" ht="24.75" hidden="1" x14ac:dyDescent="0.15">
      <c r="B268" s="203"/>
      <c r="K268" s="62" t="s">
        <v>139</v>
      </c>
      <c r="M268" s="720" t="str">
        <f>$M$16</f>
        <v>酒 巻　浩 司</v>
      </c>
      <c r="N268" s="721"/>
    </row>
    <row r="269" spans="2:21" ht="26.25" hidden="1" customHeight="1" thickBot="1" x14ac:dyDescent="0.2">
      <c r="B269" s="213"/>
      <c r="C269" s="214"/>
      <c r="D269" s="214"/>
      <c r="E269" s="214"/>
      <c r="F269" s="214"/>
      <c r="G269" s="214"/>
      <c r="H269" s="214"/>
      <c r="I269" s="214"/>
      <c r="J269" s="214"/>
      <c r="K269" s="214"/>
      <c r="L269" s="214"/>
      <c r="M269" s="214"/>
      <c r="N269" s="215"/>
    </row>
    <row r="270" spans="2:21" hidden="1" x14ac:dyDescent="0.15"/>
    <row r="271" spans="2:21" hidden="1" x14ac:dyDescent="0.15"/>
    <row r="272" spans="2:21" hidden="1" x14ac:dyDescent="0.15"/>
    <row r="273" spans="1:21" hidden="1" x14ac:dyDescent="0.15"/>
    <row r="274" spans="1:21" hidden="1" x14ac:dyDescent="0.15">
      <c r="A274" s="199"/>
      <c r="O274" s="199"/>
    </row>
    <row r="275" spans="1:21" hidden="1" x14ac:dyDescent="0.15"/>
    <row r="276" spans="1:21" hidden="1" x14ac:dyDescent="0.15"/>
    <row r="277" spans="1:21" ht="15" hidden="1" thickBot="1" x14ac:dyDescent="0.2"/>
    <row r="278" spans="1:21" ht="26.25" hidden="1" customHeight="1" x14ac:dyDescent="0.15">
      <c r="B278" s="200"/>
      <c r="C278" s="201"/>
      <c r="D278" s="201"/>
      <c r="E278" s="201"/>
      <c r="F278" s="201"/>
      <c r="G278" s="201"/>
      <c r="H278" s="201"/>
      <c r="I278" s="201"/>
      <c r="J278" s="201"/>
      <c r="K278" s="201"/>
      <c r="L278" s="201"/>
      <c r="M278" s="201"/>
      <c r="N278" s="202"/>
    </row>
    <row r="279" spans="1:21" ht="27.75" hidden="1" thickBot="1" x14ac:dyDescent="0.2">
      <c r="B279" s="203"/>
      <c r="C279" s="204"/>
      <c r="D279" s="204"/>
      <c r="E279" s="204"/>
      <c r="F279" s="719" t="s">
        <v>132</v>
      </c>
      <c r="G279" s="719"/>
      <c r="H279" s="719"/>
      <c r="I279" s="719"/>
      <c r="J279" s="719"/>
      <c r="K279" s="719"/>
      <c r="L279" s="204"/>
      <c r="M279" s="204"/>
      <c r="N279" s="205"/>
    </row>
    <row r="280" spans="1:21" ht="15" hidden="1" thickTop="1" x14ac:dyDescent="0.15">
      <c r="B280" s="203"/>
      <c r="N280" s="205"/>
    </row>
    <row r="281" spans="1:21" ht="27" hidden="1" x14ac:dyDescent="0.15">
      <c r="B281" s="203"/>
      <c r="C281" s="718" t="e">
        <f>VLOOKUP(P281,県体学校名!$B$4:$I$15,8,FALSE)&amp;" 様"</f>
        <v>#N/A</v>
      </c>
      <c r="D281" s="718"/>
      <c r="E281" s="718"/>
      <c r="F281" s="718"/>
      <c r="G281" s="718"/>
      <c r="H281" s="718"/>
      <c r="I281" s="718"/>
      <c r="M281" s="216">
        <f ca="1">$M$8</f>
        <v>45850</v>
      </c>
      <c r="N281" s="205"/>
      <c r="P281" s="58">
        <f>P260+1</f>
        <v>14</v>
      </c>
    </row>
    <row r="282" spans="1:21" ht="15" hidden="1" thickBot="1" x14ac:dyDescent="0.2">
      <c r="B282" s="203"/>
      <c r="E282" s="83">
        <v>6</v>
      </c>
      <c r="F282" s="83">
        <v>5</v>
      </c>
      <c r="G282" s="83">
        <v>4</v>
      </c>
      <c r="H282" s="83">
        <v>3</v>
      </c>
      <c r="I282" s="83">
        <v>2</v>
      </c>
      <c r="J282" s="83">
        <v>1</v>
      </c>
      <c r="K282" s="83">
        <v>0</v>
      </c>
      <c r="N282" s="205"/>
    </row>
    <row r="283" spans="1:21" ht="33.75" hidden="1" customHeight="1" thickBot="1" x14ac:dyDescent="0.2">
      <c r="B283" s="203"/>
      <c r="D283" s="207" t="s">
        <v>133</v>
      </c>
      <c r="E283" s="208" t="str">
        <f t="shared" ref="E283:K283" si="17">IF(E282&gt;=$T283,"",MID($R283,$T283-E282,1))</f>
        <v/>
      </c>
      <c r="F283" s="209" t="str">
        <f t="shared" si="17"/>
        <v/>
      </c>
      <c r="G283" s="444" t="str">
        <f t="shared" si="17"/>
        <v>1</v>
      </c>
      <c r="H283" s="445" t="str">
        <f t="shared" si="17"/>
        <v>5</v>
      </c>
      <c r="I283" s="446" t="str">
        <f t="shared" si="17"/>
        <v>0</v>
      </c>
      <c r="J283" s="444" t="str">
        <f t="shared" si="17"/>
        <v>0</v>
      </c>
      <c r="K283" s="444" t="str">
        <f t="shared" si="17"/>
        <v>0</v>
      </c>
      <c r="L283" s="210" t="s">
        <v>134</v>
      </c>
      <c r="N283" s="205"/>
      <c r="P283" s="58">
        <v>30</v>
      </c>
      <c r="Q283" s="58" t="s">
        <v>135</v>
      </c>
      <c r="R283" s="58">
        <f>P283*$P$2</f>
        <v>15000</v>
      </c>
      <c r="S283" s="58" t="s">
        <v>134</v>
      </c>
      <c r="T283" s="58">
        <f>LEN(R283)</f>
        <v>5</v>
      </c>
      <c r="U283" s="58" t="e">
        <f t="shared" ref="U283" si="18">U262</f>
        <v>#REF!</v>
      </c>
    </row>
    <row r="284" spans="1:21" ht="22.5" hidden="1" customHeight="1" x14ac:dyDescent="0.2">
      <c r="B284" s="203"/>
      <c r="D284" s="211" t="s">
        <v>136</v>
      </c>
      <c r="E284" s="211"/>
      <c r="F284" s="211"/>
      <c r="G284" s="211"/>
      <c r="H284" s="211"/>
      <c r="I284" s="211"/>
      <c r="J284" s="212"/>
      <c r="K284" s="212"/>
      <c r="L284" s="212"/>
      <c r="N284" s="205"/>
    </row>
    <row r="285" spans="1:21" hidden="1" x14ac:dyDescent="0.15">
      <c r="B285" s="203"/>
      <c r="N285" s="205"/>
    </row>
    <row r="286" spans="1:21" hidden="1" x14ac:dyDescent="0.15">
      <c r="B286" s="203"/>
      <c r="D286" s="58" t="s">
        <v>137</v>
      </c>
      <c r="N286" s="205"/>
    </row>
    <row r="287" spans="1:21" hidden="1" x14ac:dyDescent="0.15">
      <c r="B287" s="203"/>
      <c r="N287" s="205"/>
    </row>
    <row r="288" spans="1:21" hidden="1" x14ac:dyDescent="0.15">
      <c r="B288" s="203"/>
      <c r="H288" s="58" t="s">
        <v>138</v>
      </c>
      <c r="N288" s="205"/>
    </row>
    <row r="289" spans="1:21" ht="24.75" hidden="1" x14ac:dyDescent="0.15">
      <c r="B289" s="203"/>
      <c r="K289" s="62" t="s">
        <v>139</v>
      </c>
      <c r="M289" s="720" t="str">
        <f>$M$16</f>
        <v>酒 巻　浩 司</v>
      </c>
      <c r="N289" s="721"/>
    </row>
    <row r="290" spans="1:21" ht="26.25" hidden="1" customHeight="1" thickBot="1" x14ac:dyDescent="0.2">
      <c r="B290" s="213"/>
      <c r="C290" s="214"/>
      <c r="D290" s="214"/>
      <c r="E290" s="214"/>
      <c r="F290" s="214"/>
      <c r="G290" s="214"/>
      <c r="H290" s="214"/>
      <c r="I290" s="214"/>
      <c r="J290" s="214"/>
      <c r="K290" s="214"/>
      <c r="L290" s="214"/>
      <c r="M290" s="214"/>
      <c r="N290" s="215"/>
    </row>
    <row r="291" spans="1:21" hidden="1" x14ac:dyDescent="0.15"/>
    <row r="292" spans="1:21" hidden="1" x14ac:dyDescent="0.15"/>
    <row r="293" spans="1:21" hidden="1" x14ac:dyDescent="0.15"/>
    <row r="294" spans="1:21" hidden="1" x14ac:dyDescent="0.15"/>
    <row r="295" spans="1:21" hidden="1" x14ac:dyDescent="0.15">
      <c r="A295" s="199"/>
      <c r="O295" s="199"/>
    </row>
    <row r="296" spans="1:21" hidden="1" x14ac:dyDescent="0.15"/>
    <row r="297" spans="1:21" hidden="1" x14ac:dyDescent="0.15"/>
    <row r="298" spans="1:21" ht="15" hidden="1" thickBot="1" x14ac:dyDescent="0.2"/>
    <row r="299" spans="1:21" ht="26.25" hidden="1" customHeight="1" x14ac:dyDescent="0.15">
      <c r="B299" s="200"/>
      <c r="C299" s="201"/>
      <c r="D299" s="201"/>
      <c r="E299" s="201"/>
      <c r="F299" s="201"/>
      <c r="G299" s="201"/>
      <c r="H299" s="201"/>
      <c r="I299" s="201"/>
      <c r="J299" s="201"/>
      <c r="K299" s="201"/>
      <c r="L299" s="201"/>
      <c r="M299" s="201"/>
      <c r="N299" s="202"/>
    </row>
    <row r="300" spans="1:21" ht="27.75" hidden="1" thickBot="1" x14ac:dyDescent="0.2">
      <c r="B300" s="203"/>
      <c r="C300" s="204"/>
      <c r="D300" s="204"/>
      <c r="E300" s="204"/>
      <c r="F300" s="719" t="s">
        <v>132</v>
      </c>
      <c r="G300" s="719"/>
      <c r="H300" s="719"/>
      <c r="I300" s="719"/>
      <c r="J300" s="719"/>
      <c r="K300" s="719"/>
      <c r="L300" s="204"/>
      <c r="M300" s="204"/>
      <c r="N300" s="205"/>
    </row>
    <row r="301" spans="1:21" ht="15" hidden="1" thickTop="1" x14ac:dyDescent="0.15">
      <c r="B301" s="203"/>
      <c r="N301" s="205"/>
    </row>
    <row r="302" spans="1:21" ht="27" hidden="1" x14ac:dyDescent="0.15">
      <c r="B302" s="203"/>
      <c r="C302" s="718" t="e">
        <f>VLOOKUP(P302,県体学校名!$B$4:$I$15,8,FALSE)&amp;" 様"</f>
        <v>#N/A</v>
      </c>
      <c r="D302" s="718"/>
      <c r="E302" s="718"/>
      <c r="F302" s="718"/>
      <c r="G302" s="718"/>
      <c r="H302" s="718"/>
      <c r="I302" s="718"/>
      <c r="M302" s="216">
        <f ca="1">$M$8</f>
        <v>45850</v>
      </c>
      <c r="N302" s="205"/>
      <c r="P302" s="58">
        <f>P281+1</f>
        <v>15</v>
      </c>
    </row>
    <row r="303" spans="1:21" ht="15" hidden="1" thickBot="1" x14ac:dyDescent="0.2">
      <c r="B303" s="203"/>
      <c r="E303" s="83">
        <v>6</v>
      </c>
      <c r="F303" s="83">
        <v>5</v>
      </c>
      <c r="G303" s="83">
        <v>4</v>
      </c>
      <c r="H303" s="83">
        <v>3</v>
      </c>
      <c r="I303" s="83">
        <v>2</v>
      </c>
      <c r="J303" s="83">
        <v>1</v>
      </c>
      <c r="K303" s="83">
        <v>0</v>
      </c>
      <c r="N303" s="205"/>
    </row>
    <row r="304" spans="1:21" ht="33.75" hidden="1" customHeight="1" thickBot="1" x14ac:dyDescent="0.2">
      <c r="B304" s="203"/>
      <c r="D304" s="207" t="s">
        <v>133</v>
      </c>
      <c r="E304" s="208" t="str">
        <f t="shared" ref="E304:K304" si="19">IF(E303&gt;=$T304,"",MID($R304,$T304-E303,1))</f>
        <v/>
      </c>
      <c r="F304" s="209" t="str">
        <f t="shared" si="19"/>
        <v/>
      </c>
      <c r="G304" s="444" t="str">
        <f t="shared" si="19"/>
        <v/>
      </c>
      <c r="H304" s="445" t="str">
        <f t="shared" si="19"/>
        <v>9</v>
      </c>
      <c r="I304" s="446" t="str">
        <f t="shared" si="19"/>
        <v>5</v>
      </c>
      <c r="J304" s="444" t="str">
        <f t="shared" si="19"/>
        <v>0</v>
      </c>
      <c r="K304" s="444" t="str">
        <f t="shared" si="19"/>
        <v>0</v>
      </c>
      <c r="L304" s="210" t="s">
        <v>134</v>
      </c>
      <c r="N304" s="205"/>
      <c r="P304" s="58">
        <v>19</v>
      </c>
      <c r="Q304" s="58" t="s">
        <v>135</v>
      </c>
      <c r="R304" s="58">
        <f>P304*$P$2</f>
        <v>9500</v>
      </c>
      <c r="S304" s="58" t="s">
        <v>134</v>
      </c>
      <c r="T304" s="58">
        <f>LEN(R304)</f>
        <v>4</v>
      </c>
      <c r="U304" s="58" t="e">
        <f>#REF!</f>
        <v>#REF!</v>
      </c>
    </row>
    <row r="305" spans="1:15" ht="22.5" hidden="1" customHeight="1" x14ac:dyDescent="0.2">
      <c r="B305" s="203"/>
      <c r="D305" s="211" t="s">
        <v>136</v>
      </c>
      <c r="E305" s="211"/>
      <c r="F305" s="211"/>
      <c r="G305" s="211"/>
      <c r="H305" s="211"/>
      <c r="I305" s="211"/>
      <c r="J305" s="212"/>
      <c r="K305" s="212"/>
      <c r="L305" s="212"/>
      <c r="N305" s="205"/>
    </row>
    <row r="306" spans="1:15" hidden="1" x14ac:dyDescent="0.15">
      <c r="B306" s="203"/>
      <c r="N306" s="205"/>
    </row>
    <row r="307" spans="1:15" hidden="1" x14ac:dyDescent="0.15">
      <c r="B307" s="203"/>
      <c r="D307" s="58" t="s">
        <v>137</v>
      </c>
      <c r="N307" s="205"/>
    </row>
    <row r="308" spans="1:15" hidden="1" x14ac:dyDescent="0.15">
      <c r="B308" s="203"/>
      <c r="N308" s="205"/>
    </row>
    <row r="309" spans="1:15" hidden="1" x14ac:dyDescent="0.15">
      <c r="B309" s="203"/>
      <c r="H309" s="58" t="s">
        <v>138</v>
      </c>
      <c r="N309" s="205"/>
    </row>
    <row r="310" spans="1:15" ht="24.75" hidden="1" x14ac:dyDescent="0.15">
      <c r="B310" s="203"/>
      <c r="K310" s="62" t="s">
        <v>139</v>
      </c>
      <c r="M310" s="720" t="str">
        <f>$M$16</f>
        <v>酒 巻　浩 司</v>
      </c>
      <c r="N310" s="721"/>
    </row>
    <row r="311" spans="1:15" ht="26.25" hidden="1" customHeight="1" thickBot="1" x14ac:dyDescent="0.2">
      <c r="B311" s="213"/>
      <c r="C311" s="214"/>
      <c r="D311" s="214"/>
      <c r="E311" s="214"/>
      <c r="F311" s="214"/>
      <c r="G311" s="214"/>
      <c r="H311" s="214"/>
      <c r="I311" s="214"/>
      <c r="J311" s="214"/>
      <c r="K311" s="214"/>
      <c r="L311" s="214"/>
      <c r="M311" s="214"/>
      <c r="N311" s="215"/>
    </row>
    <row r="312" spans="1:15" hidden="1" x14ac:dyDescent="0.15"/>
    <row r="313" spans="1:15" hidden="1" x14ac:dyDescent="0.15"/>
    <row r="314" spans="1:15" hidden="1" x14ac:dyDescent="0.15"/>
    <row r="315" spans="1:15" hidden="1" x14ac:dyDescent="0.15">
      <c r="A315" s="217"/>
      <c r="O315" s="217"/>
    </row>
    <row r="316" spans="1:15" hidden="1" x14ac:dyDescent="0.15">
      <c r="A316" s="199"/>
      <c r="O316" s="199"/>
    </row>
    <row r="317" spans="1:15" hidden="1" x14ac:dyDescent="0.15"/>
    <row r="318" spans="1:15" hidden="1" x14ac:dyDescent="0.15"/>
    <row r="319" spans="1:15" ht="15" hidden="1" thickBot="1" x14ac:dyDescent="0.2"/>
    <row r="320" spans="1:15" ht="26.25" hidden="1" customHeight="1" x14ac:dyDescent="0.15">
      <c r="B320" s="200"/>
      <c r="C320" s="201"/>
      <c r="D320" s="201"/>
      <c r="E320" s="201"/>
      <c r="F320" s="201"/>
      <c r="G320" s="201"/>
      <c r="H320" s="201"/>
      <c r="I320" s="201"/>
      <c r="J320" s="201"/>
      <c r="K320" s="201"/>
      <c r="L320" s="201"/>
      <c r="M320" s="201"/>
      <c r="N320" s="202"/>
    </row>
    <row r="321" spans="2:21" ht="27.75" hidden="1" thickBot="1" x14ac:dyDescent="0.2">
      <c r="B321" s="203"/>
      <c r="C321" s="204"/>
      <c r="D321" s="204"/>
      <c r="E321" s="204"/>
      <c r="F321" s="719" t="s">
        <v>132</v>
      </c>
      <c r="G321" s="719"/>
      <c r="H321" s="719"/>
      <c r="I321" s="719"/>
      <c r="J321" s="719"/>
      <c r="K321" s="719"/>
      <c r="L321" s="204"/>
      <c r="M321" s="204"/>
      <c r="N321" s="205"/>
    </row>
    <row r="322" spans="2:21" ht="15" hidden="1" thickTop="1" x14ac:dyDescent="0.15">
      <c r="B322" s="203"/>
      <c r="N322" s="205"/>
    </row>
    <row r="323" spans="2:21" ht="27" hidden="1" x14ac:dyDescent="0.15">
      <c r="B323" s="203"/>
      <c r="C323" s="718" t="e">
        <f>VLOOKUP(P323,県体学校名!$B$4:$I$15,8,FALSE)&amp;" 様"</f>
        <v>#N/A</v>
      </c>
      <c r="D323" s="718"/>
      <c r="E323" s="718"/>
      <c r="F323" s="718"/>
      <c r="G323" s="718"/>
      <c r="H323" s="718"/>
      <c r="I323" s="718"/>
      <c r="M323" s="216">
        <f ca="1">$M$8</f>
        <v>45850</v>
      </c>
      <c r="N323" s="205"/>
      <c r="P323" s="58">
        <f>P302+1</f>
        <v>16</v>
      </c>
    </row>
    <row r="324" spans="2:21" ht="15" hidden="1" thickBot="1" x14ac:dyDescent="0.2">
      <c r="B324" s="203"/>
      <c r="E324" s="83">
        <v>6</v>
      </c>
      <c r="F324" s="83">
        <v>5</v>
      </c>
      <c r="G324" s="83">
        <v>4</v>
      </c>
      <c r="H324" s="83">
        <v>3</v>
      </c>
      <c r="I324" s="83">
        <v>2</v>
      </c>
      <c r="J324" s="83">
        <v>1</v>
      </c>
      <c r="K324" s="83">
        <v>0</v>
      </c>
      <c r="N324" s="205"/>
    </row>
    <row r="325" spans="2:21" ht="33.75" hidden="1" customHeight="1" thickBot="1" x14ac:dyDescent="0.2">
      <c r="B325" s="203"/>
      <c r="D325" s="207" t="s">
        <v>133</v>
      </c>
      <c r="E325" s="208" t="str">
        <f t="shared" ref="E325:K325" si="20">IF(E324&gt;=$T325,"",MID($R325,$T325-E324,1))</f>
        <v/>
      </c>
      <c r="F325" s="209" t="str">
        <f t="shared" si="20"/>
        <v/>
      </c>
      <c r="G325" s="444" t="str">
        <f t="shared" si="20"/>
        <v>1</v>
      </c>
      <c r="H325" s="445" t="str">
        <f t="shared" si="20"/>
        <v>0</v>
      </c>
      <c r="I325" s="446" t="str">
        <f t="shared" si="20"/>
        <v>0</v>
      </c>
      <c r="J325" s="444" t="str">
        <f t="shared" si="20"/>
        <v>0</v>
      </c>
      <c r="K325" s="444" t="str">
        <f t="shared" si="20"/>
        <v>0</v>
      </c>
      <c r="L325" s="210" t="s">
        <v>134</v>
      </c>
      <c r="N325" s="205"/>
      <c r="P325" s="58">
        <v>20</v>
      </c>
      <c r="Q325" s="58" t="s">
        <v>135</v>
      </c>
      <c r="R325" s="58">
        <f>P325*$P$2</f>
        <v>10000</v>
      </c>
      <c r="S325" s="58" t="s">
        <v>134</v>
      </c>
      <c r="T325" s="58">
        <f>LEN(R325)</f>
        <v>5</v>
      </c>
      <c r="U325" s="58" t="e">
        <f t="shared" ref="U325" si="21">U304</f>
        <v>#REF!</v>
      </c>
    </row>
    <row r="326" spans="2:21" ht="22.5" hidden="1" customHeight="1" x14ac:dyDescent="0.2">
      <c r="B326" s="203"/>
      <c r="D326" s="211" t="s">
        <v>136</v>
      </c>
      <c r="E326" s="211"/>
      <c r="F326" s="211"/>
      <c r="G326" s="211"/>
      <c r="H326" s="211"/>
      <c r="I326" s="211"/>
      <c r="J326" s="212"/>
      <c r="K326" s="212"/>
      <c r="L326" s="212"/>
      <c r="N326" s="205"/>
    </row>
    <row r="327" spans="2:21" hidden="1" x14ac:dyDescent="0.15">
      <c r="B327" s="203"/>
      <c r="N327" s="205"/>
    </row>
    <row r="328" spans="2:21" hidden="1" x14ac:dyDescent="0.15">
      <c r="B328" s="203"/>
      <c r="D328" s="58" t="s">
        <v>137</v>
      </c>
      <c r="N328" s="205"/>
    </row>
    <row r="329" spans="2:21" hidden="1" x14ac:dyDescent="0.15">
      <c r="B329" s="203"/>
      <c r="N329" s="205"/>
    </row>
    <row r="330" spans="2:21" hidden="1" x14ac:dyDescent="0.15">
      <c r="B330" s="203"/>
      <c r="H330" s="58" t="s">
        <v>138</v>
      </c>
      <c r="N330" s="205"/>
    </row>
    <row r="331" spans="2:21" ht="24.75" hidden="1" x14ac:dyDescent="0.15">
      <c r="B331" s="203"/>
      <c r="K331" s="62" t="s">
        <v>139</v>
      </c>
      <c r="M331" s="720" t="str">
        <f>$M$16</f>
        <v>酒 巻　浩 司</v>
      </c>
      <c r="N331" s="721"/>
    </row>
    <row r="332" spans="2:21" ht="26.25" hidden="1" customHeight="1" thickBot="1" x14ac:dyDescent="0.2">
      <c r="B332" s="213"/>
      <c r="C332" s="214"/>
      <c r="D332" s="214"/>
      <c r="E332" s="214"/>
      <c r="F332" s="214"/>
      <c r="G332" s="214"/>
      <c r="H332" s="214"/>
      <c r="I332" s="214"/>
      <c r="J332" s="214"/>
      <c r="K332" s="214"/>
      <c r="L332" s="214"/>
      <c r="M332" s="214"/>
      <c r="N332" s="215"/>
    </row>
    <row r="333" spans="2:21" hidden="1" x14ac:dyDescent="0.15"/>
    <row r="334" spans="2:21" hidden="1" x14ac:dyDescent="0.15"/>
    <row r="335" spans="2:21" hidden="1" x14ac:dyDescent="0.15"/>
    <row r="336" spans="2:21" hidden="1" x14ac:dyDescent="0.15"/>
    <row r="337" spans="1:16" hidden="1" x14ac:dyDescent="0.15">
      <c r="A337" s="199"/>
      <c r="O337" s="199"/>
    </row>
    <row r="338" spans="1:16" hidden="1" x14ac:dyDescent="0.15"/>
    <row r="339" spans="1:16" hidden="1" x14ac:dyDescent="0.15"/>
    <row r="340" spans="1:16" ht="15" hidden="1" thickBot="1" x14ac:dyDescent="0.2"/>
    <row r="341" spans="1:16" ht="26.25" hidden="1" customHeight="1" x14ac:dyDescent="0.15">
      <c r="B341" s="200"/>
      <c r="C341" s="201"/>
      <c r="D341" s="201"/>
      <c r="E341" s="201"/>
      <c r="F341" s="201"/>
      <c r="G341" s="201"/>
      <c r="H341" s="201"/>
      <c r="I341" s="201"/>
      <c r="J341" s="201"/>
      <c r="K341" s="201"/>
      <c r="L341" s="201"/>
      <c r="M341" s="201"/>
      <c r="N341" s="202"/>
    </row>
    <row r="342" spans="1:16" ht="27.75" hidden="1" thickBot="1" x14ac:dyDescent="0.2">
      <c r="B342" s="203"/>
      <c r="C342" s="204"/>
      <c r="D342" s="204"/>
      <c r="E342" s="204"/>
      <c r="F342" s="719" t="s">
        <v>132</v>
      </c>
      <c r="G342" s="719"/>
      <c r="H342" s="719"/>
      <c r="I342" s="719"/>
      <c r="J342" s="719"/>
      <c r="K342" s="719"/>
      <c r="L342" s="204"/>
      <c r="M342" s="204"/>
      <c r="N342" s="205"/>
    </row>
    <row r="343" spans="1:16" ht="15" hidden="1" thickTop="1" x14ac:dyDescent="0.15">
      <c r="B343" s="203"/>
      <c r="N343" s="205"/>
    </row>
    <row r="344" spans="1:16" ht="27" hidden="1" x14ac:dyDescent="0.15">
      <c r="B344" s="203"/>
      <c r="C344" s="718" t="e">
        <f>VLOOKUP(P344,県体学校名!$B$4:$I$15,8,FALSE)&amp;" 様"</f>
        <v>#N/A</v>
      </c>
      <c r="D344" s="718"/>
      <c r="E344" s="718"/>
      <c r="F344" s="718"/>
      <c r="G344" s="718"/>
      <c r="H344" s="718"/>
      <c r="I344" s="718"/>
      <c r="M344" s="216">
        <f ca="1">$M$8</f>
        <v>45850</v>
      </c>
      <c r="N344" s="205"/>
      <c r="P344" s="58">
        <f>P323+1</f>
        <v>17</v>
      </c>
    </row>
    <row r="345" spans="1:16" ht="15" hidden="1" thickBot="1" x14ac:dyDescent="0.2">
      <c r="B345" s="203"/>
      <c r="N345" s="205"/>
    </row>
    <row r="346" spans="1:16" ht="33.75" hidden="1" customHeight="1" thickBot="1" x14ac:dyDescent="0.2">
      <c r="B346" s="203"/>
      <c r="D346" s="207" t="s">
        <v>133</v>
      </c>
      <c r="E346" s="208"/>
      <c r="F346" s="209"/>
      <c r="G346" s="444"/>
      <c r="H346" s="445">
        <v>3</v>
      </c>
      <c r="I346" s="446">
        <v>4</v>
      </c>
      <c r="J346" s="444">
        <v>0</v>
      </c>
      <c r="K346" s="444">
        <v>0</v>
      </c>
      <c r="L346" s="210" t="s">
        <v>134</v>
      </c>
      <c r="N346" s="205"/>
    </row>
    <row r="347" spans="1:16" ht="22.5" hidden="1" customHeight="1" x14ac:dyDescent="0.2">
      <c r="B347" s="203"/>
      <c r="D347" s="211" t="s">
        <v>136</v>
      </c>
      <c r="E347" s="211"/>
      <c r="F347" s="211"/>
      <c r="G347" s="211"/>
      <c r="H347" s="211"/>
      <c r="I347" s="211"/>
      <c r="J347" s="212"/>
      <c r="K347" s="212"/>
      <c r="L347" s="212"/>
      <c r="N347" s="205"/>
    </row>
    <row r="348" spans="1:16" hidden="1" x14ac:dyDescent="0.15">
      <c r="B348" s="203"/>
      <c r="N348" s="205"/>
    </row>
    <row r="349" spans="1:16" hidden="1" x14ac:dyDescent="0.15">
      <c r="B349" s="203"/>
      <c r="D349" s="58" t="s">
        <v>137</v>
      </c>
      <c r="N349" s="205"/>
    </row>
    <row r="350" spans="1:16" hidden="1" x14ac:dyDescent="0.15">
      <c r="B350" s="203"/>
      <c r="N350" s="205"/>
    </row>
    <row r="351" spans="1:16" hidden="1" x14ac:dyDescent="0.15">
      <c r="B351" s="203"/>
      <c r="H351" s="58" t="s">
        <v>138</v>
      </c>
      <c r="N351" s="205"/>
    </row>
    <row r="352" spans="1:16" ht="24.75" hidden="1" x14ac:dyDescent="0.15">
      <c r="B352" s="203"/>
      <c r="K352" s="62" t="s">
        <v>139</v>
      </c>
      <c r="M352" s="720" t="str">
        <f>$M$16</f>
        <v>酒 巻　浩 司</v>
      </c>
      <c r="N352" s="721"/>
    </row>
    <row r="353" spans="1:16" ht="26.25" hidden="1" customHeight="1" thickBot="1" x14ac:dyDescent="0.2">
      <c r="B353" s="213"/>
      <c r="C353" s="214"/>
      <c r="D353" s="214"/>
      <c r="E353" s="214"/>
      <c r="F353" s="214"/>
      <c r="G353" s="214"/>
      <c r="H353" s="214"/>
      <c r="I353" s="214"/>
      <c r="J353" s="214"/>
      <c r="K353" s="214"/>
      <c r="L353" s="214"/>
      <c r="M353" s="214"/>
      <c r="N353" s="215"/>
    </row>
    <row r="354" spans="1:16" hidden="1" x14ac:dyDescent="0.15"/>
    <row r="355" spans="1:16" hidden="1" x14ac:dyDescent="0.15"/>
    <row r="356" spans="1:16" hidden="1" x14ac:dyDescent="0.15"/>
    <row r="357" spans="1:16" hidden="1" x14ac:dyDescent="0.15"/>
    <row r="358" spans="1:16" hidden="1" x14ac:dyDescent="0.15">
      <c r="A358" s="199"/>
      <c r="O358" s="199"/>
    </row>
    <row r="359" spans="1:16" hidden="1" x14ac:dyDescent="0.15"/>
    <row r="360" spans="1:16" hidden="1" x14ac:dyDescent="0.15"/>
    <row r="361" spans="1:16" ht="15" hidden="1" thickBot="1" x14ac:dyDescent="0.2"/>
    <row r="362" spans="1:16" ht="26.25" hidden="1" customHeight="1" x14ac:dyDescent="0.15">
      <c r="B362" s="200"/>
      <c r="C362" s="201"/>
      <c r="D362" s="201"/>
      <c r="E362" s="201"/>
      <c r="F362" s="201"/>
      <c r="G362" s="201"/>
      <c r="H362" s="201"/>
      <c r="I362" s="201"/>
      <c r="J362" s="201"/>
      <c r="K362" s="201"/>
      <c r="L362" s="201"/>
      <c r="M362" s="201"/>
      <c r="N362" s="202"/>
    </row>
    <row r="363" spans="1:16" ht="27.75" hidden="1" thickBot="1" x14ac:dyDescent="0.2">
      <c r="B363" s="203"/>
      <c r="C363" s="204"/>
      <c r="D363" s="204"/>
      <c r="E363" s="204"/>
      <c r="F363" s="719" t="s">
        <v>132</v>
      </c>
      <c r="G363" s="719"/>
      <c r="H363" s="719"/>
      <c r="I363" s="719"/>
      <c r="J363" s="719"/>
      <c r="K363" s="719"/>
      <c r="L363" s="204"/>
      <c r="M363" s="204"/>
      <c r="N363" s="205"/>
    </row>
    <row r="364" spans="1:16" ht="15" hidden="1" thickTop="1" x14ac:dyDescent="0.15">
      <c r="B364" s="203"/>
      <c r="N364" s="205"/>
    </row>
    <row r="365" spans="1:16" ht="27" hidden="1" x14ac:dyDescent="0.15">
      <c r="B365" s="203"/>
      <c r="C365" s="718" t="e">
        <f>VLOOKUP(P365,県体学校名!$B$4:$I$15,8,FALSE)&amp;" 様"</f>
        <v>#N/A</v>
      </c>
      <c r="D365" s="718"/>
      <c r="E365" s="718"/>
      <c r="F365" s="718"/>
      <c r="G365" s="718"/>
      <c r="H365" s="718"/>
      <c r="I365" s="718"/>
      <c r="M365" s="216">
        <f ca="1">$M$8</f>
        <v>45850</v>
      </c>
      <c r="N365" s="205"/>
      <c r="P365" s="58">
        <f>P344+1</f>
        <v>18</v>
      </c>
    </row>
    <row r="366" spans="1:16" ht="15" hidden="1" thickBot="1" x14ac:dyDescent="0.2">
      <c r="B366" s="203"/>
      <c r="N366" s="205"/>
    </row>
    <row r="367" spans="1:16" ht="33.75" hidden="1" customHeight="1" thickBot="1" x14ac:dyDescent="0.2">
      <c r="B367" s="203"/>
      <c r="D367" s="207" t="s">
        <v>133</v>
      </c>
      <c r="E367" s="208"/>
      <c r="F367" s="209"/>
      <c r="G367" s="444"/>
      <c r="H367" s="445">
        <v>4</v>
      </c>
      <c r="I367" s="446">
        <v>0</v>
      </c>
      <c r="J367" s="444">
        <v>0</v>
      </c>
      <c r="K367" s="444">
        <v>0</v>
      </c>
      <c r="L367" s="210" t="s">
        <v>134</v>
      </c>
      <c r="N367" s="205"/>
    </row>
    <row r="368" spans="1:16" ht="22.5" hidden="1" customHeight="1" x14ac:dyDescent="0.2">
      <c r="B368" s="203"/>
      <c r="D368" s="211" t="s">
        <v>136</v>
      </c>
      <c r="E368" s="211"/>
      <c r="F368" s="211"/>
      <c r="G368" s="211"/>
      <c r="H368" s="211"/>
      <c r="I368" s="211"/>
      <c r="J368" s="212"/>
      <c r="K368" s="212"/>
      <c r="L368" s="212"/>
      <c r="N368" s="205"/>
    </row>
    <row r="369" spans="1:15" hidden="1" x14ac:dyDescent="0.15">
      <c r="B369" s="203"/>
      <c r="N369" s="205"/>
    </row>
    <row r="370" spans="1:15" hidden="1" x14ac:dyDescent="0.15">
      <c r="B370" s="203"/>
      <c r="D370" s="58" t="s">
        <v>137</v>
      </c>
      <c r="N370" s="205"/>
    </row>
    <row r="371" spans="1:15" hidden="1" x14ac:dyDescent="0.15">
      <c r="B371" s="203"/>
      <c r="N371" s="205"/>
    </row>
    <row r="372" spans="1:15" hidden="1" x14ac:dyDescent="0.15">
      <c r="B372" s="203"/>
      <c r="H372" s="58" t="s">
        <v>138</v>
      </c>
      <c r="N372" s="205"/>
    </row>
    <row r="373" spans="1:15" ht="24.75" hidden="1" x14ac:dyDescent="0.15">
      <c r="B373" s="203"/>
      <c r="K373" s="62" t="s">
        <v>139</v>
      </c>
      <c r="M373" s="720" t="str">
        <f>$M$16</f>
        <v>酒 巻　浩 司</v>
      </c>
      <c r="N373" s="721"/>
    </row>
    <row r="374" spans="1:15" ht="26.25" hidden="1" customHeight="1" thickBot="1" x14ac:dyDescent="0.2">
      <c r="B374" s="213"/>
      <c r="C374" s="214"/>
      <c r="D374" s="214"/>
      <c r="E374" s="214"/>
      <c r="F374" s="214"/>
      <c r="G374" s="214"/>
      <c r="H374" s="214"/>
      <c r="I374" s="214"/>
      <c r="J374" s="214"/>
      <c r="K374" s="214"/>
      <c r="L374" s="214"/>
      <c r="M374" s="214"/>
      <c r="N374" s="215"/>
    </row>
    <row r="375" spans="1:15" hidden="1" x14ac:dyDescent="0.15"/>
    <row r="376" spans="1:15" hidden="1" x14ac:dyDescent="0.15"/>
    <row r="377" spans="1:15" hidden="1" x14ac:dyDescent="0.15"/>
    <row r="378" spans="1:15" hidden="1" x14ac:dyDescent="0.15">
      <c r="A378" s="217"/>
      <c r="O378" s="217"/>
    </row>
  </sheetData>
  <mergeCells count="54">
    <mergeCell ref="M331:N331"/>
    <mergeCell ref="M352:N352"/>
    <mergeCell ref="M373:N373"/>
    <mergeCell ref="M226:N226"/>
    <mergeCell ref="M247:N247"/>
    <mergeCell ref="M268:N268"/>
    <mergeCell ref="M289:N289"/>
    <mergeCell ref="M310:N310"/>
    <mergeCell ref="M121:N121"/>
    <mergeCell ref="M142:N142"/>
    <mergeCell ref="M163:N163"/>
    <mergeCell ref="M184:N184"/>
    <mergeCell ref="M205:N205"/>
    <mergeCell ref="M16:N16"/>
    <mergeCell ref="M37:N37"/>
    <mergeCell ref="M58:N58"/>
    <mergeCell ref="M79:N79"/>
    <mergeCell ref="M100:N100"/>
    <mergeCell ref="C365:I365"/>
    <mergeCell ref="F258:K258"/>
    <mergeCell ref="C260:I260"/>
    <mergeCell ref="F279:K279"/>
    <mergeCell ref="C281:I281"/>
    <mergeCell ref="F300:K300"/>
    <mergeCell ref="C302:I302"/>
    <mergeCell ref="F321:K321"/>
    <mergeCell ref="C323:I323"/>
    <mergeCell ref="F342:K342"/>
    <mergeCell ref="C344:I344"/>
    <mergeCell ref="F363:K363"/>
    <mergeCell ref="C239:I239"/>
    <mergeCell ref="F132:K132"/>
    <mergeCell ref="C134:I134"/>
    <mergeCell ref="F153:K153"/>
    <mergeCell ref="C155:I155"/>
    <mergeCell ref="F174:K174"/>
    <mergeCell ref="C176:I176"/>
    <mergeCell ref="F195:K195"/>
    <mergeCell ref="C197:I197"/>
    <mergeCell ref="F216:K216"/>
    <mergeCell ref="C218:I218"/>
    <mergeCell ref="F237:K237"/>
    <mergeCell ref="C113:I113"/>
    <mergeCell ref="F6:K6"/>
    <mergeCell ref="C8:I8"/>
    <mergeCell ref="F27:K27"/>
    <mergeCell ref="C29:I29"/>
    <mergeCell ref="F48:K48"/>
    <mergeCell ref="C50:I50"/>
    <mergeCell ref="F69:K69"/>
    <mergeCell ref="C71:I71"/>
    <mergeCell ref="F90:K90"/>
    <mergeCell ref="C92:I92"/>
    <mergeCell ref="F111:K111"/>
  </mergeCells>
  <phoneticPr fontId="2"/>
  <printOptions horizontalCentered="1" verticalCentered="1"/>
  <pageMargins left="0" right="0" top="0" bottom="0" header="0.31496062992125984" footer="0.31496062992125984"/>
  <pageSetup paperSize="9" scale="77" fitToHeight="6" orientation="portrait" r:id="rId1"/>
  <rowBreaks count="5" manualBreakCount="5">
    <brk id="63" max="14" man="1"/>
    <brk id="126" max="14" man="1"/>
    <brk id="189" max="14" man="1"/>
    <brk id="252" max="14" man="1"/>
    <brk id="315" max="1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C000"/>
  </sheetPr>
  <dimension ref="A1:J52"/>
  <sheetViews>
    <sheetView view="pageBreakPreview" zoomScaleSheetLayoutView="100" workbookViewId="0">
      <selection activeCell="C19" sqref="C19"/>
    </sheetView>
  </sheetViews>
  <sheetFormatPr defaultColWidth="2.375" defaultRowHeight="15.6" customHeight="1" x14ac:dyDescent="0.15"/>
  <cols>
    <col min="1" max="1" width="4.625" customWidth="1"/>
    <col min="2" max="2" width="15" customWidth="1"/>
    <col min="3" max="3" width="9.125" bestFit="1" customWidth="1"/>
    <col min="4" max="4" width="4" bestFit="1" customWidth="1"/>
    <col min="5" max="5" width="9.875" customWidth="1"/>
    <col min="6" max="6" width="10" customWidth="1"/>
    <col min="7" max="7" width="11.875" customWidth="1"/>
    <col min="8" max="8" width="4.125" bestFit="1" customWidth="1"/>
    <col min="9" max="9" width="5.875" customWidth="1"/>
    <col min="10" max="10" width="13.875" customWidth="1"/>
  </cols>
  <sheetData>
    <row r="1" spans="1:10" ht="18.75" x14ac:dyDescent="0.15">
      <c r="B1" s="3"/>
      <c r="C1" s="726" t="s">
        <v>140</v>
      </c>
      <c r="D1" s="727"/>
      <c r="E1" s="727"/>
      <c r="F1" s="727"/>
      <c r="G1" s="727"/>
      <c r="H1" s="728"/>
      <c r="I1" s="3"/>
      <c r="J1" s="3"/>
    </row>
    <row r="2" spans="1:10" ht="9" customHeight="1" x14ac:dyDescent="0.15"/>
    <row r="3" spans="1:10" ht="17.25" customHeight="1" x14ac:dyDescent="0.15">
      <c r="G3" s="4" t="s">
        <v>141</v>
      </c>
      <c r="H3" s="729"/>
      <c r="I3" s="729"/>
      <c r="J3" s="729"/>
    </row>
    <row r="4" spans="1:10" ht="9" customHeight="1" x14ac:dyDescent="0.15"/>
    <row r="5" spans="1:10" ht="22.5" customHeight="1" x14ac:dyDescent="0.15">
      <c r="B5" s="1" t="s">
        <v>142</v>
      </c>
      <c r="C5" s="730" t="str">
        <f ca="1">"令和"&amp;YEAR(NOW())-2018&amp;"年度 第"&amp;YEAR(NOW())-1962&amp;"回 石川県中学校サッカー大会 "</f>
        <v xml:space="preserve">令和7年度 第63回 石川県中学校サッカー大会 </v>
      </c>
      <c r="D5" s="730"/>
      <c r="E5" s="730"/>
      <c r="F5" s="730"/>
      <c r="G5" s="730"/>
      <c r="H5" s="730"/>
      <c r="I5" s="730"/>
      <c r="J5" s="730"/>
    </row>
    <row r="6" spans="1:10" ht="9" customHeight="1" x14ac:dyDescent="0.15">
      <c r="H6" s="731" t="s">
        <v>143</v>
      </c>
      <c r="I6" s="731"/>
      <c r="J6" s="731"/>
    </row>
    <row r="7" spans="1:10" ht="17.25" customHeight="1" x14ac:dyDescent="0.15">
      <c r="A7" s="733" t="s">
        <v>144</v>
      </c>
      <c r="B7" s="734"/>
      <c r="H7" s="732"/>
      <c r="I7" s="732"/>
      <c r="J7" s="732"/>
    </row>
    <row r="8" spans="1:10" ht="3.75" customHeight="1" thickBot="1" x14ac:dyDescent="0.2"/>
    <row r="9" spans="1:10" ht="17.25" customHeight="1" x14ac:dyDescent="0.15">
      <c r="A9" s="722" t="s">
        <v>145</v>
      </c>
      <c r="B9" s="723"/>
      <c r="C9" s="771">
        <f ca="1">'県体(12)'!A24</f>
        <v>45857</v>
      </c>
      <c r="D9" s="772"/>
      <c r="E9" s="772"/>
      <c r="F9" s="394" t="str">
        <f ca="1">'県体(12)'!A25</f>
        <v>(土)</v>
      </c>
      <c r="G9" s="5">
        <v>0.375</v>
      </c>
      <c r="H9" s="724" t="s">
        <v>146</v>
      </c>
      <c r="I9" s="724"/>
      <c r="J9" s="725"/>
    </row>
    <row r="10" spans="1:10" ht="26.25" customHeight="1" x14ac:dyDescent="0.15">
      <c r="A10" s="740" t="s">
        <v>147</v>
      </c>
      <c r="B10" s="741"/>
      <c r="C10" s="6" t="s">
        <v>148</v>
      </c>
      <c r="D10" s="7" t="s">
        <v>149</v>
      </c>
      <c r="E10" s="744" t="str">
        <f>IF('県体(12)'!C28="","",VLOOKUP('県体(12)'!C28,県体学校名!$C$4:$I$15,7,FALSE))</f>
        <v/>
      </c>
      <c r="F10" s="744"/>
      <c r="G10" s="2" t="s">
        <v>150</v>
      </c>
      <c r="H10" s="8" t="s">
        <v>151</v>
      </c>
      <c r="I10" s="744" t="str">
        <f>IF('県体(12)'!W28="","",VLOOKUP('県体(12)'!W28,県体学校名!$C$4:$I$15,7,FALSE))</f>
        <v/>
      </c>
      <c r="J10" s="745"/>
    </row>
    <row r="11" spans="1:10" ht="17.25" customHeight="1" x14ac:dyDescent="0.15">
      <c r="A11" s="740"/>
      <c r="B11" s="741"/>
      <c r="C11" s="746" t="s">
        <v>152</v>
      </c>
      <c r="D11" s="746"/>
      <c r="E11" s="746"/>
      <c r="F11" s="9"/>
      <c r="G11" s="10" t="s">
        <v>153</v>
      </c>
      <c r="H11" s="748"/>
      <c r="I11" s="748"/>
      <c r="J11" s="749"/>
    </row>
    <row r="12" spans="1:10" ht="17.25" customHeight="1" x14ac:dyDescent="0.15">
      <c r="A12" s="740"/>
      <c r="B12" s="741"/>
      <c r="C12" s="746"/>
      <c r="D12" s="746"/>
      <c r="E12" s="746"/>
      <c r="F12" s="11"/>
      <c r="G12" s="12" t="s">
        <v>154</v>
      </c>
      <c r="H12" s="751"/>
      <c r="I12" s="751"/>
      <c r="J12" s="749"/>
    </row>
    <row r="13" spans="1:10" ht="17.25" customHeight="1" x14ac:dyDescent="0.15">
      <c r="A13" s="740"/>
      <c r="B13" s="741"/>
      <c r="C13" s="746"/>
      <c r="D13" s="746"/>
      <c r="E13" s="746"/>
      <c r="F13" s="9"/>
      <c r="G13" s="10" t="s">
        <v>155</v>
      </c>
      <c r="H13" s="748"/>
      <c r="I13" s="748"/>
      <c r="J13" s="749"/>
    </row>
    <row r="14" spans="1:10" ht="17.25" customHeight="1" x14ac:dyDescent="0.15">
      <c r="A14" s="740"/>
      <c r="B14" s="741"/>
      <c r="C14" s="746"/>
      <c r="D14" s="746"/>
      <c r="E14" s="746"/>
      <c r="F14" s="11"/>
      <c r="G14" s="12" t="s">
        <v>156</v>
      </c>
      <c r="H14" s="751"/>
      <c r="I14" s="751"/>
      <c r="J14" s="749"/>
    </row>
    <row r="15" spans="1:10" ht="17.25" customHeight="1" x14ac:dyDescent="0.15">
      <c r="A15" s="740"/>
      <c r="B15" s="741"/>
      <c r="C15" s="746"/>
      <c r="D15" s="746"/>
      <c r="E15" s="746"/>
      <c r="F15" s="9"/>
      <c r="G15" s="10"/>
      <c r="H15" s="748"/>
      <c r="I15" s="748"/>
      <c r="J15" s="749"/>
    </row>
    <row r="16" spans="1:10" ht="17.25" customHeight="1" x14ac:dyDescent="0.15">
      <c r="A16" s="740"/>
      <c r="B16" s="741"/>
      <c r="C16" s="746"/>
      <c r="D16" s="746"/>
      <c r="E16" s="746"/>
      <c r="F16" s="11"/>
      <c r="G16" s="12"/>
      <c r="H16" s="751"/>
      <c r="I16" s="751"/>
      <c r="J16" s="749"/>
    </row>
    <row r="17" spans="1:10" ht="17.25" customHeight="1" x14ac:dyDescent="0.15">
      <c r="A17" s="742"/>
      <c r="B17" s="743"/>
      <c r="C17" s="747"/>
      <c r="D17" s="747"/>
      <c r="E17" s="747"/>
      <c r="F17" s="14"/>
      <c r="G17" s="13" t="s">
        <v>157</v>
      </c>
      <c r="H17" s="747"/>
      <c r="I17" s="747"/>
      <c r="J17" s="750"/>
    </row>
    <row r="18" spans="1:10" ht="17.25" customHeight="1" thickBot="1" x14ac:dyDescent="0.2">
      <c r="A18" s="735" t="s">
        <v>158</v>
      </c>
      <c r="B18" s="736"/>
      <c r="C18" s="737" t="str">
        <f>VLOOKUP('県体(12)'!K35,'県体(12)'!$A$15:$B$19,2,FALSE)</f>
        <v>スカイパーク Aコート</v>
      </c>
      <c r="D18" s="738"/>
      <c r="E18" s="738"/>
      <c r="F18" s="738"/>
      <c r="G18" s="738"/>
      <c r="H18" s="738"/>
      <c r="I18" s="738"/>
      <c r="J18" s="739"/>
    </row>
    <row r="19" spans="1:10" ht="9" customHeight="1" x14ac:dyDescent="0.15"/>
    <row r="20" spans="1:10" ht="17.25" customHeight="1" x14ac:dyDescent="0.15">
      <c r="A20" s="733" t="s">
        <v>159</v>
      </c>
      <c r="B20" s="734"/>
    </row>
    <row r="21" spans="1:10" ht="3.75" customHeight="1" thickBot="1" x14ac:dyDescent="0.2"/>
    <row r="22" spans="1:10" ht="17.25" customHeight="1" x14ac:dyDescent="0.15">
      <c r="A22" s="752" t="s">
        <v>160</v>
      </c>
      <c r="B22" s="753"/>
      <c r="C22" s="754" t="s">
        <v>161</v>
      </c>
      <c r="D22" s="754"/>
      <c r="E22" s="754"/>
      <c r="F22" s="754"/>
      <c r="G22" s="754"/>
      <c r="H22" s="754"/>
      <c r="I22" s="754"/>
      <c r="J22" s="755"/>
    </row>
    <row r="23" spans="1:10" ht="17.25" customHeight="1" x14ac:dyDescent="0.15">
      <c r="A23" s="756" t="s">
        <v>162</v>
      </c>
      <c r="B23" s="757"/>
      <c r="C23" s="758" t="s">
        <v>161</v>
      </c>
      <c r="D23" s="759"/>
      <c r="E23" s="759"/>
      <c r="F23" s="759"/>
      <c r="G23" s="759"/>
      <c r="H23" s="759"/>
      <c r="I23" s="759"/>
      <c r="J23" s="760"/>
    </row>
    <row r="24" spans="1:10" ht="17.25" customHeight="1" x14ac:dyDescent="0.15">
      <c r="A24" s="756" t="s">
        <v>163</v>
      </c>
      <c r="B24" s="757"/>
      <c r="C24" s="758" t="s">
        <v>161</v>
      </c>
      <c r="D24" s="759"/>
      <c r="E24" s="759"/>
      <c r="F24" s="759"/>
      <c r="G24" s="759"/>
      <c r="H24" s="759"/>
      <c r="I24" s="759"/>
      <c r="J24" s="760"/>
    </row>
    <row r="25" spans="1:10" ht="17.25" customHeight="1" x14ac:dyDescent="0.15">
      <c r="A25" s="756" t="s">
        <v>164</v>
      </c>
      <c r="B25" s="757"/>
      <c r="C25" s="758" t="s">
        <v>161</v>
      </c>
      <c r="D25" s="759"/>
      <c r="E25" s="759"/>
      <c r="F25" s="759"/>
      <c r="G25" s="759"/>
      <c r="H25" s="759"/>
      <c r="I25" s="759"/>
      <c r="J25" s="760"/>
    </row>
    <row r="26" spans="1:10" ht="17.25" customHeight="1" x14ac:dyDescent="0.15">
      <c r="A26" s="756" t="s">
        <v>165</v>
      </c>
      <c r="B26" s="757"/>
      <c r="C26" s="758" t="s">
        <v>161</v>
      </c>
      <c r="D26" s="759"/>
      <c r="E26" s="759"/>
      <c r="F26" s="759"/>
      <c r="G26" s="759"/>
      <c r="H26" s="759"/>
      <c r="I26" s="759"/>
      <c r="J26" s="760"/>
    </row>
    <row r="27" spans="1:10" ht="17.25" customHeight="1" x14ac:dyDescent="0.15">
      <c r="A27" s="756" t="s">
        <v>166</v>
      </c>
      <c r="B27" s="757"/>
      <c r="C27" s="15" t="s">
        <v>167</v>
      </c>
      <c r="D27" s="763" t="str">
        <f>IF(E10="","",E10)</f>
        <v/>
      </c>
      <c r="E27" s="763"/>
      <c r="F27" s="763"/>
      <c r="G27" s="763"/>
      <c r="H27" s="16" t="s">
        <v>168</v>
      </c>
      <c r="I27" s="16"/>
      <c r="J27" s="17"/>
    </row>
    <row r="28" spans="1:10" ht="17.25" customHeight="1" x14ac:dyDescent="0.15">
      <c r="A28" s="756"/>
      <c r="B28" s="757"/>
      <c r="C28" s="764" t="s">
        <v>161</v>
      </c>
      <c r="D28" s="765"/>
      <c r="E28" s="765"/>
      <c r="F28" s="765"/>
      <c r="G28" s="765"/>
      <c r="H28" s="765"/>
      <c r="I28" s="765"/>
      <c r="J28" s="766"/>
    </row>
    <row r="29" spans="1:10" ht="17.25" customHeight="1" x14ac:dyDescent="0.15">
      <c r="A29" s="756"/>
      <c r="B29" s="757"/>
      <c r="C29" s="18" t="s">
        <v>169</v>
      </c>
      <c r="D29" s="765" t="str">
        <f>IF(I10="","",I10)</f>
        <v/>
      </c>
      <c r="E29" s="765"/>
      <c r="F29" s="765"/>
      <c r="G29" s="765"/>
      <c r="H29" t="s">
        <v>168</v>
      </c>
      <c r="J29" s="19"/>
    </row>
    <row r="30" spans="1:10" ht="17.25" customHeight="1" thickBot="1" x14ac:dyDescent="0.2">
      <c r="A30" s="761"/>
      <c r="B30" s="762"/>
      <c r="C30" s="767" t="s">
        <v>161</v>
      </c>
      <c r="D30" s="768"/>
      <c r="E30" s="768"/>
      <c r="F30" s="768"/>
      <c r="G30" s="768"/>
      <c r="H30" s="768"/>
      <c r="I30" s="768"/>
      <c r="J30" s="769"/>
    </row>
    <row r="31" spans="1:10" ht="9" customHeight="1" x14ac:dyDescent="0.15"/>
    <row r="32" spans="1:10" ht="17.25" customHeight="1" x14ac:dyDescent="0.15">
      <c r="A32" t="s">
        <v>170</v>
      </c>
    </row>
    <row r="33" spans="1:10" ht="18.75" customHeight="1" x14ac:dyDescent="0.15">
      <c r="B33" s="729"/>
      <c r="C33" s="729"/>
      <c r="D33" s="729"/>
      <c r="E33" s="729"/>
      <c r="F33" s="729"/>
      <c r="G33" s="729"/>
      <c r="H33" s="729"/>
      <c r="I33" s="729"/>
      <c r="J33" s="729"/>
    </row>
    <row r="34" spans="1:10" ht="18.75" customHeight="1" x14ac:dyDescent="0.15">
      <c r="B34" s="729"/>
      <c r="C34" s="729"/>
      <c r="D34" s="729"/>
      <c r="E34" s="729"/>
      <c r="F34" s="729"/>
      <c r="G34" s="729"/>
      <c r="H34" s="729"/>
      <c r="I34" s="729"/>
      <c r="J34" s="729"/>
    </row>
    <row r="35" spans="1:10" ht="18.75" customHeight="1" x14ac:dyDescent="0.15">
      <c r="B35" s="729"/>
      <c r="C35" s="729"/>
      <c r="D35" s="729"/>
      <c r="E35" s="729"/>
      <c r="F35" s="729"/>
      <c r="G35" s="729"/>
      <c r="H35" s="729"/>
      <c r="I35" s="729"/>
      <c r="J35" s="729"/>
    </row>
    <row r="36" spans="1:10" ht="18.75" customHeight="1" x14ac:dyDescent="0.15">
      <c r="B36" s="729"/>
      <c r="C36" s="729"/>
      <c r="D36" s="729"/>
      <c r="E36" s="729"/>
      <c r="F36" s="729"/>
      <c r="G36" s="729"/>
      <c r="H36" s="729"/>
      <c r="I36" s="729"/>
      <c r="J36" s="729"/>
    </row>
    <row r="37" spans="1:10" ht="18.75" customHeight="1" x14ac:dyDescent="0.15">
      <c r="B37" s="729"/>
      <c r="C37" s="729"/>
      <c r="D37" s="729"/>
      <c r="E37" s="729"/>
      <c r="F37" s="729"/>
      <c r="G37" s="729"/>
      <c r="H37" s="729"/>
      <c r="I37" s="729"/>
      <c r="J37" s="729"/>
    </row>
    <row r="38" spans="1:10" ht="18.75" customHeight="1" x14ac:dyDescent="0.15">
      <c r="B38" s="729"/>
      <c r="C38" s="729"/>
      <c r="D38" s="729"/>
      <c r="E38" s="729"/>
      <c r="F38" s="729"/>
      <c r="G38" s="729"/>
      <c r="H38" s="729"/>
      <c r="I38" s="729"/>
      <c r="J38" s="729"/>
    </row>
    <row r="39" spans="1:10" ht="9" customHeight="1" x14ac:dyDescent="0.15"/>
    <row r="40" spans="1:10" ht="17.25" customHeight="1" x14ac:dyDescent="0.15">
      <c r="A40" s="733" t="s">
        <v>171</v>
      </c>
      <c r="B40" s="734"/>
    </row>
    <row r="41" spans="1:10" ht="3.75" customHeight="1" x14ac:dyDescent="0.15"/>
    <row r="42" spans="1:10" ht="17.25" customHeight="1" x14ac:dyDescent="0.15">
      <c r="A42" t="s">
        <v>172</v>
      </c>
    </row>
    <row r="43" spans="1:10" ht="18.75" customHeight="1" x14ac:dyDescent="0.15">
      <c r="B43" s="729"/>
      <c r="C43" s="729"/>
      <c r="D43" s="729"/>
      <c r="E43" s="729"/>
      <c r="F43" s="729"/>
      <c r="G43" s="729"/>
      <c r="H43" s="729"/>
      <c r="I43" s="729"/>
      <c r="J43" s="729"/>
    </row>
    <row r="44" spans="1:10" ht="18.75" customHeight="1" x14ac:dyDescent="0.15">
      <c r="B44" s="729"/>
      <c r="C44" s="729"/>
      <c r="D44" s="729"/>
      <c r="E44" s="729"/>
      <c r="F44" s="729"/>
      <c r="G44" s="729"/>
      <c r="H44" s="729"/>
      <c r="I44" s="729"/>
      <c r="J44" s="729"/>
    </row>
    <row r="45" spans="1:10" ht="18.75" customHeight="1" x14ac:dyDescent="0.15">
      <c r="B45" s="729"/>
      <c r="C45" s="729"/>
      <c r="D45" s="729"/>
      <c r="E45" s="729"/>
      <c r="F45" s="729"/>
      <c r="G45" s="729"/>
      <c r="H45" s="729"/>
      <c r="I45" s="729"/>
      <c r="J45" s="729"/>
    </row>
    <row r="46" spans="1:10" ht="18.75" customHeight="1" x14ac:dyDescent="0.15">
      <c r="B46" s="729"/>
      <c r="C46" s="729"/>
      <c r="D46" s="729"/>
      <c r="E46" s="729"/>
      <c r="F46" s="729"/>
      <c r="G46" s="729"/>
      <c r="H46" s="729"/>
      <c r="I46" s="729"/>
      <c r="J46" s="729"/>
    </row>
    <row r="47" spans="1:10" ht="18.75" customHeight="1" x14ac:dyDescent="0.15">
      <c r="B47" s="729"/>
      <c r="C47" s="729"/>
      <c r="D47" s="729"/>
      <c r="E47" s="729"/>
      <c r="F47" s="729"/>
      <c r="G47" s="729"/>
      <c r="H47" s="729"/>
      <c r="I47" s="729"/>
      <c r="J47" s="729"/>
    </row>
    <row r="48" spans="1:10" ht="18.75" customHeight="1" x14ac:dyDescent="0.15">
      <c r="B48" s="729"/>
      <c r="C48" s="729"/>
      <c r="D48" s="729"/>
      <c r="E48" s="729"/>
      <c r="F48" s="729"/>
      <c r="G48" s="729"/>
      <c r="H48" s="729"/>
      <c r="I48" s="729"/>
      <c r="J48" s="729"/>
    </row>
    <row r="49" spans="2:9" ht="9" customHeight="1" x14ac:dyDescent="0.15"/>
    <row r="50" spans="2:9" ht="15.6" customHeight="1" x14ac:dyDescent="0.15">
      <c r="B50" s="20" t="s">
        <v>173</v>
      </c>
    </row>
    <row r="51" spans="2:9" ht="9" customHeight="1" x14ac:dyDescent="0.15"/>
    <row r="52" spans="2:9" ht="15.6" customHeight="1" x14ac:dyDescent="0.15">
      <c r="C52" s="758" t="s">
        <v>174</v>
      </c>
      <c r="D52" s="759"/>
      <c r="E52" s="759"/>
      <c r="F52" s="759"/>
      <c r="G52" s="759"/>
      <c r="H52" s="759"/>
      <c r="I52" s="770"/>
    </row>
  </sheetData>
  <mergeCells count="53">
    <mergeCell ref="B48:J48"/>
    <mergeCell ref="C52:I52"/>
    <mergeCell ref="C9:E9"/>
    <mergeCell ref="A40:B40"/>
    <mergeCell ref="B43:J43"/>
    <mergeCell ref="B44:J44"/>
    <mergeCell ref="B45:J45"/>
    <mergeCell ref="B46:J46"/>
    <mergeCell ref="B47:J47"/>
    <mergeCell ref="B33:J33"/>
    <mergeCell ref="B34:J34"/>
    <mergeCell ref="B35:J35"/>
    <mergeCell ref="B36:J36"/>
    <mergeCell ref="B37:J37"/>
    <mergeCell ref="B38:J38"/>
    <mergeCell ref="A25:B25"/>
    <mergeCell ref="C25:J25"/>
    <mergeCell ref="A26:B26"/>
    <mergeCell ref="C26:J26"/>
    <mergeCell ref="A27:B30"/>
    <mergeCell ref="D27:G27"/>
    <mergeCell ref="C28:J28"/>
    <mergeCell ref="D29:G29"/>
    <mergeCell ref="C30:J30"/>
    <mergeCell ref="A22:B22"/>
    <mergeCell ref="C22:J22"/>
    <mergeCell ref="A23:B23"/>
    <mergeCell ref="C23:J23"/>
    <mergeCell ref="A24:B24"/>
    <mergeCell ref="C24:J24"/>
    <mergeCell ref="A18:B18"/>
    <mergeCell ref="C18:J18"/>
    <mergeCell ref="A20:B20"/>
    <mergeCell ref="A10:B17"/>
    <mergeCell ref="E10:F10"/>
    <mergeCell ref="I10:J10"/>
    <mergeCell ref="C11:C17"/>
    <mergeCell ref="D11:E17"/>
    <mergeCell ref="H11:I11"/>
    <mergeCell ref="J11:J17"/>
    <mergeCell ref="H12:I12"/>
    <mergeCell ref="H13:I13"/>
    <mergeCell ref="H14:I14"/>
    <mergeCell ref="H15:I15"/>
    <mergeCell ref="H16:I16"/>
    <mergeCell ref="H17:I17"/>
    <mergeCell ref="A9:B9"/>
    <mergeCell ref="H9:J9"/>
    <mergeCell ref="C1:H1"/>
    <mergeCell ref="H3:J3"/>
    <mergeCell ref="C5:J5"/>
    <mergeCell ref="H6:J7"/>
    <mergeCell ref="A7:B7"/>
  </mergeCells>
  <phoneticPr fontId="2"/>
  <pageMargins left="0.7" right="0.7" top="0.75" bottom="0.75" header="0.3" footer="0.3"/>
  <pageSetup paperSize="9" scale="9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C000"/>
  </sheetPr>
  <dimension ref="A1:J52"/>
  <sheetViews>
    <sheetView view="pageBreakPreview" zoomScaleSheetLayoutView="100" workbookViewId="0">
      <selection activeCell="C19" sqref="C19"/>
    </sheetView>
  </sheetViews>
  <sheetFormatPr defaultColWidth="2.375" defaultRowHeight="15.6" customHeight="1" x14ac:dyDescent="0.15"/>
  <cols>
    <col min="1" max="1" width="4.625" customWidth="1"/>
    <col min="2" max="2" width="15" customWidth="1"/>
    <col min="3" max="3" width="9.125" bestFit="1" customWidth="1"/>
    <col min="4" max="4" width="4" bestFit="1" customWidth="1"/>
    <col min="5" max="5" width="9.875" customWidth="1"/>
    <col min="6" max="6" width="10" customWidth="1"/>
    <col min="7" max="7" width="11.875" customWidth="1"/>
    <col min="8" max="8" width="4.125" bestFit="1" customWidth="1"/>
    <col min="9" max="9" width="5.875" customWidth="1"/>
    <col min="10" max="10" width="13.875" customWidth="1"/>
  </cols>
  <sheetData>
    <row r="1" spans="1:10" ht="18.75" x14ac:dyDescent="0.15">
      <c r="B1" s="3"/>
      <c r="C1" s="726" t="s">
        <v>140</v>
      </c>
      <c r="D1" s="727"/>
      <c r="E1" s="727"/>
      <c r="F1" s="727"/>
      <c r="G1" s="727"/>
      <c r="H1" s="728"/>
      <c r="I1" s="3"/>
      <c r="J1" s="3"/>
    </row>
    <row r="2" spans="1:10" ht="9" customHeight="1" x14ac:dyDescent="0.15"/>
    <row r="3" spans="1:10" ht="17.25" customHeight="1" x14ac:dyDescent="0.15">
      <c r="G3" s="4" t="s">
        <v>141</v>
      </c>
      <c r="H3" s="729"/>
      <c r="I3" s="729"/>
      <c r="J3" s="729"/>
    </row>
    <row r="4" spans="1:10" ht="9" customHeight="1" x14ac:dyDescent="0.15"/>
    <row r="5" spans="1:10" ht="22.5" customHeight="1" x14ac:dyDescent="0.15">
      <c r="B5" s="1" t="s">
        <v>142</v>
      </c>
      <c r="C5" s="730" t="str">
        <f ca="1">"令和"&amp;YEAR(NOW())-2018&amp;"年度 第"&amp;YEAR(NOW())-1962&amp;"回 石川県中学校サッカー大会 "</f>
        <v xml:space="preserve">令和7年度 第63回 石川県中学校サッカー大会 </v>
      </c>
      <c r="D5" s="730"/>
      <c r="E5" s="730"/>
      <c r="F5" s="730"/>
      <c r="G5" s="730"/>
      <c r="H5" s="730"/>
      <c r="I5" s="730"/>
      <c r="J5" s="730"/>
    </row>
    <row r="6" spans="1:10" ht="9" customHeight="1" x14ac:dyDescent="0.15">
      <c r="H6" s="731" t="s">
        <v>143</v>
      </c>
      <c r="I6" s="731"/>
      <c r="J6" s="731"/>
    </row>
    <row r="7" spans="1:10" ht="17.25" customHeight="1" x14ac:dyDescent="0.15">
      <c r="A7" s="733" t="s">
        <v>144</v>
      </c>
      <c r="B7" s="734"/>
      <c r="H7" s="732"/>
      <c r="I7" s="732"/>
      <c r="J7" s="732"/>
    </row>
    <row r="8" spans="1:10" ht="3.75" customHeight="1" thickBot="1" x14ac:dyDescent="0.2"/>
    <row r="9" spans="1:10" ht="17.25" customHeight="1" x14ac:dyDescent="0.15">
      <c r="A9" s="722" t="s">
        <v>145</v>
      </c>
      <c r="B9" s="723"/>
      <c r="C9" s="771">
        <f ca="1">'県体(12)'!A24</f>
        <v>45857</v>
      </c>
      <c r="D9" s="772"/>
      <c r="E9" s="772"/>
      <c r="F9" s="394" t="str">
        <f ca="1">'県体(12)'!A25</f>
        <v>(土)</v>
      </c>
      <c r="G9" s="5">
        <v>0.375</v>
      </c>
      <c r="H9" s="724" t="s">
        <v>146</v>
      </c>
      <c r="I9" s="724"/>
      <c r="J9" s="725"/>
    </row>
    <row r="10" spans="1:10" ht="26.25" customHeight="1" x14ac:dyDescent="0.15">
      <c r="A10" s="740" t="s">
        <v>147</v>
      </c>
      <c r="B10" s="741"/>
      <c r="C10" s="6" t="s">
        <v>148</v>
      </c>
      <c r="D10" s="7" t="s">
        <v>149</v>
      </c>
      <c r="E10" s="744" t="str">
        <f>IF('県体(12)'!AC28="","",VLOOKUP('県体(12)'!AC28,県体学校名!$C$4:$I$15,7,FALSE))</f>
        <v/>
      </c>
      <c r="F10" s="744"/>
      <c r="G10" s="2" t="s">
        <v>150</v>
      </c>
      <c r="H10" s="8" t="s">
        <v>151</v>
      </c>
      <c r="I10" s="744" t="str">
        <f>IF('県体(12)'!AW28="","",VLOOKUP('県体(12)'!AW28,県体学校名!$C$4:$I$15,7,FALSE))</f>
        <v/>
      </c>
      <c r="J10" s="745"/>
    </row>
    <row r="11" spans="1:10" ht="17.25" customHeight="1" x14ac:dyDescent="0.15">
      <c r="A11" s="740"/>
      <c r="B11" s="741"/>
      <c r="C11" s="746" t="s">
        <v>152</v>
      </c>
      <c r="D11" s="746"/>
      <c r="E11" s="746"/>
      <c r="F11" s="9"/>
      <c r="G11" s="10" t="s">
        <v>153</v>
      </c>
      <c r="H11" s="748"/>
      <c r="I11" s="748"/>
      <c r="J11" s="749"/>
    </row>
    <row r="12" spans="1:10" ht="17.25" customHeight="1" x14ac:dyDescent="0.15">
      <c r="A12" s="740"/>
      <c r="B12" s="741"/>
      <c r="C12" s="746"/>
      <c r="D12" s="746"/>
      <c r="E12" s="746"/>
      <c r="F12" s="11"/>
      <c r="G12" s="12" t="s">
        <v>154</v>
      </c>
      <c r="H12" s="751"/>
      <c r="I12" s="751"/>
      <c r="J12" s="749"/>
    </row>
    <row r="13" spans="1:10" ht="17.25" customHeight="1" x14ac:dyDescent="0.15">
      <c r="A13" s="740"/>
      <c r="B13" s="741"/>
      <c r="C13" s="746"/>
      <c r="D13" s="746"/>
      <c r="E13" s="746"/>
      <c r="F13" s="9"/>
      <c r="G13" s="10" t="s">
        <v>155</v>
      </c>
      <c r="H13" s="748"/>
      <c r="I13" s="748"/>
      <c r="J13" s="749"/>
    </row>
    <row r="14" spans="1:10" ht="17.25" customHeight="1" x14ac:dyDescent="0.15">
      <c r="A14" s="740"/>
      <c r="B14" s="741"/>
      <c r="C14" s="746"/>
      <c r="D14" s="746"/>
      <c r="E14" s="746"/>
      <c r="F14" s="11"/>
      <c r="G14" s="12" t="s">
        <v>156</v>
      </c>
      <c r="H14" s="751"/>
      <c r="I14" s="751"/>
      <c r="J14" s="749"/>
    </row>
    <row r="15" spans="1:10" ht="17.25" customHeight="1" x14ac:dyDescent="0.15">
      <c r="A15" s="740"/>
      <c r="B15" s="741"/>
      <c r="C15" s="746"/>
      <c r="D15" s="746"/>
      <c r="E15" s="746"/>
      <c r="F15" s="9"/>
      <c r="G15" s="10"/>
      <c r="H15" s="748"/>
      <c r="I15" s="748"/>
      <c r="J15" s="749"/>
    </row>
    <row r="16" spans="1:10" ht="17.25" customHeight="1" x14ac:dyDescent="0.15">
      <c r="A16" s="740"/>
      <c r="B16" s="741"/>
      <c r="C16" s="746"/>
      <c r="D16" s="746"/>
      <c r="E16" s="746"/>
      <c r="F16" s="11"/>
      <c r="G16" s="12"/>
      <c r="H16" s="751"/>
      <c r="I16" s="751"/>
      <c r="J16" s="749"/>
    </row>
    <row r="17" spans="1:10" ht="17.25" customHeight="1" x14ac:dyDescent="0.15">
      <c r="A17" s="742"/>
      <c r="B17" s="743"/>
      <c r="C17" s="747"/>
      <c r="D17" s="747"/>
      <c r="E17" s="747"/>
      <c r="F17" s="14"/>
      <c r="G17" s="13" t="s">
        <v>157</v>
      </c>
      <c r="H17" s="747"/>
      <c r="I17" s="747"/>
      <c r="J17" s="750"/>
    </row>
    <row r="18" spans="1:10" ht="17.25" customHeight="1" thickBot="1" x14ac:dyDescent="0.2">
      <c r="A18" s="735" t="s">
        <v>158</v>
      </c>
      <c r="B18" s="736"/>
      <c r="C18" s="737" t="str">
        <f>VLOOKUP('県体(12)'!AK35,'県体(12)'!$A$15:$B$19,2,FALSE)</f>
        <v>スカイパーク Bコート</v>
      </c>
      <c r="D18" s="738"/>
      <c r="E18" s="738"/>
      <c r="F18" s="738"/>
      <c r="G18" s="738"/>
      <c r="H18" s="738"/>
      <c r="I18" s="738"/>
      <c r="J18" s="739"/>
    </row>
    <row r="19" spans="1:10" ht="9" customHeight="1" x14ac:dyDescent="0.15"/>
    <row r="20" spans="1:10" ht="17.25" customHeight="1" x14ac:dyDescent="0.15">
      <c r="A20" s="733" t="s">
        <v>159</v>
      </c>
      <c r="B20" s="734"/>
    </row>
    <row r="21" spans="1:10" ht="3.75" customHeight="1" thickBot="1" x14ac:dyDescent="0.2"/>
    <row r="22" spans="1:10" ht="17.25" customHeight="1" x14ac:dyDescent="0.15">
      <c r="A22" s="752" t="s">
        <v>160</v>
      </c>
      <c r="B22" s="753"/>
      <c r="C22" s="754" t="s">
        <v>161</v>
      </c>
      <c r="D22" s="754"/>
      <c r="E22" s="754"/>
      <c r="F22" s="754"/>
      <c r="G22" s="754"/>
      <c r="H22" s="754"/>
      <c r="I22" s="754"/>
      <c r="J22" s="755"/>
    </row>
    <row r="23" spans="1:10" ht="17.25" customHeight="1" x14ac:dyDescent="0.15">
      <c r="A23" s="756" t="s">
        <v>162</v>
      </c>
      <c r="B23" s="757"/>
      <c r="C23" s="758" t="s">
        <v>161</v>
      </c>
      <c r="D23" s="759"/>
      <c r="E23" s="759"/>
      <c r="F23" s="759"/>
      <c r="G23" s="759"/>
      <c r="H23" s="759"/>
      <c r="I23" s="759"/>
      <c r="J23" s="760"/>
    </row>
    <row r="24" spans="1:10" ht="17.25" customHeight="1" x14ac:dyDescent="0.15">
      <c r="A24" s="756" t="s">
        <v>163</v>
      </c>
      <c r="B24" s="757"/>
      <c r="C24" s="758" t="s">
        <v>161</v>
      </c>
      <c r="D24" s="759"/>
      <c r="E24" s="759"/>
      <c r="F24" s="759"/>
      <c r="G24" s="759"/>
      <c r="H24" s="759"/>
      <c r="I24" s="759"/>
      <c r="J24" s="760"/>
    </row>
    <row r="25" spans="1:10" ht="17.25" customHeight="1" x14ac:dyDescent="0.15">
      <c r="A25" s="756" t="s">
        <v>164</v>
      </c>
      <c r="B25" s="757"/>
      <c r="C25" s="758" t="s">
        <v>161</v>
      </c>
      <c r="D25" s="759"/>
      <c r="E25" s="759"/>
      <c r="F25" s="759"/>
      <c r="G25" s="759"/>
      <c r="H25" s="759"/>
      <c r="I25" s="759"/>
      <c r="J25" s="760"/>
    </row>
    <row r="26" spans="1:10" ht="17.25" customHeight="1" x14ac:dyDescent="0.15">
      <c r="A26" s="756" t="s">
        <v>165</v>
      </c>
      <c r="B26" s="757"/>
      <c r="C26" s="758" t="s">
        <v>161</v>
      </c>
      <c r="D26" s="759"/>
      <c r="E26" s="759"/>
      <c r="F26" s="759"/>
      <c r="G26" s="759"/>
      <c r="H26" s="759"/>
      <c r="I26" s="759"/>
      <c r="J26" s="760"/>
    </row>
    <row r="27" spans="1:10" ht="17.25" customHeight="1" x14ac:dyDescent="0.15">
      <c r="A27" s="756" t="s">
        <v>166</v>
      </c>
      <c r="B27" s="757"/>
      <c r="C27" s="15" t="s">
        <v>167</v>
      </c>
      <c r="D27" s="763" t="str">
        <f>IF(E10="","",E10)</f>
        <v/>
      </c>
      <c r="E27" s="763"/>
      <c r="F27" s="763"/>
      <c r="G27" s="763"/>
      <c r="H27" s="16" t="s">
        <v>168</v>
      </c>
      <c r="I27" s="16"/>
      <c r="J27" s="17"/>
    </row>
    <row r="28" spans="1:10" ht="17.25" customHeight="1" x14ac:dyDescent="0.15">
      <c r="A28" s="756"/>
      <c r="B28" s="757"/>
      <c r="C28" s="764" t="s">
        <v>161</v>
      </c>
      <c r="D28" s="765"/>
      <c r="E28" s="765"/>
      <c r="F28" s="765"/>
      <c r="G28" s="765"/>
      <c r="H28" s="765"/>
      <c r="I28" s="765"/>
      <c r="J28" s="766"/>
    </row>
    <row r="29" spans="1:10" ht="17.25" customHeight="1" x14ac:dyDescent="0.15">
      <c r="A29" s="756"/>
      <c r="B29" s="757"/>
      <c r="C29" s="18" t="s">
        <v>169</v>
      </c>
      <c r="D29" s="765" t="str">
        <f>IF(I10="","",I10)</f>
        <v/>
      </c>
      <c r="E29" s="765"/>
      <c r="F29" s="765"/>
      <c r="G29" s="765"/>
      <c r="H29" t="s">
        <v>168</v>
      </c>
      <c r="J29" s="19"/>
    </row>
    <row r="30" spans="1:10" ht="17.25" customHeight="1" thickBot="1" x14ac:dyDescent="0.2">
      <c r="A30" s="761"/>
      <c r="B30" s="762"/>
      <c r="C30" s="767" t="s">
        <v>161</v>
      </c>
      <c r="D30" s="768"/>
      <c r="E30" s="768"/>
      <c r="F30" s="768"/>
      <c r="G30" s="768"/>
      <c r="H30" s="768"/>
      <c r="I30" s="768"/>
      <c r="J30" s="769"/>
    </row>
    <row r="31" spans="1:10" ht="9" customHeight="1" x14ac:dyDescent="0.15"/>
    <row r="32" spans="1:10" ht="17.25" customHeight="1" x14ac:dyDescent="0.15">
      <c r="A32" t="s">
        <v>170</v>
      </c>
    </row>
    <row r="33" spans="1:10" ht="18.75" customHeight="1" x14ac:dyDescent="0.15">
      <c r="B33" s="729"/>
      <c r="C33" s="729"/>
      <c r="D33" s="729"/>
      <c r="E33" s="729"/>
      <c r="F33" s="729"/>
      <c r="G33" s="729"/>
      <c r="H33" s="729"/>
      <c r="I33" s="729"/>
      <c r="J33" s="729"/>
    </row>
    <row r="34" spans="1:10" ht="18.75" customHeight="1" x14ac:dyDescent="0.15">
      <c r="B34" s="729"/>
      <c r="C34" s="729"/>
      <c r="D34" s="729"/>
      <c r="E34" s="729"/>
      <c r="F34" s="729"/>
      <c r="G34" s="729"/>
      <c r="H34" s="729"/>
      <c r="I34" s="729"/>
      <c r="J34" s="729"/>
    </row>
    <row r="35" spans="1:10" ht="18.75" customHeight="1" x14ac:dyDescent="0.15">
      <c r="B35" s="729"/>
      <c r="C35" s="729"/>
      <c r="D35" s="729"/>
      <c r="E35" s="729"/>
      <c r="F35" s="729"/>
      <c r="G35" s="729"/>
      <c r="H35" s="729"/>
      <c r="I35" s="729"/>
      <c r="J35" s="729"/>
    </row>
    <row r="36" spans="1:10" ht="18.75" customHeight="1" x14ac:dyDescent="0.15">
      <c r="B36" s="729"/>
      <c r="C36" s="729"/>
      <c r="D36" s="729"/>
      <c r="E36" s="729"/>
      <c r="F36" s="729"/>
      <c r="G36" s="729"/>
      <c r="H36" s="729"/>
      <c r="I36" s="729"/>
      <c r="J36" s="729"/>
    </row>
    <row r="37" spans="1:10" ht="18.75" customHeight="1" x14ac:dyDescent="0.15">
      <c r="B37" s="729"/>
      <c r="C37" s="729"/>
      <c r="D37" s="729"/>
      <c r="E37" s="729"/>
      <c r="F37" s="729"/>
      <c r="G37" s="729"/>
      <c r="H37" s="729"/>
      <c r="I37" s="729"/>
      <c r="J37" s="729"/>
    </row>
    <row r="38" spans="1:10" ht="18.75" customHeight="1" x14ac:dyDescent="0.15">
      <c r="B38" s="729"/>
      <c r="C38" s="729"/>
      <c r="D38" s="729"/>
      <c r="E38" s="729"/>
      <c r="F38" s="729"/>
      <c r="G38" s="729"/>
      <c r="H38" s="729"/>
      <c r="I38" s="729"/>
      <c r="J38" s="729"/>
    </row>
    <row r="39" spans="1:10" ht="9" customHeight="1" x14ac:dyDescent="0.15"/>
    <row r="40" spans="1:10" ht="17.25" customHeight="1" x14ac:dyDescent="0.15">
      <c r="A40" s="733" t="s">
        <v>171</v>
      </c>
      <c r="B40" s="734"/>
    </row>
    <row r="41" spans="1:10" ht="3.75" customHeight="1" x14ac:dyDescent="0.15"/>
    <row r="42" spans="1:10" ht="17.25" customHeight="1" x14ac:dyDescent="0.15">
      <c r="A42" t="s">
        <v>172</v>
      </c>
    </row>
    <row r="43" spans="1:10" ht="18.75" customHeight="1" x14ac:dyDescent="0.15">
      <c r="B43" s="729"/>
      <c r="C43" s="729"/>
      <c r="D43" s="729"/>
      <c r="E43" s="729"/>
      <c r="F43" s="729"/>
      <c r="G43" s="729"/>
      <c r="H43" s="729"/>
      <c r="I43" s="729"/>
      <c r="J43" s="729"/>
    </row>
    <row r="44" spans="1:10" ht="18.75" customHeight="1" x14ac:dyDescent="0.15">
      <c r="B44" s="729"/>
      <c r="C44" s="729"/>
      <c r="D44" s="729"/>
      <c r="E44" s="729"/>
      <c r="F44" s="729"/>
      <c r="G44" s="729"/>
      <c r="H44" s="729"/>
      <c r="I44" s="729"/>
      <c r="J44" s="729"/>
    </row>
    <row r="45" spans="1:10" ht="18.75" customHeight="1" x14ac:dyDescent="0.15">
      <c r="B45" s="729"/>
      <c r="C45" s="729"/>
      <c r="D45" s="729"/>
      <c r="E45" s="729"/>
      <c r="F45" s="729"/>
      <c r="G45" s="729"/>
      <c r="H45" s="729"/>
      <c r="I45" s="729"/>
      <c r="J45" s="729"/>
    </row>
    <row r="46" spans="1:10" ht="18.75" customHeight="1" x14ac:dyDescent="0.15">
      <c r="B46" s="729"/>
      <c r="C46" s="729"/>
      <c r="D46" s="729"/>
      <c r="E46" s="729"/>
      <c r="F46" s="729"/>
      <c r="G46" s="729"/>
      <c r="H46" s="729"/>
      <c r="I46" s="729"/>
      <c r="J46" s="729"/>
    </row>
    <row r="47" spans="1:10" ht="18.75" customHeight="1" x14ac:dyDescent="0.15">
      <c r="B47" s="729"/>
      <c r="C47" s="729"/>
      <c r="D47" s="729"/>
      <c r="E47" s="729"/>
      <c r="F47" s="729"/>
      <c r="G47" s="729"/>
      <c r="H47" s="729"/>
      <c r="I47" s="729"/>
      <c r="J47" s="729"/>
    </row>
    <row r="48" spans="1:10" ht="18.75" customHeight="1" x14ac:dyDescent="0.15">
      <c r="B48" s="729"/>
      <c r="C48" s="729"/>
      <c r="D48" s="729"/>
      <c r="E48" s="729"/>
      <c r="F48" s="729"/>
      <c r="G48" s="729"/>
      <c r="H48" s="729"/>
      <c r="I48" s="729"/>
      <c r="J48" s="729"/>
    </row>
    <row r="49" spans="2:9" ht="9" customHeight="1" x14ac:dyDescent="0.15"/>
    <row r="50" spans="2:9" ht="15.6" customHeight="1" x14ac:dyDescent="0.15">
      <c r="B50" s="20" t="s">
        <v>173</v>
      </c>
    </row>
    <row r="51" spans="2:9" ht="9" customHeight="1" x14ac:dyDescent="0.15"/>
    <row r="52" spans="2:9" ht="15.6" customHeight="1" x14ac:dyDescent="0.15">
      <c r="C52" s="758" t="s">
        <v>174</v>
      </c>
      <c r="D52" s="759"/>
      <c r="E52" s="759"/>
      <c r="F52" s="759"/>
      <c r="G52" s="759"/>
      <c r="H52" s="759"/>
      <c r="I52" s="770"/>
    </row>
  </sheetData>
  <mergeCells count="53">
    <mergeCell ref="B48:J48"/>
    <mergeCell ref="C52:I52"/>
    <mergeCell ref="C9:E9"/>
    <mergeCell ref="A40:B40"/>
    <mergeCell ref="B43:J43"/>
    <mergeCell ref="B44:J44"/>
    <mergeCell ref="B45:J45"/>
    <mergeCell ref="B46:J46"/>
    <mergeCell ref="B47:J47"/>
    <mergeCell ref="B33:J33"/>
    <mergeCell ref="B34:J34"/>
    <mergeCell ref="B35:J35"/>
    <mergeCell ref="B36:J36"/>
    <mergeCell ref="B37:J37"/>
    <mergeCell ref="B38:J38"/>
    <mergeCell ref="A25:B25"/>
    <mergeCell ref="C25:J25"/>
    <mergeCell ref="A26:B26"/>
    <mergeCell ref="C26:J26"/>
    <mergeCell ref="A27:B30"/>
    <mergeCell ref="D27:G27"/>
    <mergeCell ref="C28:J28"/>
    <mergeCell ref="D29:G29"/>
    <mergeCell ref="C30:J30"/>
    <mergeCell ref="A22:B22"/>
    <mergeCell ref="C22:J22"/>
    <mergeCell ref="A23:B23"/>
    <mergeCell ref="C23:J23"/>
    <mergeCell ref="A24:B24"/>
    <mergeCell ref="C24:J24"/>
    <mergeCell ref="A18:B18"/>
    <mergeCell ref="C18:J18"/>
    <mergeCell ref="A20:B20"/>
    <mergeCell ref="A10:B17"/>
    <mergeCell ref="E10:F10"/>
    <mergeCell ref="I10:J10"/>
    <mergeCell ref="C11:C17"/>
    <mergeCell ref="D11:E17"/>
    <mergeCell ref="H11:I11"/>
    <mergeCell ref="J11:J17"/>
    <mergeCell ref="H12:I12"/>
    <mergeCell ref="H13:I13"/>
    <mergeCell ref="H14:I14"/>
    <mergeCell ref="H15:I15"/>
    <mergeCell ref="H16:I16"/>
    <mergeCell ref="H17:I17"/>
    <mergeCell ref="A9:B9"/>
    <mergeCell ref="H9:J9"/>
    <mergeCell ref="C1:H1"/>
    <mergeCell ref="H3:J3"/>
    <mergeCell ref="C5:J5"/>
    <mergeCell ref="H6:J7"/>
    <mergeCell ref="A7:B7"/>
  </mergeCells>
  <phoneticPr fontId="2"/>
  <pageMargins left="0.7" right="0.7" top="0.75" bottom="0.75" header="0.3" footer="0.3"/>
  <pageSetup paperSize="9" scale="97"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C000"/>
  </sheetPr>
  <dimension ref="A1:J52"/>
  <sheetViews>
    <sheetView view="pageBreakPreview" zoomScaleSheetLayoutView="100" workbookViewId="0">
      <selection activeCell="C19" sqref="C19"/>
    </sheetView>
  </sheetViews>
  <sheetFormatPr defaultColWidth="2.375" defaultRowHeight="15.6" customHeight="1" x14ac:dyDescent="0.15"/>
  <cols>
    <col min="1" max="1" width="4.625" customWidth="1"/>
    <col min="2" max="2" width="15" customWidth="1"/>
    <col min="3" max="3" width="9.125" bestFit="1" customWidth="1"/>
    <col min="4" max="4" width="4" bestFit="1" customWidth="1"/>
    <col min="5" max="5" width="9.875" customWidth="1"/>
    <col min="6" max="6" width="10" customWidth="1"/>
    <col min="7" max="7" width="11.875" customWidth="1"/>
    <col min="8" max="8" width="4.125" bestFit="1" customWidth="1"/>
    <col min="9" max="9" width="5.875" customWidth="1"/>
    <col min="10" max="10" width="13.875" customWidth="1"/>
  </cols>
  <sheetData>
    <row r="1" spans="1:10" ht="18.75" x14ac:dyDescent="0.15">
      <c r="B1" s="3"/>
      <c r="C1" s="726" t="s">
        <v>140</v>
      </c>
      <c r="D1" s="727"/>
      <c r="E1" s="727"/>
      <c r="F1" s="727"/>
      <c r="G1" s="727"/>
      <c r="H1" s="728"/>
      <c r="I1" s="3"/>
      <c r="J1" s="3"/>
    </row>
    <row r="2" spans="1:10" ht="9" customHeight="1" x14ac:dyDescent="0.15"/>
    <row r="3" spans="1:10" ht="17.25" customHeight="1" x14ac:dyDescent="0.15">
      <c r="G3" s="4" t="s">
        <v>141</v>
      </c>
      <c r="H3" s="729" t="str">
        <f>IF(決勝公式記録!F7="","",決勝公式記録!F7)</f>
        <v/>
      </c>
      <c r="I3" s="729"/>
      <c r="J3" s="729"/>
    </row>
    <row r="4" spans="1:10" ht="9" customHeight="1" x14ac:dyDescent="0.15"/>
    <row r="5" spans="1:10" ht="22.5" customHeight="1" x14ac:dyDescent="0.15">
      <c r="B5" s="1" t="s">
        <v>142</v>
      </c>
      <c r="C5" s="730" t="str">
        <f ca="1">"令和"&amp;YEAR(NOW())-2018&amp;"年度 第"&amp;YEAR(NOW())-1962&amp;"回 石川県中学校サッカー大会 "</f>
        <v xml:space="preserve">令和7年度 第63回 石川県中学校サッカー大会 </v>
      </c>
      <c r="D5" s="730"/>
      <c r="E5" s="730"/>
      <c r="F5" s="730"/>
      <c r="G5" s="730"/>
      <c r="H5" s="730"/>
      <c r="I5" s="730"/>
      <c r="J5" s="730"/>
    </row>
    <row r="6" spans="1:10" ht="9" customHeight="1" x14ac:dyDescent="0.15">
      <c r="H6" s="731" t="s">
        <v>175</v>
      </c>
      <c r="I6" s="731"/>
      <c r="J6" s="731"/>
    </row>
    <row r="7" spans="1:10" ht="17.25" customHeight="1" x14ac:dyDescent="0.15">
      <c r="A7" s="733" t="s">
        <v>144</v>
      </c>
      <c r="B7" s="734"/>
      <c r="H7" s="732"/>
      <c r="I7" s="732"/>
      <c r="J7" s="732"/>
    </row>
    <row r="8" spans="1:10" ht="3.75" customHeight="1" thickBot="1" x14ac:dyDescent="0.2"/>
    <row r="9" spans="1:10" ht="17.25" customHeight="1" x14ac:dyDescent="0.15">
      <c r="A9" s="722" t="s">
        <v>145</v>
      </c>
      <c r="B9" s="723"/>
      <c r="C9" s="771">
        <f ca="1">'県体(12)'!A24</f>
        <v>45857</v>
      </c>
      <c r="D9" s="772"/>
      <c r="E9" s="772"/>
      <c r="F9" s="394" t="str">
        <f ca="1">'県体(12)'!A25</f>
        <v>(土)</v>
      </c>
      <c r="G9" s="5">
        <v>0.5625</v>
      </c>
      <c r="H9" s="724" t="s">
        <v>146</v>
      </c>
      <c r="I9" s="724"/>
      <c r="J9" s="725"/>
    </row>
    <row r="10" spans="1:10" ht="26.25" customHeight="1" x14ac:dyDescent="0.15">
      <c r="A10" s="740" t="s">
        <v>147</v>
      </c>
      <c r="B10" s="741"/>
      <c r="C10" s="6" t="s">
        <v>148</v>
      </c>
      <c r="D10" s="7" t="s">
        <v>149</v>
      </c>
      <c r="E10" s="744" t="str">
        <f>IF('県体(12)'!K14="","",VLOOKUP('県体(12)'!K14,県体学校名!$C$4:$I$15,7,FALSE))</f>
        <v/>
      </c>
      <c r="F10" s="744"/>
      <c r="G10" s="2" t="s">
        <v>150</v>
      </c>
      <c r="H10" s="8" t="s">
        <v>151</v>
      </c>
      <c r="I10" s="744" t="str">
        <f>IF('県体(12)'!AO14="","",VLOOKUP('県体(12)'!AO14,県体学校名!$C$4:$I$15,7,FALSE))</f>
        <v/>
      </c>
      <c r="J10" s="745"/>
    </row>
    <row r="11" spans="1:10" ht="17.25" customHeight="1" x14ac:dyDescent="0.15">
      <c r="A11" s="740"/>
      <c r="B11" s="741"/>
      <c r="C11" s="746" t="s">
        <v>152</v>
      </c>
      <c r="D11" s="746"/>
      <c r="E11" s="746"/>
      <c r="F11" s="9"/>
      <c r="G11" s="10" t="s">
        <v>153</v>
      </c>
      <c r="H11" s="748"/>
      <c r="I11" s="748"/>
      <c r="J11" s="749"/>
    </row>
    <row r="12" spans="1:10" ht="17.25" customHeight="1" x14ac:dyDescent="0.15">
      <c r="A12" s="740"/>
      <c r="B12" s="741"/>
      <c r="C12" s="746"/>
      <c r="D12" s="746"/>
      <c r="E12" s="746"/>
      <c r="F12" s="11"/>
      <c r="G12" s="12" t="s">
        <v>154</v>
      </c>
      <c r="H12" s="751"/>
      <c r="I12" s="751"/>
      <c r="J12" s="749"/>
    </row>
    <row r="13" spans="1:10" ht="17.25" customHeight="1" x14ac:dyDescent="0.15">
      <c r="A13" s="740"/>
      <c r="B13" s="741"/>
      <c r="C13" s="746"/>
      <c r="D13" s="746"/>
      <c r="E13" s="746"/>
      <c r="F13" s="9"/>
      <c r="G13" s="10" t="s">
        <v>155</v>
      </c>
      <c r="H13" s="748"/>
      <c r="I13" s="748"/>
      <c r="J13" s="749"/>
    </row>
    <row r="14" spans="1:10" ht="17.25" customHeight="1" x14ac:dyDescent="0.15">
      <c r="A14" s="740"/>
      <c r="B14" s="741"/>
      <c r="C14" s="746"/>
      <c r="D14" s="746"/>
      <c r="E14" s="746"/>
      <c r="F14" s="11"/>
      <c r="G14" s="12" t="s">
        <v>156</v>
      </c>
      <c r="H14" s="751"/>
      <c r="I14" s="751"/>
      <c r="J14" s="749"/>
    </row>
    <row r="15" spans="1:10" ht="17.25" customHeight="1" x14ac:dyDescent="0.15">
      <c r="A15" s="740"/>
      <c r="B15" s="741"/>
      <c r="C15" s="746"/>
      <c r="D15" s="746"/>
      <c r="E15" s="746"/>
      <c r="F15" s="9"/>
      <c r="G15" s="10" t="s">
        <v>176</v>
      </c>
      <c r="H15" s="748"/>
      <c r="I15" s="748"/>
      <c r="J15" s="749"/>
    </row>
    <row r="16" spans="1:10" ht="17.25" customHeight="1" x14ac:dyDescent="0.15">
      <c r="A16" s="740"/>
      <c r="B16" s="741"/>
      <c r="C16" s="746"/>
      <c r="D16" s="746"/>
      <c r="E16" s="746"/>
      <c r="F16" s="11"/>
      <c r="G16" s="12" t="s">
        <v>177</v>
      </c>
      <c r="H16" s="751"/>
      <c r="I16" s="751"/>
      <c r="J16" s="749"/>
    </row>
    <row r="17" spans="1:10" ht="17.25" customHeight="1" x14ac:dyDescent="0.15">
      <c r="A17" s="742"/>
      <c r="B17" s="743"/>
      <c r="C17" s="747"/>
      <c r="D17" s="747"/>
      <c r="E17" s="747"/>
      <c r="F17" s="14"/>
      <c r="G17" s="13" t="s">
        <v>157</v>
      </c>
      <c r="H17" s="747"/>
      <c r="I17" s="747"/>
      <c r="J17" s="750"/>
    </row>
    <row r="18" spans="1:10" ht="17.25" customHeight="1" thickBot="1" x14ac:dyDescent="0.2">
      <c r="A18" s="735" t="s">
        <v>158</v>
      </c>
      <c r="B18" s="736"/>
      <c r="C18" s="737" t="str">
        <f>VLOOKUP('県体(12)'!X21,'県体(12)'!$A$15:$B$19,2,FALSE)</f>
        <v>スカイパーク Aコート</v>
      </c>
      <c r="D18" s="738"/>
      <c r="E18" s="738"/>
      <c r="F18" s="738"/>
      <c r="G18" s="738"/>
      <c r="H18" s="738"/>
      <c r="I18" s="738"/>
      <c r="J18" s="739"/>
    </row>
    <row r="19" spans="1:10" ht="9" customHeight="1" x14ac:dyDescent="0.15"/>
    <row r="20" spans="1:10" ht="17.25" customHeight="1" x14ac:dyDescent="0.15">
      <c r="A20" s="733" t="s">
        <v>159</v>
      </c>
      <c r="B20" s="734"/>
    </row>
    <row r="21" spans="1:10" ht="3.75" customHeight="1" thickBot="1" x14ac:dyDescent="0.2"/>
    <row r="22" spans="1:10" ht="17.25" customHeight="1" x14ac:dyDescent="0.15">
      <c r="A22" s="752" t="s">
        <v>160</v>
      </c>
      <c r="B22" s="753"/>
      <c r="C22" s="754" t="s">
        <v>161</v>
      </c>
      <c r="D22" s="754"/>
      <c r="E22" s="754"/>
      <c r="F22" s="754"/>
      <c r="G22" s="754"/>
      <c r="H22" s="754"/>
      <c r="I22" s="754"/>
      <c r="J22" s="755"/>
    </row>
    <row r="23" spans="1:10" ht="17.25" customHeight="1" x14ac:dyDescent="0.15">
      <c r="A23" s="756" t="s">
        <v>162</v>
      </c>
      <c r="B23" s="757"/>
      <c r="C23" s="758" t="s">
        <v>161</v>
      </c>
      <c r="D23" s="759"/>
      <c r="E23" s="759"/>
      <c r="F23" s="759"/>
      <c r="G23" s="759"/>
      <c r="H23" s="759"/>
      <c r="I23" s="759"/>
      <c r="J23" s="760"/>
    </row>
    <row r="24" spans="1:10" ht="17.25" customHeight="1" x14ac:dyDescent="0.15">
      <c r="A24" s="756" t="s">
        <v>163</v>
      </c>
      <c r="B24" s="757"/>
      <c r="C24" s="758" t="s">
        <v>161</v>
      </c>
      <c r="D24" s="759"/>
      <c r="E24" s="759"/>
      <c r="F24" s="759"/>
      <c r="G24" s="759"/>
      <c r="H24" s="759"/>
      <c r="I24" s="759"/>
      <c r="J24" s="760"/>
    </row>
    <row r="25" spans="1:10" ht="17.25" customHeight="1" x14ac:dyDescent="0.15">
      <c r="A25" s="756" t="s">
        <v>164</v>
      </c>
      <c r="B25" s="757"/>
      <c r="C25" s="758" t="s">
        <v>161</v>
      </c>
      <c r="D25" s="759"/>
      <c r="E25" s="759"/>
      <c r="F25" s="759"/>
      <c r="G25" s="759"/>
      <c r="H25" s="759"/>
      <c r="I25" s="759"/>
      <c r="J25" s="760"/>
    </row>
    <row r="26" spans="1:10" ht="17.25" customHeight="1" x14ac:dyDescent="0.15">
      <c r="A26" s="756" t="s">
        <v>165</v>
      </c>
      <c r="B26" s="757"/>
      <c r="C26" s="758" t="s">
        <v>161</v>
      </c>
      <c r="D26" s="759"/>
      <c r="E26" s="759"/>
      <c r="F26" s="759"/>
      <c r="G26" s="759"/>
      <c r="H26" s="759"/>
      <c r="I26" s="759"/>
      <c r="J26" s="760"/>
    </row>
    <row r="27" spans="1:10" ht="17.25" customHeight="1" x14ac:dyDescent="0.15">
      <c r="A27" s="756" t="s">
        <v>166</v>
      </c>
      <c r="B27" s="757"/>
      <c r="C27" s="15" t="s">
        <v>167</v>
      </c>
      <c r="D27" s="763" t="str">
        <f>IF(E10="","",E10)</f>
        <v/>
      </c>
      <c r="E27" s="763"/>
      <c r="F27" s="763"/>
      <c r="G27" s="763"/>
      <c r="H27" s="16" t="s">
        <v>168</v>
      </c>
      <c r="I27" s="16"/>
      <c r="J27" s="17"/>
    </row>
    <row r="28" spans="1:10" ht="17.25" customHeight="1" x14ac:dyDescent="0.15">
      <c r="A28" s="756"/>
      <c r="B28" s="757"/>
      <c r="C28" s="764" t="s">
        <v>161</v>
      </c>
      <c r="D28" s="765"/>
      <c r="E28" s="765"/>
      <c r="F28" s="765"/>
      <c r="G28" s="765"/>
      <c r="H28" s="765"/>
      <c r="I28" s="765"/>
      <c r="J28" s="766"/>
    </row>
    <row r="29" spans="1:10" ht="17.25" customHeight="1" x14ac:dyDescent="0.15">
      <c r="A29" s="756"/>
      <c r="B29" s="757"/>
      <c r="C29" s="18" t="s">
        <v>169</v>
      </c>
      <c r="D29" s="765" t="str">
        <f>IF(I10="","",I10)</f>
        <v/>
      </c>
      <c r="E29" s="765"/>
      <c r="F29" s="765"/>
      <c r="G29" s="765"/>
      <c r="H29" t="s">
        <v>168</v>
      </c>
      <c r="J29" s="19"/>
    </row>
    <row r="30" spans="1:10" ht="17.25" customHeight="1" thickBot="1" x14ac:dyDescent="0.2">
      <c r="A30" s="761"/>
      <c r="B30" s="762"/>
      <c r="C30" s="767" t="s">
        <v>161</v>
      </c>
      <c r="D30" s="768"/>
      <c r="E30" s="768"/>
      <c r="F30" s="768"/>
      <c r="G30" s="768"/>
      <c r="H30" s="768"/>
      <c r="I30" s="768"/>
      <c r="J30" s="769"/>
    </row>
    <row r="31" spans="1:10" ht="9" customHeight="1" x14ac:dyDescent="0.15"/>
    <row r="32" spans="1:10" ht="17.25" customHeight="1" x14ac:dyDescent="0.15">
      <c r="A32" t="s">
        <v>170</v>
      </c>
    </row>
    <row r="33" spans="1:10" ht="18.75" customHeight="1" x14ac:dyDescent="0.15">
      <c r="B33" s="729"/>
      <c r="C33" s="729"/>
      <c r="D33" s="729"/>
      <c r="E33" s="729"/>
      <c r="F33" s="729"/>
      <c r="G33" s="729"/>
      <c r="H33" s="729"/>
      <c r="I33" s="729"/>
      <c r="J33" s="729"/>
    </row>
    <row r="34" spans="1:10" ht="18.75" customHeight="1" x14ac:dyDescent="0.15">
      <c r="B34" s="729"/>
      <c r="C34" s="729"/>
      <c r="D34" s="729"/>
      <c r="E34" s="729"/>
      <c r="F34" s="729"/>
      <c r="G34" s="729"/>
      <c r="H34" s="729"/>
      <c r="I34" s="729"/>
      <c r="J34" s="729"/>
    </row>
    <row r="35" spans="1:10" ht="18.75" customHeight="1" x14ac:dyDescent="0.15">
      <c r="B35" s="729"/>
      <c r="C35" s="729"/>
      <c r="D35" s="729"/>
      <c r="E35" s="729"/>
      <c r="F35" s="729"/>
      <c r="G35" s="729"/>
      <c r="H35" s="729"/>
      <c r="I35" s="729"/>
      <c r="J35" s="729"/>
    </row>
    <row r="36" spans="1:10" ht="18.75" customHeight="1" x14ac:dyDescent="0.15">
      <c r="B36" s="729"/>
      <c r="C36" s="729"/>
      <c r="D36" s="729"/>
      <c r="E36" s="729"/>
      <c r="F36" s="729"/>
      <c r="G36" s="729"/>
      <c r="H36" s="729"/>
      <c r="I36" s="729"/>
      <c r="J36" s="729"/>
    </row>
    <row r="37" spans="1:10" ht="18.75" customHeight="1" x14ac:dyDescent="0.15">
      <c r="B37" s="729"/>
      <c r="C37" s="729"/>
      <c r="D37" s="729"/>
      <c r="E37" s="729"/>
      <c r="F37" s="729"/>
      <c r="G37" s="729"/>
      <c r="H37" s="729"/>
      <c r="I37" s="729"/>
      <c r="J37" s="729"/>
    </row>
    <row r="38" spans="1:10" ht="18.75" customHeight="1" x14ac:dyDescent="0.15">
      <c r="B38" s="729"/>
      <c r="C38" s="729"/>
      <c r="D38" s="729"/>
      <c r="E38" s="729"/>
      <c r="F38" s="729"/>
      <c r="G38" s="729"/>
      <c r="H38" s="729"/>
      <c r="I38" s="729"/>
      <c r="J38" s="729"/>
    </row>
    <row r="39" spans="1:10" ht="9" customHeight="1" x14ac:dyDescent="0.15"/>
    <row r="40" spans="1:10" ht="17.25" customHeight="1" x14ac:dyDescent="0.15">
      <c r="A40" s="733" t="s">
        <v>171</v>
      </c>
      <c r="B40" s="734"/>
    </row>
    <row r="41" spans="1:10" ht="3.75" customHeight="1" x14ac:dyDescent="0.15"/>
    <row r="42" spans="1:10" ht="17.25" customHeight="1" x14ac:dyDescent="0.15">
      <c r="A42" t="s">
        <v>172</v>
      </c>
    </row>
    <row r="43" spans="1:10" ht="18.75" customHeight="1" x14ac:dyDescent="0.15">
      <c r="B43" s="729"/>
      <c r="C43" s="729"/>
      <c r="D43" s="729"/>
      <c r="E43" s="729"/>
      <c r="F43" s="729"/>
      <c r="G43" s="729"/>
      <c r="H43" s="729"/>
      <c r="I43" s="729"/>
      <c r="J43" s="729"/>
    </row>
    <row r="44" spans="1:10" ht="18.75" customHeight="1" x14ac:dyDescent="0.15">
      <c r="B44" s="729"/>
      <c r="C44" s="729"/>
      <c r="D44" s="729"/>
      <c r="E44" s="729"/>
      <c r="F44" s="729"/>
      <c r="G44" s="729"/>
      <c r="H44" s="729"/>
      <c r="I44" s="729"/>
      <c r="J44" s="729"/>
    </row>
    <row r="45" spans="1:10" ht="18.75" customHeight="1" x14ac:dyDescent="0.15">
      <c r="B45" s="729"/>
      <c r="C45" s="729"/>
      <c r="D45" s="729"/>
      <c r="E45" s="729"/>
      <c r="F45" s="729"/>
      <c r="G45" s="729"/>
      <c r="H45" s="729"/>
      <c r="I45" s="729"/>
      <c r="J45" s="729"/>
    </row>
    <row r="46" spans="1:10" ht="18.75" customHeight="1" x14ac:dyDescent="0.15">
      <c r="B46" s="729"/>
      <c r="C46" s="729"/>
      <c r="D46" s="729"/>
      <c r="E46" s="729"/>
      <c r="F46" s="729"/>
      <c r="G46" s="729"/>
      <c r="H46" s="729"/>
      <c r="I46" s="729"/>
      <c r="J46" s="729"/>
    </row>
    <row r="47" spans="1:10" ht="18.75" customHeight="1" x14ac:dyDescent="0.15">
      <c r="B47" s="729"/>
      <c r="C47" s="729"/>
      <c r="D47" s="729"/>
      <c r="E47" s="729"/>
      <c r="F47" s="729"/>
      <c r="G47" s="729"/>
      <c r="H47" s="729"/>
      <c r="I47" s="729"/>
      <c r="J47" s="729"/>
    </row>
    <row r="48" spans="1:10" ht="18.75" customHeight="1" x14ac:dyDescent="0.15">
      <c r="B48" s="729"/>
      <c r="C48" s="729"/>
      <c r="D48" s="729"/>
      <c r="E48" s="729"/>
      <c r="F48" s="729"/>
      <c r="G48" s="729"/>
      <c r="H48" s="729"/>
      <c r="I48" s="729"/>
      <c r="J48" s="729"/>
    </row>
    <row r="49" spans="2:9" ht="9" customHeight="1" x14ac:dyDescent="0.15"/>
    <row r="50" spans="2:9" ht="15.6" customHeight="1" x14ac:dyDescent="0.15">
      <c r="B50" s="20" t="s">
        <v>173</v>
      </c>
    </row>
    <row r="51" spans="2:9" ht="9" customHeight="1" x14ac:dyDescent="0.15"/>
    <row r="52" spans="2:9" ht="15.6" customHeight="1" x14ac:dyDescent="0.15">
      <c r="C52" s="758" t="s">
        <v>174</v>
      </c>
      <c r="D52" s="759"/>
      <c r="E52" s="759"/>
      <c r="F52" s="759"/>
      <c r="G52" s="759"/>
      <c r="H52" s="759"/>
      <c r="I52" s="770"/>
    </row>
  </sheetData>
  <mergeCells count="53">
    <mergeCell ref="B48:J48"/>
    <mergeCell ref="C52:I52"/>
    <mergeCell ref="C9:E9"/>
    <mergeCell ref="A40:B40"/>
    <mergeCell ref="B43:J43"/>
    <mergeCell ref="B44:J44"/>
    <mergeCell ref="B45:J45"/>
    <mergeCell ref="B46:J46"/>
    <mergeCell ref="B47:J47"/>
    <mergeCell ref="B33:J33"/>
    <mergeCell ref="B34:J34"/>
    <mergeCell ref="B35:J35"/>
    <mergeCell ref="B36:J36"/>
    <mergeCell ref="B37:J37"/>
    <mergeCell ref="B38:J38"/>
    <mergeCell ref="A25:B25"/>
    <mergeCell ref="C25:J25"/>
    <mergeCell ref="A26:B26"/>
    <mergeCell ref="C26:J26"/>
    <mergeCell ref="A27:B30"/>
    <mergeCell ref="D27:G27"/>
    <mergeCell ref="C28:J28"/>
    <mergeCell ref="D29:G29"/>
    <mergeCell ref="C30:J30"/>
    <mergeCell ref="A22:B22"/>
    <mergeCell ref="C22:J22"/>
    <mergeCell ref="A23:B23"/>
    <mergeCell ref="C23:J23"/>
    <mergeCell ref="A24:B24"/>
    <mergeCell ref="C24:J24"/>
    <mergeCell ref="A18:B18"/>
    <mergeCell ref="C18:J18"/>
    <mergeCell ref="A20:B20"/>
    <mergeCell ref="A10:B17"/>
    <mergeCell ref="E10:F10"/>
    <mergeCell ref="I10:J10"/>
    <mergeCell ref="C11:C17"/>
    <mergeCell ref="D11:E17"/>
    <mergeCell ref="H11:I11"/>
    <mergeCell ref="J11:J17"/>
    <mergeCell ref="H12:I12"/>
    <mergeCell ref="H13:I13"/>
    <mergeCell ref="H14:I14"/>
    <mergeCell ref="H15:I15"/>
    <mergeCell ref="H16:I16"/>
    <mergeCell ref="H17:I17"/>
    <mergeCell ref="A9:B9"/>
    <mergeCell ref="H9:J9"/>
    <mergeCell ref="C1:H1"/>
    <mergeCell ref="H3:J3"/>
    <mergeCell ref="C5:J5"/>
    <mergeCell ref="H6:J7"/>
    <mergeCell ref="A7:B7"/>
  </mergeCells>
  <phoneticPr fontId="2"/>
  <pageMargins left="0.7" right="0.7" top="0.75" bottom="0.75" header="0.3" footer="0.3"/>
  <pageSetup paperSize="9" scale="9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C000"/>
  </sheetPr>
  <dimension ref="A1:J52"/>
  <sheetViews>
    <sheetView view="pageBreakPreview" topLeftCell="A24" zoomScaleSheetLayoutView="100" workbookViewId="0">
      <selection activeCell="C19" sqref="C19"/>
    </sheetView>
  </sheetViews>
  <sheetFormatPr defaultColWidth="2.375" defaultRowHeight="15.6" customHeight="1" x14ac:dyDescent="0.15"/>
  <cols>
    <col min="1" max="1" width="4.625" customWidth="1"/>
    <col min="2" max="2" width="15" customWidth="1"/>
    <col min="3" max="3" width="9.125" bestFit="1" customWidth="1"/>
    <col min="4" max="4" width="4" bestFit="1" customWidth="1"/>
    <col min="5" max="5" width="9.875" customWidth="1"/>
    <col min="6" max="6" width="10" customWidth="1"/>
    <col min="7" max="7" width="11.875" customWidth="1"/>
    <col min="8" max="8" width="4.125" bestFit="1" customWidth="1"/>
    <col min="9" max="9" width="5.875" customWidth="1"/>
    <col min="10" max="10" width="13.875" customWidth="1"/>
  </cols>
  <sheetData>
    <row r="1" spans="1:10" ht="18.75" x14ac:dyDescent="0.15">
      <c r="B1" s="3"/>
      <c r="C1" s="726" t="s">
        <v>140</v>
      </c>
      <c r="D1" s="727"/>
      <c r="E1" s="727"/>
      <c r="F1" s="727"/>
      <c r="G1" s="727"/>
      <c r="H1" s="728"/>
      <c r="I1" s="3"/>
      <c r="J1" s="3"/>
    </row>
    <row r="2" spans="1:10" ht="9" customHeight="1" x14ac:dyDescent="0.15"/>
    <row r="3" spans="1:10" ht="17.25" customHeight="1" x14ac:dyDescent="0.15">
      <c r="G3" s="4" t="s">
        <v>141</v>
      </c>
      <c r="H3" s="729" t="str">
        <f>IF(第3公式記録!F7="","",第3公式記録!F7)</f>
        <v/>
      </c>
      <c r="I3" s="729"/>
      <c r="J3" s="729"/>
    </row>
    <row r="4" spans="1:10" ht="9" customHeight="1" x14ac:dyDescent="0.15"/>
    <row r="5" spans="1:10" ht="22.5" customHeight="1" x14ac:dyDescent="0.15">
      <c r="B5" s="1" t="s">
        <v>142</v>
      </c>
      <c r="C5" s="730" t="str">
        <f ca="1">"令和"&amp;YEAR(NOW())-2018&amp;"年度 第"&amp;YEAR(NOW())-1962&amp;"回 石川県中学校サッカー大会 "</f>
        <v xml:space="preserve">令和7年度 第63回 石川県中学校サッカー大会 </v>
      </c>
      <c r="D5" s="730"/>
      <c r="E5" s="730"/>
      <c r="F5" s="730"/>
      <c r="G5" s="730"/>
      <c r="H5" s="730"/>
      <c r="I5" s="730"/>
      <c r="J5" s="730"/>
    </row>
    <row r="6" spans="1:10" ht="9" customHeight="1" x14ac:dyDescent="0.15">
      <c r="H6" s="731" t="s">
        <v>178</v>
      </c>
      <c r="I6" s="731"/>
      <c r="J6" s="731"/>
    </row>
    <row r="7" spans="1:10" ht="17.25" customHeight="1" x14ac:dyDescent="0.15">
      <c r="A7" s="733" t="s">
        <v>144</v>
      </c>
      <c r="B7" s="734"/>
      <c r="H7" s="732"/>
      <c r="I7" s="732"/>
      <c r="J7" s="732"/>
    </row>
    <row r="8" spans="1:10" ht="3.75" customHeight="1" thickBot="1" x14ac:dyDescent="0.2"/>
    <row r="9" spans="1:10" ht="17.25" customHeight="1" x14ac:dyDescent="0.15">
      <c r="A9" s="722" t="s">
        <v>145</v>
      </c>
      <c r="B9" s="723"/>
      <c r="C9" s="771">
        <f ca="1">'県体(12)'!A24</f>
        <v>45857</v>
      </c>
      <c r="D9" s="772"/>
      <c r="E9" s="772"/>
      <c r="F9" s="394" t="str">
        <f ca="1">'県体(12)'!A25</f>
        <v>(土)</v>
      </c>
      <c r="G9" s="5">
        <v>0.5625</v>
      </c>
      <c r="H9" s="724" t="s">
        <v>146</v>
      </c>
      <c r="I9" s="724"/>
      <c r="J9" s="725"/>
    </row>
    <row r="10" spans="1:10" ht="26.25" customHeight="1" x14ac:dyDescent="0.15">
      <c r="A10" s="740" t="s">
        <v>147</v>
      </c>
      <c r="B10" s="741"/>
      <c r="C10" s="6" t="s">
        <v>148</v>
      </c>
      <c r="D10" s="7" t="s">
        <v>149</v>
      </c>
      <c r="E10" s="744" t="str">
        <f>IF('県体(12)'!BC24="","",VLOOKUP('県体(12)'!BC24,県体学校名!$C$4:$I$15,7,FALSE))</f>
        <v/>
      </c>
      <c r="F10" s="744"/>
      <c r="G10" s="2" t="s">
        <v>150</v>
      </c>
      <c r="H10" s="8" t="s">
        <v>151</v>
      </c>
      <c r="I10" s="744" t="str">
        <f>IF('県体(12)'!BI24="","",VLOOKUP('県体(12)'!BI24,県体学校名!$C$4:$I$15,7,FALSE))</f>
        <v/>
      </c>
      <c r="J10" s="745"/>
    </row>
    <row r="11" spans="1:10" ht="17.25" customHeight="1" x14ac:dyDescent="0.15">
      <c r="A11" s="740"/>
      <c r="B11" s="741"/>
      <c r="C11" s="746" t="s">
        <v>152</v>
      </c>
      <c r="D11" s="746"/>
      <c r="E11" s="746"/>
      <c r="F11" s="9"/>
      <c r="G11" s="10" t="s">
        <v>153</v>
      </c>
      <c r="H11" s="748"/>
      <c r="I11" s="748"/>
      <c r="J11" s="749"/>
    </row>
    <row r="12" spans="1:10" ht="17.25" customHeight="1" x14ac:dyDescent="0.15">
      <c r="A12" s="740"/>
      <c r="B12" s="741"/>
      <c r="C12" s="746"/>
      <c r="D12" s="746"/>
      <c r="E12" s="746"/>
      <c r="F12" s="11"/>
      <c r="G12" s="12" t="s">
        <v>154</v>
      </c>
      <c r="H12" s="751"/>
      <c r="I12" s="751"/>
      <c r="J12" s="749"/>
    </row>
    <row r="13" spans="1:10" ht="17.25" customHeight="1" x14ac:dyDescent="0.15">
      <c r="A13" s="740"/>
      <c r="B13" s="741"/>
      <c r="C13" s="746"/>
      <c r="D13" s="746"/>
      <c r="E13" s="746"/>
      <c r="F13" s="9"/>
      <c r="G13" s="10" t="s">
        <v>155</v>
      </c>
      <c r="H13" s="748"/>
      <c r="I13" s="748"/>
      <c r="J13" s="749"/>
    </row>
    <row r="14" spans="1:10" ht="17.25" customHeight="1" x14ac:dyDescent="0.15">
      <c r="A14" s="740"/>
      <c r="B14" s="741"/>
      <c r="C14" s="746"/>
      <c r="D14" s="746"/>
      <c r="E14" s="746"/>
      <c r="F14" s="11"/>
      <c r="G14" s="12" t="s">
        <v>156</v>
      </c>
      <c r="H14" s="751"/>
      <c r="I14" s="751"/>
      <c r="J14" s="749"/>
    </row>
    <row r="15" spans="1:10" ht="17.25" customHeight="1" x14ac:dyDescent="0.15">
      <c r="A15" s="740"/>
      <c r="B15" s="741"/>
      <c r="C15" s="746"/>
      <c r="D15" s="746"/>
      <c r="E15" s="746"/>
      <c r="F15" s="9"/>
      <c r="G15" s="10" t="s">
        <v>176</v>
      </c>
      <c r="H15" s="748"/>
      <c r="I15" s="748"/>
      <c r="J15" s="749"/>
    </row>
    <row r="16" spans="1:10" ht="17.25" customHeight="1" x14ac:dyDescent="0.15">
      <c r="A16" s="740"/>
      <c r="B16" s="741"/>
      <c r="C16" s="746"/>
      <c r="D16" s="746"/>
      <c r="E16" s="746"/>
      <c r="F16" s="11"/>
      <c r="G16" s="12" t="s">
        <v>177</v>
      </c>
      <c r="H16" s="751"/>
      <c r="I16" s="751"/>
      <c r="J16" s="749"/>
    </row>
    <row r="17" spans="1:10" ht="17.25" customHeight="1" x14ac:dyDescent="0.15">
      <c r="A17" s="742"/>
      <c r="B17" s="743"/>
      <c r="C17" s="747"/>
      <c r="D17" s="747"/>
      <c r="E17" s="747"/>
      <c r="F17" s="14"/>
      <c r="G17" s="13" t="s">
        <v>157</v>
      </c>
      <c r="H17" s="747"/>
      <c r="I17" s="747"/>
      <c r="J17" s="750"/>
    </row>
    <row r="18" spans="1:10" ht="17.25" customHeight="1" thickBot="1" x14ac:dyDescent="0.2">
      <c r="A18" s="735" t="s">
        <v>158</v>
      </c>
      <c r="B18" s="736"/>
      <c r="C18" s="737" t="str">
        <f>VLOOKUP('県体(12)'!BF21,'県体(12)'!$A$15:$B$19,2,FALSE)</f>
        <v>スカイパーク Bコート</v>
      </c>
      <c r="D18" s="738"/>
      <c r="E18" s="738"/>
      <c r="F18" s="738"/>
      <c r="G18" s="738"/>
      <c r="H18" s="738"/>
      <c r="I18" s="738"/>
      <c r="J18" s="739"/>
    </row>
    <row r="19" spans="1:10" ht="9" customHeight="1" x14ac:dyDescent="0.15"/>
    <row r="20" spans="1:10" ht="17.25" customHeight="1" x14ac:dyDescent="0.15">
      <c r="A20" s="733" t="s">
        <v>159</v>
      </c>
      <c r="B20" s="734"/>
    </row>
    <row r="21" spans="1:10" ht="3.75" customHeight="1" thickBot="1" x14ac:dyDescent="0.2"/>
    <row r="22" spans="1:10" ht="17.25" customHeight="1" x14ac:dyDescent="0.15">
      <c r="A22" s="752" t="s">
        <v>160</v>
      </c>
      <c r="B22" s="753"/>
      <c r="C22" s="754" t="s">
        <v>161</v>
      </c>
      <c r="D22" s="754"/>
      <c r="E22" s="754"/>
      <c r="F22" s="754"/>
      <c r="G22" s="754"/>
      <c r="H22" s="754"/>
      <c r="I22" s="754"/>
      <c r="J22" s="755"/>
    </row>
    <row r="23" spans="1:10" ht="17.25" customHeight="1" x14ac:dyDescent="0.15">
      <c r="A23" s="756" t="s">
        <v>162</v>
      </c>
      <c r="B23" s="757"/>
      <c r="C23" s="758" t="s">
        <v>161</v>
      </c>
      <c r="D23" s="759"/>
      <c r="E23" s="759"/>
      <c r="F23" s="759"/>
      <c r="G23" s="759"/>
      <c r="H23" s="759"/>
      <c r="I23" s="759"/>
      <c r="J23" s="760"/>
    </row>
    <row r="24" spans="1:10" ht="17.25" customHeight="1" x14ac:dyDescent="0.15">
      <c r="A24" s="756" t="s">
        <v>163</v>
      </c>
      <c r="B24" s="757"/>
      <c r="C24" s="758" t="s">
        <v>161</v>
      </c>
      <c r="D24" s="759"/>
      <c r="E24" s="759"/>
      <c r="F24" s="759"/>
      <c r="G24" s="759"/>
      <c r="H24" s="759"/>
      <c r="I24" s="759"/>
      <c r="J24" s="760"/>
    </row>
    <row r="25" spans="1:10" ht="17.25" customHeight="1" x14ac:dyDescent="0.15">
      <c r="A25" s="756" t="s">
        <v>164</v>
      </c>
      <c r="B25" s="757"/>
      <c r="C25" s="758" t="s">
        <v>161</v>
      </c>
      <c r="D25" s="759"/>
      <c r="E25" s="759"/>
      <c r="F25" s="759"/>
      <c r="G25" s="759"/>
      <c r="H25" s="759"/>
      <c r="I25" s="759"/>
      <c r="J25" s="760"/>
    </row>
    <row r="26" spans="1:10" ht="17.25" customHeight="1" x14ac:dyDescent="0.15">
      <c r="A26" s="756" t="s">
        <v>165</v>
      </c>
      <c r="B26" s="757"/>
      <c r="C26" s="758" t="s">
        <v>161</v>
      </c>
      <c r="D26" s="759"/>
      <c r="E26" s="759"/>
      <c r="F26" s="759"/>
      <c r="G26" s="759"/>
      <c r="H26" s="759"/>
      <c r="I26" s="759"/>
      <c r="J26" s="760"/>
    </row>
    <row r="27" spans="1:10" ht="17.25" customHeight="1" x14ac:dyDescent="0.15">
      <c r="A27" s="756" t="s">
        <v>166</v>
      </c>
      <c r="B27" s="757"/>
      <c r="C27" s="15" t="s">
        <v>167</v>
      </c>
      <c r="D27" s="763" t="str">
        <f>IF(E10="","",E10)</f>
        <v/>
      </c>
      <c r="E27" s="763"/>
      <c r="F27" s="763"/>
      <c r="G27" s="763"/>
      <c r="H27" s="16" t="s">
        <v>168</v>
      </c>
      <c r="I27" s="16"/>
      <c r="J27" s="17"/>
    </row>
    <row r="28" spans="1:10" ht="17.25" customHeight="1" x14ac:dyDescent="0.15">
      <c r="A28" s="756"/>
      <c r="B28" s="757"/>
      <c r="C28" s="764" t="s">
        <v>161</v>
      </c>
      <c r="D28" s="765"/>
      <c r="E28" s="765"/>
      <c r="F28" s="765"/>
      <c r="G28" s="765"/>
      <c r="H28" s="765"/>
      <c r="I28" s="765"/>
      <c r="J28" s="766"/>
    </row>
    <row r="29" spans="1:10" ht="17.25" customHeight="1" x14ac:dyDescent="0.15">
      <c r="A29" s="756"/>
      <c r="B29" s="757"/>
      <c r="C29" s="18" t="s">
        <v>169</v>
      </c>
      <c r="D29" s="765" t="str">
        <f>IF(I10="","",I10)</f>
        <v/>
      </c>
      <c r="E29" s="765"/>
      <c r="F29" s="765"/>
      <c r="G29" s="765"/>
      <c r="H29" t="s">
        <v>168</v>
      </c>
      <c r="J29" s="19"/>
    </row>
    <row r="30" spans="1:10" ht="17.25" customHeight="1" thickBot="1" x14ac:dyDescent="0.2">
      <c r="A30" s="761"/>
      <c r="B30" s="762"/>
      <c r="C30" s="767" t="s">
        <v>161</v>
      </c>
      <c r="D30" s="768"/>
      <c r="E30" s="768"/>
      <c r="F30" s="768"/>
      <c r="G30" s="768"/>
      <c r="H30" s="768"/>
      <c r="I30" s="768"/>
      <c r="J30" s="769"/>
    </row>
    <row r="31" spans="1:10" ht="9" customHeight="1" x14ac:dyDescent="0.15"/>
    <row r="32" spans="1:10" ht="17.25" customHeight="1" x14ac:dyDescent="0.15">
      <c r="A32" t="s">
        <v>170</v>
      </c>
    </row>
    <row r="33" spans="1:10" ht="18.75" customHeight="1" x14ac:dyDescent="0.15">
      <c r="B33" s="729"/>
      <c r="C33" s="729"/>
      <c r="D33" s="729"/>
      <c r="E33" s="729"/>
      <c r="F33" s="729"/>
      <c r="G33" s="729"/>
      <c r="H33" s="729"/>
      <c r="I33" s="729"/>
      <c r="J33" s="729"/>
    </row>
    <row r="34" spans="1:10" ht="18.75" customHeight="1" x14ac:dyDescent="0.15">
      <c r="B34" s="729"/>
      <c r="C34" s="729"/>
      <c r="D34" s="729"/>
      <c r="E34" s="729"/>
      <c r="F34" s="729"/>
      <c r="G34" s="729"/>
      <c r="H34" s="729"/>
      <c r="I34" s="729"/>
      <c r="J34" s="729"/>
    </row>
    <row r="35" spans="1:10" ht="18.75" customHeight="1" x14ac:dyDescent="0.15">
      <c r="B35" s="729"/>
      <c r="C35" s="729"/>
      <c r="D35" s="729"/>
      <c r="E35" s="729"/>
      <c r="F35" s="729"/>
      <c r="G35" s="729"/>
      <c r="H35" s="729"/>
      <c r="I35" s="729"/>
      <c r="J35" s="729"/>
    </row>
    <row r="36" spans="1:10" ht="18.75" customHeight="1" x14ac:dyDescent="0.15">
      <c r="B36" s="729"/>
      <c r="C36" s="729"/>
      <c r="D36" s="729"/>
      <c r="E36" s="729"/>
      <c r="F36" s="729"/>
      <c r="G36" s="729"/>
      <c r="H36" s="729"/>
      <c r="I36" s="729"/>
      <c r="J36" s="729"/>
    </row>
    <row r="37" spans="1:10" ht="18.75" customHeight="1" x14ac:dyDescent="0.15">
      <c r="B37" s="729"/>
      <c r="C37" s="729"/>
      <c r="D37" s="729"/>
      <c r="E37" s="729"/>
      <c r="F37" s="729"/>
      <c r="G37" s="729"/>
      <c r="H37" s="729"/>
      <c r="I37" s="729"/>
      <c r="J37" s="729"/>
    </row>
    <row r="38" spans="1:10" ht="18.75" customHeight="1" x14ac:dyDescent="0.15">
      <c r="B38" s="729"/>
      <c r="C38" s="729"/>
      <c r="D38" s="729"/>
      <c r="E38" s="729"/>
      <c r="F38" s="729"/>
      <c r="G38" s="729"/>
      <c r="H38" s="729"/>
      <c r="I38" s="729"/>
      <c r="J38" s="729"/>
    </row>
    <row r="39" spans="1:10" ht="9" customHeight="1" x14ac:dyDescent="0.15"/>
    <row r="40" spans="1:10" ht="17.25" customHeight="1" x14ac:dyDescent="0.15">
      <c r="A40" s="733" t="s">
        <v>171</v>
      </c>
      <c r="B40" s="734"/>
    </row>
    <row r="41" spans="1:10" ht="3.75" customHeight="1" x14ac:dyDescent="0.15"/>
    <row r="42" spans="1:10" ht="17.25" customHeight="1" x14ac:dyDescent="0.15">
      <c r="A42" t="s">
        <v>172</v>
      </c>
    </row>
    <row r="43" spans="1:10" ht="18.75" customHeight="1" x14ac:dyDescent="0.15">
      <c r="B43" s="729"/>
      <c r="C43" s="729"/>
      <c r="D43" s="729"/>
      <c r="E43" s="729"/>
      <c r="F43" s="729"/>
      <c r="G43" s="729"/>
      <c r="H43" s="729"/>
      <c r="I43" s="729"/>
      <c r="J43" s="729"/>
    </row>
    <row r="44" spans="1:10" ht="18.75" customHeight="1" x14ac:dyDescent="0.15">
      <c r="B44" s="729"/>
      <c r="C44" s="729"/>
      <c r="D44" s="729"/>
      <c r="E44" s="729"/>
      <c r="F44" s="729"/>
      <c r="G44" s="729"/>
      <c r="H44" s="729"/>
      <c r="I44" s="729"/>
      <c r="J44" s="729"/>
    </row>
    <row r="45" spans="1:10" ht="18.75" customHeight="1" x14ac:dyDescent="0.15">
      <c r="B45" s="729"/>
      <c r="C45" s="729"/>
      <c r="D45" s="729"/>
      <c r="E45" s="729"/>
      <c r="F45" s="729"/>
      <c r="G45" s="729"/>
      <c r="H45" s="729"/>
      <c r="I45" s="729"/>
      <c r="J45" s="729"/>
    </row>
    <row r="46" spans="1:10" ht="18.75" customHeight="1" x14ac:dyDescent="0.15">
      <c r="B46" s="729"/>
      <c r="C46" s="729"/>
      <c r="D46" s="729"/>
      <c r="E46" s="729"/>
      <c r="F46" s="729"/>
      <c r="G46" s="729"/>
      <c r="H46" s="729"/>
      <c r="I46" s="729"/>
      <c r="J46" s="729"/>
    </row>
    <row r="47" spans="1:10" ht="18.75" customHeight="1" x14ac:dyDescent="0.15">
      <c r="B47" s="729"/>
      <c r="C47" s="729"/>
      <c r="D47" s="729"/>
      <c r="E47" s="729"/>
      <c r="F47" s="729"/>
      <c r="G47" s="729"/>
      <c r="H47" s="729"/>
      <c r="I47" s="729"/>
      <c r="J47" s="729"/>
    </row>
    <row r="48" spans="1:10" ht="18.75" customHeight="1" x14ac:dyDescent="0.15">
      <c r="B48" s="729"/>
      <c r="C48" s="729"/>
      <c r="D48" s="729"/>
      <c r="E48" s="729"/>
      <c r="F48" s="729"/>
      <c r="G48" s="729"/>
      <c r="H48" s="729"/>
      <c r="I48" s="729"/>
      <c r="J48" s="729"/>
    </row>
    <row r="49" spans="2:9" ht="9" customHeight="1" x14ac:dyDescent="0.15"/>
    <row r="50" spans="2:9" ht="15.6" customHeight="1" x14ac:dyDescent="0.15">
      <c r="B50" s="20" t="s">
        <v>173</v>
      </c>
    </row>
    <row r="51" spans="2:9" ht="9" customHeight="1" x14ac:dyDescent="0.15"/>
    <row r="52" spans="2:9" ht="15.6" customHeight="1" x14ac:dyDescent="0.15">
      <c r="C52" s="758" t="s">
        <v>174</v>
      </c>
      <c r="D52" s="759"/>
      <c r="E52" s="759"/>
      <c r="F52" s="759"/>
      <c r="G52" s="759"/>
      <c r="H52" s="759"/>
      <c r="I52" s="770"/>
    </row>
  </sheetData>
  <mergeCells count="53">
    <mergeCell ref="A9:B9"/>
    <mergeCell ref="C9:E9"/>
    <mergeCell ref="H9:J9"/>
    <mergeCell ref="C1:H1"/>
    <mergeCell ref="H3:J3"/>
    <mergeCell ref="C5:J5"/>
    <mergeCell ref="H6:J7"/>
    <mergeCell ref="A7:B7"/>
    <mergeCell ref="A20:B20"/>
    <mergeCell ref="A10:B17"/>
    <mergeCell ref="E10:F10"/>
    <mergeCell ref="I10:J10"/>
    <mergeCell ref="C11:C17"/>
    <mergeCell ref="D11:E17"/>
    <mergeCell ref="H11:I11"/>
    <mergeCell ref="J11:J17"/>
    <mergeCell ref="H12:I12"/>
    <mergeCell ref="H13:I13"/>
    <mergeCell ref="H14:I14"/>
    <mergeCell ref="H15:I15"/>
    <mergeCell ref="H16:I16"/>
    <mergeCell ref="H17:I17"/>
    <mergeCell ref="A18:B18"/>
    <mergeCell ref="C18:J18"/>
    <mergeCell ref="A22:B22"/>
    <mergeCell ref="C22:J22"/>
    <mergeCell ref="A23:B23"/>
    <mergeCell ref="C23:J23"/>
    <mergeCell ref="A24:B24"/>
    <mergeCell ref="C24:J24"/>
    <mergeCell ref="B38:J38"/>
    <mergeCell ref="A25:B25"/>
    <mergeCell ref="C25:J25"/>
    <mergeCell ref="A26:B26"/>
    <mergeCell ref="C26:J26"/>
    <mergeCell ref="A27:B30"/>
    <mergeCell ref="D27:G27"/>
    <mergeCell ref="C28:J28"/>
    <mergeCell ref="D29:G29"/>
    <mergeCell ref="C30:J30"/>
    <mergeCell ref="B33:J33"/>
    <mergeCell ref="B34:J34"/>
    <mergeCell ref="B35:J35"/>
    <mergeCell ref="B36:J36"/>
    <mergeCell ref="B37:J37"/>
    <mergeCell ref="B48:J48"/>
    <mergeCell ref="C52:I52"/>
    <mergeCell ref="A40:B40"/>
    <mergeCell ref="B43:J43"/>
    <mergeCell ref="B44:J44"/>
    <mergeCell ref="B45:J45"/>
    <mergeCell ref="B46:J46"/>
    <mergeCell ref="B47:J47"/>
  </mergeCells>
  <phoneticPr fontId="2"/>
  <pageMargins left="0.7" right="0.7" top="0.75" bottom="0.75" header="0.3" footer="0.3"/>
  <pageSetup paperSize="9" scale="9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5"/>
    <pageSetUpPr fitToPage="1"/>
  </sheetPr>
  <dimension ref="A1:BN82"/>
  <sheetViews>
    <sheetView zoomScale="115" zoomScaleNormal="115" workbookViewId="0">
      <selection activeCell="BC35" sqref="BC35"/>
    </sheetView>
  </sheetViews>
  <sheetFormatPr defaultColWidth="9" defaultRowHeight="14.25" x14ac:dyDescent="0.2"/>
  <cols>
    <col min="1" max="10" width="3" style="219" customWidth="1"/>
    <col min="11" max="11" width="2.375" style="219" customWidth="1"/>
    <col min="12" max="13" width="0.625" style="219" customWidth="1"/>
    <col min="14" max="14" width="2.375" style="219" customWidth="1"/>
    <col min="15" max="34" width="3" style="219" customWidth="1"/>
    <col min="35" max="35" width="2.875" style="219" customWidth="1"/>
    <col min="36" max="41" width="2.625" style="219" customWidth="1"/>
    <col min="42" max="43" width="5.375" style="219" hidden="1" customWidth="1"/>
    <col min="44" max="44" width="7.375" style="219" hidden="1" customWidth="1"/>
    <col min="45" max="45" width="13.375" style="219" hidden="1" customWidth="1"/>
    <col min="46" max="47" width="5.375" style="219" hidden="1" customWidth="1"/>
    <col min="48" max="48" width="5.625" style="219" hidden="1" customWidth="1"/>
    <col min="49" max="49" width="13.125" style="219" hidden="1" customWidth="1"/>
    <col min="50" max="50" width="9" style="219"/>
    <col min="51" max="51" width="12.375" style="58" customWidth="1"/>
    <col min="52" max="52" width="3.125" style="58" customWidth="1"/>
    <col min="53" max="53" width="12.375" style="58" customWidth="1"/>
    <col min="54" max="54" width="3.125" style="58" customWidth="1"/>
    <col min="55" max="55" width="12.375" style="58" customWidth="1"/>
    <col min="56" max="56" width="3.125" style="58" customWidth="1"/>
    <col min="57" max="58" width="12.375" style="58" customWidth="1"/>
    <col min="59" max="59" width="3.125" style="58" customWidth="1"/>
    <col min="60" max="60" width="12.375" style="58" customWidth="1"/>
    <col min="61" max="61" width="3.125" style="58" customWidth="1"/>
    <col min="62" max="62" width="12.375" style="58" customWidth="1"/>
    <col min="63" max="63" width="3.125" style="58" customWidth="1"/>
    <col min="64" max="64" width="12.375" style="58" customWidth="1"/>
    <col min="65" max="65" width="3.125" style="58" customWidth="1"/>
    <col min="66" max="66" width="12.375" style="58" customWidth="1"/>
    <col min="67" max="16384" width="9" style="219"/>
  </cols>
  <sheetData>
    <row r="1" spans="1:66" ht="12.75" customHeight="1" thickBot="1" x14ac:dyDescent="0.25">
      <c r="A1" s="773" t="s">
        <v>179</v>
      </c>
      <c r="B1" s="773"/>
      <c r="C1" s="773"/>
      <c r="D1" s="773"/>
      <c r="E1" s="773"/>
      <c r="F1" s="773"/>
      <c r="G1" s="773"/>
      <c r="H1" s="773"/>
      <c r="I1" s="773"/>
      <c r="J1" s="773"/>
      <c r="K1" s="773"/>
      <c r="L1" s="773"/>
      <c r="M1" s="773"/>
      <c r="N1" s="773"/>
      <c r="O1" s="773"/>
      <c r="P1" s="773"/>
      <c r="Q1" s="218"/>
      <c r="R1" s="218"/>
      <c r="S1" s="218"/>
      <c r="T1" s="218"/>
      <c r="U1" s="218"/>
      <c r="V1" s="218"/>
      <c r="W1" s="774" t="s">
        <v>180</v>
      </c>
      <c r="X1" s="774"/>
      <c r="Y1" s="774"/>
      <c r="Z1" s="774"/>
      <c r="AA1" s="774"/>
      <c r="AB1" s="774"/>
      <c r="AC1" s="774" t="s">
        <v>181</v>
      </c>
      <c r="AD1" s="774"/>
      <c r="AE1" s="774"/>
      <c r="AF1" s="774"/>
      <c r="AG1" s="774"/>
      <c r="AH1" s="774"/>
      <c r="AY1" s="58" t="s">
        <v>182</v>
      </c>
      <c r="BA1" s="58" t="s">
        <v>183</v>
      </c>
      <c r="BC1" s="58" t="s">
        <v>184</v>
      </c>
      <c r="BE1" s="58" t="s">
        <v>185</v>
      </c>
      <c r="BH1" s="220" t="s">
        <v>186</v>
      </c>
      <c r="BI1" s="220"/>
      <c r="BJ1" s="220" t="s">
        <v>187</v>
      </c>
      <c r="BK1" s="220"/>
      <c r="BL1" s="220" t="s">
        <v>188</v>
      </c>
      <c r="BM1" s="220"/>
      <c r="BN1" s="220" t="s">
        <v>189</v>
      </c>
    </row>
    <row r="2" spans="1:66" ht="12.75" customHeight="1" thickTop="1" x14ac:dyDescent="0.2">
      <c r="A2" s="785" t="str">
        <f ca="1">"第"&amp;YEAR(NOW())-1962&amp;"回 石川県中学校サッカー大会公式記録"</f>
        <v>第63回 石川県中学校サッカー大会公式記録</v>
      </c>
      <c r="B2" s="785"/>
      <c r="C2" s="785"/>
      <c r="D2" s="785"/>
      <c r="E2" s="785"/>
      <c r="F2" s="785"/>
      <c r="G2" s="785"/>
      <c r="H2" s="785"/>
      <c r="I2" s="785"/>
      <c r="J2" s="785"/>
      <c r="K2" s="785"/>
      <c r="L2" s="785"/>
      <c r="M2" s="785"/>
      <c r="N2" s="785"/>
      <c r="O2" s="785"/>
      <c r="P2" s="785"/>
      <c r="Q2" s="785"/>
      <c r="R2" s="785"/>
      <c r="S2" s="785"/>
      <c r="T2" s="785"/>
      <c r="U2" s="785"/>
      <c r="V2" s="221"/>
      <c r="W2" s="775" t="str">
        <f>IF(F7="","",F7)</f>
        <v/>
      </c>
      <c r="X2" s="775"/>
      <c r="Y2" s="775"/>
      <c r="Z2" s="775"/>
      <c r="AA2" s="775"/>
      <c r="AB2" s="775"/>
      <c r="AC2" s="775" t="str">
        <f>IF(F8="","",F8)</f>
        <v/>
      </c>
      <c r="AD2" s="775"/>
      <c r="AE2" s="775"/>
      <c r="AF2" s="775"/>
      <c r="AG2" s="775"/>
      <c r="AH2" s="775"/>
      <c r="AY2" s="222" t="s">
        <v>190</v>
      </c>
      <c r="BA2" s="222" t="s">
        <v>191</v>
      </c>
      <c r="BC2" s="222" t="s">
        <v>192</v>
      </c>
      <c r="BE2" s="223" t="s">
        <v>193</v>
      </c>
      <c r="BF2" s="222" t="s">
        <v>194</v>
      </c>
      <c r="BH2" s="224" t="s">
        <v>195</v>
      </c>
      <c r="BI2" s="220"/>
      <c r="BJ2" s="224">
        <v>5</v>
      </c>
      <c r="BK2" s="220"/>
      <c r="BL2" s="224">
        <v>45</v>
      </c>
      <c r="BM2" s="220"/>
      <c r="BN2" s="224" t="s">
        <v>196</v>
      </c>
    </row>
    <row r="3" spans="1:66" ht="12.75" customHeight="1" x14ac:dyDescent="0.2">
      <c r="A3" s="785"/>
      <c r="B3" s="785"/>
      <c r="C3" s="785"/>
      <c r="D3" s="785"/>
      <c r="E3" s="785"/>
      <c r="F3" s="785"/>
      <c r="G3" s="785"/>
      <c r="H3" s="785"/>
      <c r="I3" s="785"/>
      <c r="J3" s="785"/>
      <c r="K3" s="785"/>
      <c r="L3" s="785"/>
      <c r="M3" s="785"/>
      <c r="N3" s="785"/>
      <c r="O3" s="785"/>
      <c r="P3" s="785"/>
      <c r="Q3" s="785"/>
      <c r="R3" s="785"/>
      <c r="S3" s="785"/>
      <c r="T3" s="785"/>
      <c r="U3" s="785"/>
      <c r="V3" s="221"/>
      <c r="W3" s="776"/>
      <c r="X3" s="776"/>
      <c r="Y3" s="776"/>
      <c r="Z3" s="776"/>
      <c r="AA3" s="776"/>
      <c r="AB3" s="776"/>
      <c r="AC3" s="776"/>
      <c r="AD3" s="776"/>
      <c r="AE3" s="776"/>
      <c r="AF3" s="776"/>
      <c r="AG3" s="776"/>
      <c r="AH3" s="776"/>
      <c r="AY3" s="225" t="s">
        <v>197</v>
      </c>
      <c r="BA3" s="225" t="s">
        <v>198</v>
      </c>
      <c r="BC3" s="225" t="s">
        <v>199</v>
      </c>
      <c r="BE3" s="226" t="s">
        <v>200</v>
      </c>
      <c r="BF3" s="225" t="s">
        <v>201</v>
      </c>
      <c r="BH3" s="227" t="s">
        <v>202</v>
      </c>
      <c r="BI3" s="220"/>
      <c r="BJ3" s="227">
        <v>10</v>
      </c>
      <c r="BK3" s="220"/>
      <c r="BL3" s="227">
        <v>44</v>
      </c>
      <c r="BM3" s="220"/>
      <c r="BN3" s="227" t="s">
        <v>203</v>
      </c>
    </row>
    <row r="4" spans="1:66" ht="12.75" customHeight="1" x14ac:dyDescent="0.2">
      <c r="A4" s="777" t="s">
        <v>204</v>
      </c>
      <c r="B4" s="777"/>
      <c r="C4" s="777"/>
      <c r="D4" s="777"/>
      <c r="E4" s="777"/>
      <c r="F4" s="777"/>
      <c r="G4" s="777"/>
      <c r="H4" s="777"/>
      <c r="I4" s="777"/>
      <c r="J4" s="777"/>
      <c r="K4" s="777"/>
      <c r="L4" s="777"/>
      <c r="M4" s="777"/>
      <c r="N4" s="777"/>
      <c r="O4" s="777"/>
      <c r="P4" s="777"/>
      <c r="Q4" s="777"/>
      <c r="R4" s="777"/>
      <c r="S4" s="777"/>
      <c r="T4" s="777"/>
      <c r="U4" s="777"/>
      <c r="V4" s="777"/>
      <c r="W4" s="777"/>
      <c r="X4" s="777"/>
      <c r="Y4" s="777"/>
      <c r="Z4" s="777"/>
      <c r="AA4" s="777"/>
      <c r="AB4" s="777"/>
      <c r="AC4" s="777"/>
      <c r="AD4" s="777"/>
      <c r="AE4" s="777"/>
      <c r="AF4" s="777"/>
      <c r="AG4" s="777"/>
      <c r="AH4" s="777"/>
      <c r="AY4" s="225" t="s">
        <v>205</v>
      </c>
      <c r="BA4" s="225" t="s">
        <v>206</v>
      </c>
      <c r="BC4" s="225" t="s">
        <v>207</v>
      </c>
      <c r="BE4" s="226"/>
      <c r="BF4" s="225"/>
      <c r="BH4" s="227" t="s">
        <v>208</v>
      </c>
      <c r="BI4" s="220"/>
      <c r="BJ4" s="227">
        <v>15</v>
      </c>
      <c r="BK4" s="220"/>
      <c r="BL4" s="227">
        <v>43</v>
      </c>
      <c r="BM4" s="220"/>
      <c r="BN4" s="227" t="s">
        <v>209</v>
      </c>
    </row>
    <row r="5" spans="1:66" ht="12.75" customHeight="1" x14ac:dyDescent="0.2">
      <c r="A5" s="778" t="s">
        <v>210</v>
      </c>
      <c r="B5" s="779"/>
      <c r="C5" s="779"/>
      <c r="D5" s="779"/>
      <c r="E5" s="780">
        <f ca="1">マッチ決勝!C9</f>
        <v>45857</v>
      </c>
      <c r="F5" s="780"/>
      <c r="G5" s="780"/>
      <c r="H5" s="781"/>
      <c r="I5" s="782">
        <f>マッチ決勝!G9</f>
        <v>0.5625</v>
      </c>
      <c r="J5" s="783"/>
      <c r="K5" s="779" t="s">
        <v>211</v>
      </c>
      <c r="L5" s="779"/>
      <c r="M5" s="779"/>
      <c r="N5" s="779"/>
      <c r="O5" s="779" t="s">
        <v>212</v>
      </c>
      <c r="P5" s="779"/>
      <c r="Q5" s="779"/>
      <c r="R5" s="779"/>
      <c r="S5" s="779"/>
      <c r="T5" s="779"/>
      <c r="U5" s="779" t="s">
        <v>213</v>
      </c>
      <c r="V5" s="779"/>
      <c r="W5" s="779" t="str">
        <f>マッチ決勝!C18</f>
        <v>スカイパーク Aコート</v>
      </c>
      <c r="X5" s="779"/>
      <c r="Y5" s="779"/>
      <c r="Z5" s="779"/>
      <c r="AA5" s="779"/>
      <c r="AB5" s="779"/>
      <c r="AC5" s="779"/>
      <c r="AD5" s="779"/>
      <c r="AE5" s="779"/>
      <c r="AF5" s="779"/>
      <c r="AG5" s="779"/>
      <c r="AH5" s="784"/>
      <c r="AY5" s="225" t="s">
        <v>214</v>
      </c>
      <c r="BA5" s="225" t="s">
        <v>215</v>
      </c>
      <c r="BC5" s="225" t="s">
        <v>216</v>
      </c>
      <c r="BE5" s="226"/>
      <c r="BF5" s="225"/>
      <c r="BH5" s="227" t="s">
        <v>217</v>
      </c>
      <c r="BI5" s="220"/>
      <c r="BJ5" s="227">
        <v>20</v>
      </c>
      <c r="BK5" s="220"/>
      <c r="BL5" s="227">
        <v>42</v>
      </c>
      <c r="BM5" s="220"/>
      <c r="BN5" s="227" t="s">
        <v>128</v>
      </c>
    </row>
    <row r="6" spans="1:66" ht="12.75" customHeight="1" x14ac:dyDescent="0.2">
      <c r="A6" s="792" t="s">
        <v>218</v>
      </c>
      <c r="B6" s="790"/>
      <c r="C6" s="786"/>
      <c r="D6" s="787"/>
      <c r="E6" s="787"/>
      <c r="F6" s="787"/>
      <c r="G6" s="787"/>
      <c r="H6" s="787"/>
      <c r="I6" s="787"/>
      <c r="J6" s="787"/>
      <c r="K6" s="787"/>
      <c r="L6" s="788"/>
      <c r="M6" s="789"/>
      <c r="N6" s="790" t="s">
        <v>219</v>
      </c>
      <c r="O6" s="790"/>
      <c r="P6" s="793"/>
      <c r="Q6" s="794"/>
      <c r="R6" s="790" t="s">
        <v>220</v>
      </c>
      <c r="S6" s="790"/>
      <c r="T6" s="795"/>
      <c r="U6" s="796"/>
      <c r="V6" s="790" t="s">
        <v>221</v>
      </c>
      <c r="W6" s="790"/>
      <c r="X6" s="790"/>
      <c r="Y6" s="790"/>
      <c r="Z6" s="790"/>
      <c r="AA6" s="790" t="s">
        <v>222</v>
      </c>
      <c r="AB6" s="790"/>
      <c r="AC6" s="790"/>
      <c r="AD6" s="790"/>
      <c r="AE6" s="790"/>
      <c r="AF6" s="790" t="s">
        <v>223</v>
      </c>
      <c r="AG6" s="790"/>
      <c r="AH6" s="791"/>
      <c r="AY6" s="225" t="s">
        <v>224</v>
      </c>
      <c r="BA6" s="225" t="s">
        <v>207</v>
      </c>
      <c r="BC6" s="225" t="s">
        <v>225</v>
      </c>
      <c r="BE6" s="226"/>
      <c r="BF6" s="225"/>
      <c r="BH6" s="227" t="s">
        <v>226</v>
      </c>
      <c r="BI6" s="220"/>
      <c r="BJ6" s="227">
        <v>25</v>
      </c>
      <c r="BK6" s="220"/>
      <c r="BL6" s="227">
        <v>41</v>
      </c>
      <c r="BM6" s="220"/>
      <c r="BN6" s="227"/>
    </row>
    <row r="7" spans="1:66" ht="12.75" customHeight="1" x14ac:dyDescent="0.2">
      <c r="A7" s="792" t="s">
        <v>180</v>
      </c>
      <c r="B7" s="790"/>
      <c r="C7" s="790"/>
      <c r="D7" s="790"/>
      <c r="E7" s="790"/>
      <c r="F7" s="790"/>
      <c r="G7" s="790"/>
      <c r="H7" s="790"/>
      <c r="I7" s="790"/>
      <c r="J7" s="790"/>
      <c r="K7" s="790" t="s">
        <v>227</v>
      </c>
      <c r="L7" s="790"/>
      <c r="M7" s="790"/>
      <c r="N7" s="790"/>
      <c r="O7" s="790"/>
      <c r="P7" s="790"/>
      <c r="Q7" s="790"/>
      <c r="R7" s="790"/>
      <c r="S7" s="790"/>
      <c r="T7" s="790" t="s">
        <v>228</v>
      </c>
      <c r="U7" s="790"/>
      <c r="V7" s="790"/>
      <c r="W7" s="790"/>
      <c r="X7" s="790"/>
      <c r="Y7" s="790"/>
      <c r="Z7" s="790"/>
      <c r="AA7" s="228" t="s">
        <v>229</v>
      </c>
      <c r="AB7" s="790"/>
      <c r="AC7" s="790"/>
      <c r="AD7" s="790"/>
      <c r="AE7" s="790"/>
      <c r="AF7" s="804"/>
      <c r="AG7" s="804"/>
      <c r="AH7" s="805"/>
      <c r="AY7" s="225" t="s">
        <v>230</v>
      </c>
      <c r="BA7" s="225" t="s">
        <v>199</v>
      </c>
      <c r="BC7" s="225" t="s">
        <v>231</v>
      </c>
      <c r="BE7" s="226"/>
      <c r="BF7" s="225"/>
      <c r="BH7" s="227" t="s">
        <v>232</v>
      </c>
      <c r="BI7" s="220"/>
      <c r="BJ7" s="227">
        <v>30</v>
      </c>
      <c r="BK7" s="220"/>
      <c r="BL7" s="227">
        <v>40</v>
      </c>
      <c r="BM7" s="220"/>
      <c r="BN7" s="227"/>
    </row>
    <row r="8" spans="1:66" ht="12.75" customHeight="1" x14ac:dyDescent="0.2">
      <c r="A8" s="809" t="s">
        <v>181</v>
      </c>
      <c r="B8" s="808"/>
      <c r="C8" s="808"/>
      <c r="D8" s="808"/>
      <c r="E8" s="808"/>
      <c r="F8" s="790"/>
      <c r="G8" s="790"/>
      <c r="H8" s="790"/>
      <c r="I8" s="790"/>
      <c r="J8" s="790"/>
      <c r="K8" s="808" t="s">
        <v>233</v>
      </c>
      <c r="L8" s="808"/>
      <c r="M8" s="808"/>
      <c r="N8" s="808"/>
      <c r="O8" s="790"/>
      <c r="P8" s="790"/>
      <c r="Q8" s="790"/>
      <c r="R8" s="790"/>
      <c r="S8" s="790"/>
      <c r="T8" s="808" t="s">
        <v>234</v>
      </c>
      <c r="U8" s="808"/>
      <c r="V8" s="790"/>
      <c r="W8" s="790"/>
      <c r="X8" s="790"/>
      <c r="Y8" s="790"/>
      <c r="Z8" s="790"/>
      <c r="AA8" s="229" t="s">
        <v>235</v>
      </c>
      <c r="AB8" s="808"/>
      <c r="AC8" s="808"/>
      <c r="AD8" s="808"/>
      <c r="AE8" s="808"/>
      <c r="AF8" s="806"/>
      <c r="AG8" s="806"/>
      <c r="AH8" s="807"/>
      <c r="AY8" s="225" t="s">
        <v>236</v>
      </c>
      <c r="BA8" s="225" t="s">
        <v>237</v>
      </c>
      <c r="BC8" s="225" t="s">
        <v>238</v>
      </c>
      <c r="BE8" s="226"/>
      <c r="BF8" s="225"/>
      <c r="BH8" s="227"/>
      <c r="BI8" s="220"/>
      <c r="BJ8" s="227">
        <v>35</v>
      </c>
      <c r="BK8" s="220"/>
      <c r="BL8" s="227">
        <v>39</v>
      </c>
      <c r="BM8" s="220"/>
      <c r="BN8" s="227"/>
    </row>
    <row r="9" spans="1:66" ht="15" customHeight="1" x14ac:dyDescent="0.2">
      <c r="A9" s="810" t="str">
        <f>IF(ISERROR(FIND("立",AQ17)),"",LEFT(AQ17,FIND("立",AQ17)))</f>
        <v/>
      </c>
      <c r="B9" s="811"/>
      <c r="C9" s="811"/>
      <c r="D9" s="811"/>
      <c r="E9" s="811"/>
      <c r="F9" s="230"/>
      <c r="G9" s="230"/>
      <c r="H9" s="230"/>
      <c r="I9" s="231"/>
      <c r="J9" s="963"/>
      <c r="K9" s="954"/>
      <c r="L9" s="954"/>
      <c r="M9" s="954"/>
      <c r="N9" s="954"/>
      <c r="O9" s="799"/>
      <c r="P9" s="800"/>
      <c r="Q9" s="801" t="s">
        <v>239</v>
      </c>
      <c r="R9" s="802"/>
      <c r="S9" s="802"/>
      <c r="T9" s="803"/>
      <c r="U9" s="952"/>
      <c r="V9" s="953"/>
      <c r="W9" s="954"/>
      <c r="X9" s="954"/>
      <c r="Y9" s="955"/>
      <c r="Z9" s="810" t="str">
        <f>IF(ISERROR(FIND("立",AU17)),"",LEFT(AU17,FIND("立",AU17)))</f>
        <v/>
      </c>
      <c r="AA9" s="811"/>
      <c r="AB9" s="811"/>
      <c r="AC9" s="811"/>
      <c r="AD9" s="811"/>
      <c r="AE9" s="230"/>
      <c r="AF9" s="230"/>
      <c r="AG9" s="230"/>
      <c r="AH9" s="231"/>
      <c r="AY9" s="225" t="s">
        <v>240</v>
      </c>
      <c r="BA9" s="225" t="s">
        <v>241</v>
      </c>
      <c r="BC9" s="225"/>
      <c r="BE9" s="226"/>
      <c r="BF9" s="225"/>
      <c r="BH9" s="227"/>
      <c r="BI9" s="220"/>
      <c r="BJ9" s="227">
        <v>40</v>
      </c>
      <c r="BK9" s="220"/>
      <c r="BL9" s="227">
        <v>38</v>
      </c>
      <c r="BM9" s="220"/>
      <c r="BN9" s="227"/>
    </row>
    <row r="10" spans="1:66" ht="12.75" hidden="1" customHeight="1" x14ac:dyDescent="0.2">
      <c r="A10" s="232" t="e">
        <f>#REF!</f>
        <v>#REF!</v>
      </c>
      <c r="B10" s="233" t="e">
        <f>Z10</f>
        <v>#REF!</v>
      </c>
      <c r="C10" s="221"/>
      <c r="D10" s="221"/>
      <c r="E10" s="221"/>
      <c r="F10" s="221"/>
      <c r="G10" s="221"/>
      <c r="H10" s="221"/>
      <c r="I10" s="234"/>
      <c r="J10" s="964"/>
      <c r="K10" s="956"/>
      <c r="L10" s="956"/>
      <c r="M10" s="956"/>
      <c r="N10" s="956"/>
      <c r="O10" s="814"/>
      <c r="P10" s="815"/>
      <c r="Q10" s="235"/>
      <c r="R10" s="236"/>
      <c r="S10" s="236"/>
      <c r="T10" s="237"/>
      <c r="U10" s="812"/>
      <c r="V10" s="813"/>
      <c r="W10" s="956"/>
      <c r="X10" s="956"/>
      <c r="Y10" s="957"/>
      <c r="Z10" s="232" t="e">
        <f>#REF!</f>
        <v>#REF!</v>
      </c>
      <c r="AA10" s="221"/>
      <c r="AB10" s="221"/>
      <c r="AC10" s="221"/>
      <c r="AD10" s="221"/>
      <c r="AE10" s="221"/>
      <c r="AF10" s="221"/>
      <c r="AG10" s="221"/>
      <c r="AH10" s="234"/>
      <c r="AY10" s="225" t="s">
        <v>242</v>
      </c>
      <c r="BA10" s="225"/>
      <c r="BC10" s="225"/>
      <c r="BE10" s="226"/>
      <c r="BF10" s="225"/>
      <c r="BH10" s="227"/>
      <c r="BI10" s="220"/>
      <c r="BJ10" s="227">
        <v>45</v>
      </c>
      <c r="BK10" s="220"/>
      <c r="BL10" s="227">
        <v>37</v>
      </c>
      <c r="BM10" s="220"/>
      <c r="BN10" s="227"/>
    </row>
    <row r="11" spans="1:66" ht="15" customHeight="1" x14ac:dyDescent="0.2">
      <c r="A11" s="946" t="str">
        <f>IF(ISERROR(FIND("立",AQ17)),AQ17,MID(AQ17,FIND("立",AQ17)+1,10))</f>
        <v/>
      </c>
      <c r="B11" s="947"/>
      <c r="C11" s="947"/>
      <c r="D11" s="947"/>
      <c r="E11" s="947"/>
      <c r="F11" s="947"/>
      <c r="G11" s="947"/>
      <c r="H11" s="947"/>
      <c r="I11" s="948"/>
      <c r="J11" s="964"/>
      <c r="K11" s="956"/>
      <c r="L11" s="956"/>
      <c r="M11" s="956"/>
      <c r="N11" s="956"/>
      <c r="O11" s="960"/>
      <c r="P11" s="961"/>
      <c r="Q11" s="966" t="s">
        <v>243</v>
      </c>
      <c r="R11" s="834"/>
      <c r="S11" s="834"/>
      <c r="T11" s="967"/>
      <c r="U11" s="797"/>
      <c r="V11" s="798"/>
      <c r="W11" s="956"/>
      <c r="X11" s="956"/>
      <c r="Y11" s="957"/>
      <c r="Z11" s="946" t="str">
        <f>IF(ISERROR(FIND("立",AU17)),AU17,MID(AU17,FIND("立",AU17)+1,10))</f>
        <v/>
      </c>
      <c r="AA11" s="949"/>
      <c r="AB11" s="949"/>
      <c r="AC11" s="949"/>
      <c r="AD11" s="949"/>
      <c r="AE11" s="949"/>
      <c r="AF11" s="949"/>
      <c r="AG11" s="949"/>
      <c r="AH11" s="950"/>
      <c r="AY11" s="225" t="s">
        <v>244</v>
      </c>
      <c r="BA11" s="225"/>
      <c r="BC11" s="225"/>
      <c r="BE11" s="226"/>
      <c r="BF11" s="225"/>
      <c r="BH11" s="227"/>
      <c r="BI11" s="220"/>
      <c r="BJ11" s="227">
        <v>50</v>
      </c>
      <c r="BK11" s="220"/>
      <c r="BL11" s="227">
        <v>36</v>
      </c>
      <c r="BM11" s="220"/>
      <c r="BN11" s="227"/>
    </row>
    <row r="12" spans="1:66" ht="15" customHeight="1" x14ac:dyDescent="0.2">
      <c r="A12" s="946"/>
      <c r="B12" s="947"/>
      <c r="C12" s="947"/>
      <c r="D12" s="947"/>
      <c r="E12" s="947"/>
      <c r="F12" s="947"/>
      <c r="G12" s="947"/>
      <c r="H12" s="947"/>
      <c r="I12" s="948"/>
      <c r="J12" s="964"/>
      <c r="K12" s="956"/>
      <c r="L12" s="956"/>
      <c r="M12" s="956"/>
      <c r="N12" s="956"/>
      <c r="O12" s="799"/>
      <c r="P12" s="800"/>
      <c r="Q12" s="801" t="s">
        <v>155</v>
      </c>
      <c r="R12" s="802"/>
      <c r="S12" s="802"/>
      <c r="T12" s="803"/>
      <c r="U12" s="952"/>
      <c r="V12" s="953"/>
      <c r="W12" s="956"/>
      <c r="X12" s="956"/>
      <c r="Y12" s="957"/>
      <c r="Z12" s="951"/>
      <c r="AA12" s="949"/>
      <c r="AB12" s="949"/>
      <c r="AC12" s="949"/>
      <c r="AD12" s="949"/>
      <c r="AE12" s="949"/>
      <c r="AF12" s="949"/>
      <c r="AG12" s="949"/>
      <c r="AH12" s="950"/>
      <c r="AY12" s="225" t="s">
        <v>245</v>
      </c>
      <c r="BA12" s="225"/>
      <c r="BC12" s="225"/>
      <c r="BE12" s="226"/>
      <c r="BF12" s="225"/>
      <c r="BH12" s="227"/>
      <c r="BI12" s="220"/>
      <c r="BJ12" s="227">
        <v>55</v>
      </c>
      <c r="BK12" s="220"/>
      <c r="BL12" s="227">
        <v>35</v>
      </c>
      <c r="BM12" s="220"/>
      <c r="BN12" s="227"/>
    </row>
    <row r="13" spans="1:66" ht="15" customHeight="1" x14ac:dyDescent="0.2">
      <c r="A13" s="942" t="str">
        <f>AQ18</f>
        <v/>
      </c>
      <c r="B13" s="943"/>
      <c r="C13" s="943"/>
      <c r="D13" s="943"/>
      <c r="E13" s="943"/>
      <c r="F13" s="943"/>
      <c r="G13" s="943"/>
      <c r="H13" s="944"/>
      <c r="I13" s="945"/>
      <c r="J13" s="964"/>
      <c r="K13" s="956"/>
      <c r="L13" s="956"/>
      <c r="M13" s="956"/>
      <c r="N13" s="956"/>
      <c r="O13" s="960"/>
      <c r="P13" s="961"/>
      <c r="Q13" s="895" t="s">
        <v>156</v>
      </c>
      <c r="R13" s="962"/>
      <c r="S13" s="962"/>
      <c r="T13" s="870"/>
      <c r="U13" s="797"/>
      <c r="V13" s="798"/>
      <c r="W13" s="956"/>
      <c r="X13" s="956"/>
      <c r="Y13" s="957"/>
      <c r="Z13" s="942" t="str">
        <f>AU18</f>
        <v/>
      </c>
      <c r="AA13" s="943"/>
      <c r="AB13" s="943"/>
      <c r="AC13" s="943"/>
      <c r="AD13" s="943"/>
      <c r="AE13" s="943"/>
      <c r="AF13" s="943"/>
      <c r="AG13" s="944"/>
      <c r="AH13" s="945"/>
      <c r="AY13" s="225" t="s">
        <v>246</v>
      </c>
      <c r="BA13" s="225"/>
      <c r="BC13" s="225"/>
      <c r="BE13" s="226"/>
      <c r="BF13" s="225"/>
      <c r="BH13" s="227"/>
      <c r="BI13" s="220"/>
      <c r="BJ13" s="227">
        <v>60</v>
      </c>
      <c r="BK13" s="220"/>
      <c r="BL13" s="227">
        <v>34</v>
      </c>
      <c r="BM13" s="220"/>
      <c r="BN13" s="227"/>
    </row>
    <row r="14" spans="1:66" ht="15" customHeight="1" x14ac:dyDescent="0.2">
      <c r="A14" s="232"/>
      <c r="B14" s="221"/>
      <c r="C14" s="221"/>
      <c r="D14" s="221"/>
      <c r="E14" s="221"/>
      <c r="F14" s="221"/>
      <c r="I14" s="238"/>
      <c r="J14" s="964"/>
      <c r="K14" s="956"/>
      <c r="L14" s="956"/>
      <c r="M14" s="956"/>
      <c r="N14" s="956"/>
      <c r="O14" s="799"/>
      <c r="P14" s="800"/>
      <c r="Q14" s="801"/>
      <c r="R14" s="802"/>
      <c r="S14" s="802"/>
      <c r="T14" s="803"/>
      <c r="U14" s="952"/>
      <c r="V14" s="953"/>
      <c r="W14" s="956"/>
      <c r="X14" s="956"/>
      <c r="Y14" s="957"/>
      <c r="Z14" s="221"/>
      <c r="AA14" s="864"/>
      <c r="AB14" s="864"/>
      <c r="AC14" s="221"/>
      <c r="AD14" s="221"/>
      <c r="AE14" s="221"/>
      <c r="AF14" s="221"/>
      <c r="AG14" s="221"/>
      <c r="AH14" s="238"/>
      <c r="AY14" s="225" t="s">
        <v>247</v>
      </c>
      <c r="BA14" s="225"/>
      <c r="BC14" s="225"/>
      <c r="BE14" s="226"/>
      <c r="BF14" s="225"/>
      <c r="BH14" s="227"/>
      <c r="BI14" s="220"/>
      <c r="BJ14" s="227">
        <v>65</v>
      </c>
      <c r="BK14" s="220"/>
      <c r="BL14" s="227">
        <v>33</v>
      </c>
      <c r="BM14" s="220"/>
      <c r="BN14" s="227"/>
    </row>
    <row r="15" spans="1:66" ht="15" customHeight="1" x14ac:dyDescent="0.2">
      <c r="A15" s="232"/>
      <c r="B15" s="221"/>
      <c r="C15" s="221"/>
      <c r="D15" s="221"/>
      <c r="E15" s="221"/>
      <c r="F15" s="221"/>
      <c r="G15" s="864" t="s">
        <v>248</v>
      </c>
      <c r="H15" s="864"/>
      <c r="I15" s="238"/>
      <c r="J15" s="965"/>
      <c r="K15" s="958"/>
      <c r="L15" s="958"/>
      <c r="M15" s="958"/>
      <c r="N15" s="958"/>
      <c r="O15" s="960"/>
      <c r="P15" s="961"/>
      <c r="Q15" s="895"/>
      <c r="R15" s="962"/>
      <c r="S15" s="962"/>
      <c r="T15" s="870"/>
      <c r="U15" s="797"/>
      <c r="V15" s="798"/>
      <c r="W15" s="958"/>
      <c r="X15" s="958"/>
      <c r="Y15" s="959"/>
      <c r="Z15" s="221"/>
      <c r="AA15" s="864" t="s">
        <v>248</v>
      </c>
      <c r="AB15" s="864"/>
      <c r="AC15" s="221"/>
      <c r="AD15" s="221"/>
      <c r="AE15" s="221"/>
      <c r="AF15" s="221"/>
      <c r="AG15" s="221"/>
      <c r="AH15" s="238"/>
      <c r="AY15" s="225" t="s">
        <v>249</v>
      </c>
      <c r="BA15" s="225"/>
      <c r="BC15" s="225"/>
      <c r="BE15" s="226"/>
      <c r="BF15" s="225"/>
      <c r="BH15" s="227"/>
      <c r="BI15" s="220"/>
      <c r="BJ15" s="227">
        <v>70</v>
      </c>
      <c r="BK15" s="220"/>
      <c r="BL15" s="227">
        <v>32</v>
      </c>
      <c r="BM15" s="220"/>
      <c r="BN15" s="227"/>
    </row>
    <row r="16" spans="1:66" ht="12.75" customHeight="1" x14ac:dyDescent="0.2">
      <c r="A16" s="239"/>
      <c r="B16" s="240"/>
      <c r="C16" s="240"/>
      <c r="D16" s="240"/>
      <c r="E16" s="240"/>
      <c r="F16" s="240"/>
      <c r="G16" s="240"/>
      <c r="H16" s="240"/>
      <c r="I16" s="241"/>
      <c r="J16" s="816"/>
      <c r="K16" s="817"/>
      <c r="L16" s="817"/>
      <c r="M16" s="817"/>
      <c r="N16" s="817"/>
      <c r="O16" s="818" t="e">
        <f>IF(#REF!="","",#REF!)</f>
        <v>#REF!</v>
      </c>
      <c r="P16" s="819"/>
      <c r="Q16" s="820" t="e">
        <f>IF(O16="","","PK")</f>
        <v>#REF!</v>
      </c>
      <c r="R16" s="817"/>
      <c r="S16" s="817"/>
      <c r="T16" s="821"/>
      <c r="U16" s="822" t="e">
        <f>IF(#REF!="","",#REF!)</f>
        <v>#REF!</v>
      </c>
      <c r="V16" s="818"/>
      <c r="W16" s="817"/>
      <c r="X16" s="817"/>
      <c r="Y16" s="823"/>
      <c r="Z16" s="239"/>
      <c r="AA16" s="240"/>
      <c r="AB16" s="240"/>
      <c r="AC16" s="240"/>
      <c r="AD16" s="240"/>
      <c r="AE16" s="240"/>
      <c r="AF16" s="240"/>
      <c r="AG16" s="240"/>
      <c r="AH16" s="241"/>
      <c r="AY16" s="225" t="s">
        <v>250</v>
      </c>
      <c r="BA16" s="225"/>
      <c r="BC16" s="225"/>
      <c r="BE16" s="226"/>
      <c r="BF16" s="225"/>
      <c r="BH16" s="227"/>
      <c r="BI16" s="220"/>
      <c r="BJ16" s="227">
        <v>75</v>
      </c>
      <c r="BK16" s="220"/>
      <c r="BL16" s="227">
        <v>31</v>
      </c>
      <c r="BM16" s="220"/>
      <c r="BN16" s="227"/>
    </row>
    <row r="17" spans="1:66" ht="12.75" customHeight="1" x14ac:dyDescent="0.2">
      <c r="A17" s="824" t="s">
        <v>251</v>
      </c>
      <c r="B17" s="826" t="s">
        <v>252</v>
      </c>
      <c r="C17" s="827"/>
      <c r="D17" s="803" t="s">
        <v>253</v>
      </c>
      <c r="E17" s="830"/>
      <c r="F17" s="830"/>
      <c r="G17" s="830"/>
      <c r="H17" s="827"/>
      <c r="I17" s="831" t="s">
        <v>254</v>
      </c>
      <c r="J17" s="824" t="s">
        <v>255</v>
      </c>
      <c r="K17" s="802"/>
      <c r="L17" s="802"/>
      <c r="M17" s="802"/>
      <c r="N17" s="802"/>
      <c r="O17" s="802"/>
      <c r="P17" s="802"/>
      <c r="Q17" s="831" t="s">
        <v>256</v>
      </c>
      <c r="R17" s="842" t="s">
        <v>257</v>
      </c>
      <c r="S17" s="831" t="s">
        <v>257</v>
      </c>
      <c r="T17" s="831" t="s">
        <v>256</v>
      </c>
      <c r="U17" s="802" t="s">
        <v>255</v>
      </c>
      <c r="V17" s="802"/>
      <c r="W17" s="802"/>
      <c r="X17" s="802"/>
      <c r="Y17" s="837"/>
      <c r="Z17" s="831" t="s">
        <v>254</v>
      </c>
      <c r="AA17" s="824" t="s">
        <v>253</v>
      </c>
      <c r="AB17" s="802"/>
      <c r="AC17" s="802"/>
      <c r="AD17" s="802"/>
      <c r="AE17" s="837"/>
      <c r="AF17" s="824" t="s">
        <v>252</v>
      </c>
      <c r="AG17" s="837"/>
      <c r="AH17" s="837" t="s">
        <v>251</v>
      </c>
      <c r="AQ17" s="219" t="str">
        <f>マッチ決勝!E10</f>
        <v/>
      </c>
      <c r="AU17" s="219" t="str">
        <f>マッチ決勝!I10</f>
        <v/>
      </c>
      <c r="AY17" s="225" t="s">
        <v>258</v>
      </c>
      <c r="BA17" s="225"/>
      <c r="BC17" s="225"/>
      <c r="BE17" s="226"/>
      <c r="BF17" s="225"/>
      <c r="BH17" s="227"/>
      <c r="BI17" s="220"/>
      <c r="BJ17" s="227">
        <v>80</v>
      </c>
      <c r="BK17" s="220"/>
      <c r="BL17" s="227">
        <v>30</v>
      </c>
      <c r="BM17" s="220"/>
      <c r="BN17" s="227"/>
    </row>
    <row r="18" spans="1:66" ht="12.75" customHeight="1" x14ac:dyDescent="0.2">
      <c r="A18" s="825"/>
      <c r="B18" s="828"/>
      <c r="C18" s="829"/>
      <c r="D18" s="242"/>
      <c r="E18" s="243"/>
      <c r="F18" s="244" t="s">
        <v>259</v>
      </c>
      <c r="G18" s="245" t="s">
        <v>260</v>
      </c>
      <c r="H18" s="246" t="s">
        <v>261</v>
      </c>
      <c r="I18" s="832"/>
      <c r="J18" s="833"/>
      <c r="K18" s="834"/>
      <c r="L18" s="834"/>
      <c r="M18" s="834"/>
      <c r="N18" s="834"/>
      <c r="O18" s="834"/>
      <c r="P18" s="834"/>
      <c r="Q18" s="832"/>
      <c r="R18" s="843"/>
      <c r="S18" s="832"/>
      <c r="T18" s="832"/>
      <c r="U18" s="834"/>
      <c r="V18" s="834"/>
      <c r="W18" s="834"/>
      <c r="X18" s="834"/>
      <c r="Y18" s="844"/>
      <c r="Z18" s="832"/>
      <c r="AA18" s="247" t="s">
        <v>261</v>
      </c>
      <c r="AB18" s="247" t="s">
        <v>260</v>
      </c>
      <c r="AC18" s="245" t="s">
        <v>259</v>
      </c>
      <c r="AD18" s="244"/>
      <c r="AE18" s="246"/>
      <c r="AF18" s="825"/>
      <c r="AG18" s="838"/>
      <c r="AH18" s="838"/>
      <c r="AQ18" s="219" t="str">
        <f>IF('県体(12)'!K14="","","("&amp;VLOOKUP('県体(12)'!K14,県体学校名!$C$4:$I$15,2,FALSE)&amp;")")</f>
        <v/>
      </c>
      <c r="AR18" s="248" t="s">
        <v>262</v>
      </c>
      <c r="AS18" s="249" t="e">
        <f>VLOOKUP(AQ17,データ!$R$2:$T$86,3,FALSE)</f>
        <v>#N/A</v>
      </c>
      <c r="AU18" s="219" t="str">
        <f>IF('県体(12)'!AO14="","","("&amp;VLOOKUP('県体(12)'!AO14,県体学校名!$C$4:$I$15,2,FALSE)&amp;")")</f>
        <v/>
      </c>
      <c r="AV18" s="248" t="s">
        <v>262</v>
      </c>
      <c r="AW18" s="249" t="e">
        <f>VLOOKUP(AU17,データ!$R$2:$T$86,3,FALSE)</f>
        <v>#N/A</v>
      </c>
      <c r="AY18" s="225" t="s">
        <v>263</v>
      </c>
      <c r="BA18" s="225"/>
      <c r="BC18" s="225"/>
      <c r="BE18" s="226"/>
      <c r="BF18" s="225"/>
      <c r="BH18" s="227"/>
      <c r="BI18" s="220"/>
      <c r="BJ18" s="227">
        <v>85</v>
      </c>
      <c r="BK18" s="220"/>
      <c r="BL18" s="227">
        <v>29</v>
      </c>
      <c r="BM18" s="220"/>
      <c r="BN18" s="227"/>
    </row>
    <row r="19" spans="1:66" ht="12.75" customHeight="1" x14ac:dyDescent="0.2">
      <c r="A19" s="250"/>
      <c r="B19" s="251"/>
      <c r="C19" s="252"/>
      <c r="D19" s="253"/>
      <c r="E19" s="254"/>
      <c r="F19" s="251"/>
      <c r="G19" s="252"/>
      <c r="H19" s="255" t="str">
        <f t="shared" ref="H19:H33" si="0">IF(F19+G19=0,"",F19+G19)</f>
        <v/>
      </c>
      <c r="I19" s="250" t="e">
        <f t="shared" ref="I19:I36" si="1">IF(OR($A$10="",COUNTIF($AI$49:$AI$59,$A$10&amp;Q19&amp;J19)=0),"",COUNTIF($AI$49:$AI$59,$A$10&amp;Q19&amp;J19))</f>
        <v>#REF!</v>
      </c>
      <c r="J19" s="839" t="str">
        <f>IF(Q19="","",VLOOKUP(Q19,$AQ$19:$AS$36,3,FALSE))</f>
        <v/>
      </c>
      <c r="K19" s="840"/>
      <c r="L19" s="840"/>
      <c r="M19" s="840"/>
      <c r="N19" s="840"/>
      <c r="O19" s="840"/>
      <c r="P19" s="841"/>
      <c r="Q19" s="250"/>
      <c r="R19" s="250" t="str">
        <f t="shared" ref="R19:R36" si="2">IF(Q19="","",VLOOKUP(Q19,$AQ$19:$AS$36,2,FALSE))</f>
        <v/>
      </c>
      <c r="S19" s="256" t="str">
        <f t="shared" ref="S19:S36" si="3">IF(T19="","",VLOOKUP(T19,$AU$19:$AW$36,2,FALSE))</f>
        <v/>
      </c>
      <c r="T19" s="250"/>
      <c r="U19" s="839" t="str">
        <f t="shared" ref="U19:U36" si="4">IF(T19="","",VLOOKUP(T19,$AU$19:$AW$36,3,FALSE))</f>
        <v/>
      </c>
      <c r="V19" s="840"/>
      <c r="W19" s="840"/>
      <c r="X19" s="840"/>
      <c r="Y19" s="841"/>
      <c r="Z19" s="255" t="e">
        <f t="shared" ref="Z19:Z36" si="5">IF(OR($Z$10="",COUNTIF($AI$49:$AI$59,$Z$10&amp;T19&amp;U19)=0),"",COUNTIF($AI$49:$AI$59,$Z$10&amp;T19&amp;U19))</f>
        <v>#REF!</v>
      </c>
      <c r="AA19" s="250" t="str">
        <f t="shared" ref="AA19:AA36" si="6">IF(AB19+AC19=0,"",AB19+AC19)</f>
        <v/>
      </c>
      <c r="AB19" s="250"/>
      <c r="AC19" s="252"/>
      <c r="AD19" s="251"/>
      <c r="AE19" s="255"/>
      <c r="AF19" s="250"/>
      <c r="AG19" s="252"/>
      <c r="AH19" s="255"/>
      <c r="AP19" s="219">
        <v>1</v>
      </c>
      <c r="AQ19" s="249" t="e">
        <f>INDEX(データ!$R$2:$T$86,MATCH(AQ$17,データ!$R$2:$R$86,0)+AP19,AQ$37-1)</f>
        <v>#N/A</v>
      </c>
      <c r="AR19" s="249" t="e">
        <f>INDEX(データ!$R$2:$T$86,MATCH(AQ$17,データ!$R$2:$R$86,0)+AP19,AR$37-1)</f>
        <v>#N/A</v>
      </c>
      <c r="AS19" s="249" t="e">
        <f>INDEX(データ!$R$2:$T$86,MATCH(AQ$17,データ!$R$2:$R$86,0)+AP19,AS$37-1)</f>
        <v>#N/A</v>
      </c>
      <c r="AT19" s="219">
        <v>1</v>
      </c>
      <c r="AU19" s="249" t="e">
        <f>INDEX(データ!$R$2:$T$86,MATCH(AU$17,データ!$R$2:$R$86,0)+AT19,AU$37-1)</f>
        <v>#N/A</v>
      </c>
      <c r="AV19" s="249" t="e">
        <f>INDEX(データ!$R$2:$T$86,MATCH(AU$17,データ!$R$2:$R$86,0)+AT19,AV$37-1)</f>
        <v>#N/A</v>
      </c>
      <c r="AW19" s="249" t="e">
        <f>INDEX(データ!$R$2:$T$86,MATCH(AU$17,データ!$R$2:$R$86,0)+AT19,AW$37-1)</f>
        <v>#N/A</v>
      </c>
      <c r="AY19" s="225" t="s">
        <v>264</v>
      </c>
      <c r="BA19" s="225"/>
      <c r="BC19" s="225"/>
      <c r="BE19" s="226"/>
      <c r="BF19" s="225"/>
      <c r="BH19" s="227"/>
      <c r="BI19" s="220"/>
      <c r="BJ19" s="227">
        <v>90</v>
      </c>
      <c r="BK19" s="220"/>
      <c r="BL19" s="227">
        <v>28</v>
      </c>
      <c r="BM19" s="220"/>
      <c r="BN19" s="227"/>
    </row>
    <row r="20" spans="1:66" ht="12.75" customHeight="1" x14ac:dyDescent="0.2">
      <c r="A20" s="257"/>
      <c r="B20" s="258"/>
      <c r="C20" s="259"/>
      <c r="D20" s="260"/>
      <c r="E20" s="261"/>
      <c r="F20" s="258"/>
      <c r="G20" s="259"/>
      <c r="H20" s="262" t="str">
        <f t="shared" si="0"/>
        <v/>
      </c>
      <c r="I20" s="257" t="e">
        <f t="shared" si="1"/>
        <v>#REF!</v>
      </c>
      <c r="J20" s="835" t="str">
        <f t="shared" ref="J20:J36" si="7">IF(Q20="","",VLOOKUP(Q20,$AQ$19:$AS$36,3,FALSE))</f>
        <v/>
      </c>
      <c r="K20" s="787"/>
      <c r="L20" s="787"/>
      <c r="M20" s="787"/>
      <c r="N20" s="787"/>
      <c r="O20" s="787"/>
      <c r="P20" s="836"/>
      <c r="Q20" s="257"/>
      <c r="R20" s="257" t="str">
        <f t="shared" si="2"/>
        <v/>
      </c>
      <c r="S20" s="263" t="str">
        <f t="shared" si="3"/>
        <v/>
      </c>
      <c r="T20" s="257"/>
      <c r="U20" s="835" t="str">
        <f t="shared" si="4"/>
        <v/>
      </c>
      <c r="V20" s="787"/>
      <c r="W20" s="787"/>
      <c r="X20" s="787"/>
      <c r="Y20" s="836"/>
      <c r="Z20" s="262" t="e">
        <f t="shared" si="5"/>
        <v>#REF!</v>
      </c>
      <c r="AA20" s="257" t="str">
        <f t="shared" si="6"/>
        <v/>
      </c>
      <c r="AB20" s="257"/>
      <c r="AC20" s="259"/>
      <c r="AD20" s="258"/>
      <c r="AE20" s="262"/>
      <c r="AF20" s="257"/>
      <c r="AG20" s="259"/>
      <c r="AH20" s="262"/>
      <c r="AP20" s="219">
        <v>2</v>
      </c>
      <c r="AQ20" s="249" t="e">
        <f>INDEX(データ!$R$2:$T$86,MATCH(AQ$17,データ!$R$2:$R$86,0)+AP20,AQ$37-1)</f>
        <v>#N/A</v>
      </c>
      <c r="AR20" s="249" t="e">
        <f>INDEX(データ!$R$2:$T$86,MATCH(AQ$17,データ!$R$2:$R$86,0)+AP20,AR$37-1)</f>
        <v>#N/A</v>
      </c>
      <c r="AS20" s="249" t="e">
        <f>INDEX(データ!$R$2:$T$86,MATCH(AQ$17,データ!$R$2:$R$86,0)+AP20,AS$37-1)</f>
        <v>#N/A</v>
      </c>
      <c r="AT20" s="219">
        <v>2</v>
      </c>
      <c r="AU20" s="249" t="e">
        <f>INDEX(データ!$R$2:$T$86,MATCH(AU$17,データ!$R$2:$R$86,0)+AT20,AU$37-1)</f>
        <v>#N/A</v>
      </c>
      <c r="AV20" s="249" t="e">
        <f>INDEX(データ!$R$2:$T$86,MATCH(AU$17,データ!$R$2:$R$86,0)+AT20,AV$37-1)</f>
        <v>#N/A</v>
      </c>
      <c r="AW20" s="249" t="e">
        <f>INDEX(データ!$R$2:$T$86,MATCH(AU$17,データ!$R$2:$R$86,0)+AT20,AW$37-1)</f>
        <v>#N/A</v>
      </c>
      <c r="AY20" s="225"/>
      <c r="BA20" s="225"/>
      <c r="BC20" s="225"/>
      <c r="BE20" s="226"/>
      <c r="BF20" s="225"/>
      <c r="BH20" s="227"/>
      <c r="BI20" s="220"/>
      <c r="BJ20" s="227">
        <v>95</v>
      </c>
      <c r="BK20" s="220"/>
      <c r="BL20" s="227">
        <v>27</v>
      </c>
      <c r="BM20" s="220"/>
      <c r="BN20" s="227"/>
    </row>
    <row r="21" spans="1:66" ht="12.75" customHeight="1" thickBot="1" x14ac:dyDescent="0.25">
      <c r="A21" s="257"/>
      <c r="B21" s="258" t="s">
        <v>204</v>
      </c>
      <c r="C21" s="259"/>
      <c r="D21" s="260"/>
      <c r="E21" s="261"/>
      <c r="F21" s="258"/>
      <c r="G21" s="259"/>
      <c r="H21" s="262" t="str">
        <f t="shared" si="0"/>
        <v/>
      </c>
      <c r="I21" s="257" t="e">
        <f t="shared" si="1"/>
        <v>#REF!</v>
      </c>
      <c r="J21" s="835" t="str">
        <f t="shared" si="7"/>
        <v/>
      </c>
      <c r="K21" s="787"/>
      <c r="L21" s="787"/>
      <c r="M21" s="787"/>
      <c r="N21" s="787"/>
      <c r="O21" s="787"/>
      <c r="P21" s="836"/>
      <c r="Q21" s="257"/>
      <c r="R21" s="257" t="str">
        <f t="shared" si="2"/>
        <v/>
      </c>
      <c r="S21" s="263" t="str">
        <f t="shared" si="3"/>
        <v/>
      </c>
      <c r="T21" s="257"/>
      <c r="U21" s="835" t="str">
        <f t="shared" si="4"/>
        <v/>
      </c>
      <c r="V21" s="787"/>
      <c r="W21" s="787"/>
      <c r="X21" s="787"/>
      <c r="Y21" s="836"/>
      <c r="Z21" s="262" t="e">
        <f t="shared" si="5"/>
        <v>#REF!</v>
      </c>
      <c r="AA21" s="257" t="str">
        <f t="shared" si="6"/>
        <v/>
      </c>
      <c r="AB21" s="257"/>
      <c r="AC21" s="259"/>
      <c r="AD21" s="258"/>
      <c r="AE21" s="262"/>
      <c r="AF21" s="257"/>
      <c r="AG21" s="259"/>
      <c r="AH21" s="262"/>
      <c r="AP21" s="219">
        <v>3</v>
      </c>
      <c r="AQ21" s="249" t="e">
        <f>INDEX(データ!$R$2:$T$86,MATCH(AQ$17,データ!$R$2:$R$86,0)+AP21,AQ$37-1)</f>
        <v>#N/A</v>
      </c>
      <c r="AR21" s="249" t="e">
        <f>INDEX(データ!$R$2:$T$86,MATCH(AQ$17,データ!$R$2:$R$86,0)+AP21,AR$37-1)</f>
        <v>#N/A</v>
      </c>
      <c r="AS21" s="249" t="e">
        <f>INDEX(データ!$R$2:$T$86,MATCH(AQ$17,データ!$R$2:$R$86,0)+AP21,AS$37-1)</f>
        <v>#N/A</v>
      </c>
      <c r="AT21" s="219">
        <v>3</v>
      </c>
      <c r="AU21" s="249" t="e">
        <f>INDEX(データ!$R$2:$T$86,MATCH(AU$17,データ!$R$2:$R$86,0)+AT21,AU$37-1)</f>
        <v>#N/A</v>
      </c>
      <c r="AV21" s="249" t="e">
        <f>INDEX(データ!$R$2:$T$86,MATCH(AU$17,データ!$R$2:$R$86,0)+AT21,AV$37-1)</f>
        <v>#N/A</v>
      </c>
      <c r="AW21" s="249" t="e">
        <f>INDEX(データ!$R$2:$T$86,MATCH(AU$17,データ!$R$2:$R$86,0)+AT21,AW$37-1)</f>
        <v>#N/A</v>
      </c>
      <c r="AY21" s="264"/>
      <c r="BA21" s="264"/>
      <c r="BC21" s="264"/>
      <c r="BE21" s="265"/>
      <c r="BF21" s="264"/>
      <c r="BH21" s="266"/>
      <c r="BI21" s="220"/>
      <c r="BJ21" s="266">
        <v>100</v>
      </c>
      <c r="BK21" s="220"/>
      <c r="BL21" s="227">
        <v>26</v>
      </c>
      <c r="BM21" s="220"/>
      <c r="BN21" s="266"/>
    </row>
    <row r="22" spans="1:66" ht="12.75" customHeight="1" thickTop="1" x14ac:dyDescent="0.2">
      <c r="A22" s="257"/>
      <c r="B22" s="258"/>
      <c r="C22" s="259"/>
      <c r="D22" s="260"/>
      <c r="E22" s="261"/>
      <c r="F22" s="258"/>
      <c r="G22" s="259"/>
      <c r="H22" s="262" t="str">
        <f t="shared" si="0"/>
        <v/>
      </c>
      <c r="I22" s="257" t="e">
        <f t="shared" si="1"/>
        <v>#REF!</v>
      </c>
      <c r="J22" s="835" t="str">
        <f t="shared" si="7"/>
        <v/>
      </c>
      <c r="K22" s="787"/>
      <c r="L22" s="787"/>
      <c r="M22" s="787"/>
      <c r="N22" s="787"/>
      <c r="O22" s="787"/>
      <c r="P22" s="836"/>
      <c r="Q22" s="257"/>
      <c r="R22" s="257" t="str">
        <f t="shared" si="2"/>
        <v/>
      </c>
      <c r="S22" s="263" t="str">
        <f t="shared" si="3"/>
        <v/>
      </c>
      <c r="T22" s="257"/>
      <c r="U22" s="835" t="str">
        <f t="shared" si="4"/>
        <v/>
      </c>
      <c r="V22" s="787"/>
      <c r="W22" s="787"/>
      <c r="X22" s="787"/>
      <c r="Y22" s="836"/>
      <c r="Z22" s="262" t="e">
        <f t="shared" si="5"/>
        <v>#REF!</v>
      </c>
      <c r="AA22" s="257" t="str">
        <f t="shared" si="6"/>
        <v/>
      </c>
      <c r="AB22" s="257"/>
      <c r="AC22" s="259"/>
      <c r="AD22" s="258"/>
      <c r="AE22" s="262"/>
      <c r="AF22" s="257"/>
      <c r="AG22" s="259"/>
      <c r="AH22" s="262"/>
      <c r="AP22" s="219">
        <v>4</v>
      </c>
      <c r="AQ22" s="249" t="e">
        <f>INDEX(データ!$R$2:$T$86,MATCH(AQ$17,データ!$R$2:$R$86,0)+AP22,AQ$37-1)</f>
        <v>#N/A</v>
      </c>
      <c r="AR22" s="249" t="e">
        <f>INDEX(データ!$R$2:$T$86,MATCH(AQ$17,データ!$R$2:$R$86,0)+AP22,AR$37-1)</f>
        <v>#N/A</v>
      </c>
      <c r="AS22" s="249" t="e">
        <f>INDEX(データ!$R$2:$T$86,MATCH(AQ$17,データ!$R$2:$R$86,0)+AP22,AS$37-1)</f>
        <v>#N/A</v>
      </c>
      <c r="AT22" s="219">
        <v>4</v>
      </c>
      <c r="AU22" s="249" t="e">
        <f>INDEX(データ!$R$2:$T$86,MATCH(AU$17,データ!$R$2:$R$86,0)+AT22,AU$37-1)</f>
        <v>#N/A</v>
      </c>
      <c r="AV22" s="249" t="e">
        <f>INDEX(データ!$R$2:$T$86,MATCH(AU$17,データ!$R$2:$R$86,0)+AT22,AV$37-1)</f>
        <v>#N/A</v>
      </c>
      <c r="AW22" s="249" t="e">
        <f>INDEX(データ!$R$2:$T$86,MATCH(AU$17,データ!$R$2:$R$86,0)+AT22,AW$37-1)</f>
        <v>#N/A</v>
      </c>
      <c r="BH22" s="220"/>
      <c r="BI22" s="220"/>
      <c r="BJ22" s="220"/>
      <c r="BK22" s="220"/>
      <c r="BL22" s="227">
        <v>25</v>
      </c>
      <c r="BM22" s="220"/>
      <c r="BN22" s="220"/>
    </row>
    <row r="23" spans="1:66" ht="12.75" customHeight="1" x14ac:dyDescent="0.2">
      <c r="A23" s="257"/>
      <c r="B23" s="258"/>
      <c r="C23" s="259"/>
      <c r="D23" s="260"/>
      <c r="E23" s="261"/>
      <c r="F23" s="258"/>
      <c r="G23" s="259"/>
      <c r="H23" s="262" t="str">
        <f t="shared" si="0"/>
        <v/>
      </c>
      <c r="I23" s="257" t="e">
        <f t="shared" si="1"/>
        <v>#REF!</v>
      </c>
      <c r="J23" s="835" t="str">
        <f t="shared" si="7"/>
        <v/>
      </c>
      <c r="K23" s="787"/>
      <c r="L23" s="787"/>
      <c r="M23" s="787"/>
      <c r="N23" s="787"/>
      <c r="O23" s="787"/>
      <c r="P23" s="836"/>
      <c r="Q23" s="257"/>
      <c r="R23" s="257" t="str">
        <f t="shared" si="2"/>
        <v/>
      </c>
      <c r="S23" s="263" t="str">
        <f t="shared" si="3"/>
        <v/>
      </c>
      <c r="T23" s="257"/>
      <c r="U23" s="835" t="str">
        <f t="shared" si="4"/>
        <v/>
      </c>
      <c r="V23" s="787"/>
      <c r="W23" s="787"/>
      <c r="X23" s="787"/>
      <c r="Y23" s="836"/>
      <c r="Z23" s="262" t="e">
        <f t="shared" si="5"/>
        <v>#REF!</v>
      </c>
      <c r="AA23" s="257" t="str">
        <f t="shared" si="6"/>
        <v/>
      </c>
      <c r="AB23" s="257"/>
      <c r="AC23" s="259"/>
      <c r="AD23" s="258"/>
      <c r="AE23" s="262"/>
      <c r="AF23" s="257"/>
      <c r="AG23" s="259"/>
      <c r="AH23" s="262"/>
      <c r="AP23" s="219">
        <v>5</v>
      </c>
      <c r="AQ23" s="249" t="e">
        <f>INDEX(データ!$R$2:$T$86,MATCH(AQ$17,データ!$R$2:$R$86,0)+AP23,AQ$37-1)</f>
        <v>#N/A</v>
      </c>
      <c r="AR23" s="249" t="e">
        <f>INDEX(データ!$R$2:$T$86,MATCH(AQ$17,データ!$R$2:$R$86,0)+AP23,AR$37-1)</f>
        <v>#N/A</v>
      </c>
      <c r="AS23" s="249" t="e">
        <f>INDEX(データ!$R$2:$T$86,MATCH(AQ$17,データ!$R$2:$R$86,0)+AP23,AS$37-1)</f>
        <v>#N/A</v>
      </c>
      <c r="AT23" s="219">
        <v>5</v>
      </c>
      <c r="AU23" s="249" t="e">
        <f>INDEX(データ!$R$2:$T$86,MATCH(AU$17,データ!$R$2:$R$86,0)+AT23,AU$37-1)</f>
        <v>#N/A</v>
      </c>
      <c r="AV23" s="249" t="e">
        <f>INDEX(データ!$R$2:$T$86,MATCH(AU$17,データ!$R$2:$R$86,0)+AT23,AV$37-1)</f>
        <v>#N/A</v>
      </c>
      <c r="AW23" s="249" t="e">
        <f>INDEX(データ!$R$2:$T$86,MATCH(AU$17,データ!$R$2:$R$86,0)+AT23,AW$37-1)</f>
        <v>#N/A</v>
      </c>
      <c r="BH23" s="220"/>
      <c r="BI23" s="220"/>
      <c r="BJ23" s="220"/>
      <c r="BK23" s="220"/>
      <c r="BL23" s="227">
        <v>24</v>
      </c>
      <c r="BM23" s="220"/>
      <c r="BN23" s="220"/>
    </row>
    <row r="24" spans="1:66" ht="12.75" customHeight="1" x14ac:dyDescent="0.2">
      <c r="A24" s="257"/>
      <c r="B24" s="258"/>
      <c r="C24" s="259"/>
      <c r="D24" s="260"/>
      <c r="E24" s="261"/>
      <c r="F24" s="258"/>
      <c r="G24" s="259"/>
      <c r="H24" s="262" t="str">
        <f t="shared" si="0"/>
        <v/>
      </c>
      <c r="I24" s="257" t="e">
        <f t="shared" si="1"/>
        <v>#REF!</v>
      </c>
      <c r="J24" s="835" t="str">
        <f t="shared" si="7"/>
        <v/>
      </c>
      <c r="K24" s="787"/>
      <c r="L24" s="787"/>
      <c r="M24" s="787"/>
      <c r="N24" s="787"/>
      <c r="O24" s="787"/>
      <c r="P24" s="836"/>
      <c r="Q24" s="257"/>
      <c r="R24" s="257" t="str">
        <f t="shared" si="2"/>
        <v/>
      </c>
      <c r="S24" s="263" t="str">
        <f t="shared" si="3"/>
        <v/>
      </c>
      <c r="T24" s="257"/>
      <c r="U24" s="835" t="str">
        <f t="shared" si="4"/>
        <v/>
      </c>
      <c r="V24" s="787"/>
      <c r="W24" s="787"/>
      <c r="X24" s="787"/>
      <c r="Y24" s="836"/>
      <c r="Z24" s="262" t="e">
        <f t="shared" si="5"/>
        <v>#REF!</v>
      </c>
      <c r="AA24" s="257" t="str">
        <f t="shared" si="6"/>
        <v/>
      </c>
      <c r="AB24" s="257"/>
      <c r="AC24" s="259"/>
      <c r="AD24" s="258"/>
      <c r="AE24" s="262"/>
      <c r="AF24" s="257"/>
      <c r="AG24" s="259"/>
      <c r="AH24" s="262"/>
      <c r="AP24" s="219">
        <v>6</v>
      </c>
      <c r="AQ24" s="249" t="e">
        <f>INDEX(データ!$R$2:$T$86,MATCH(AQ$17,データ!$R$2:$R$86,0)+AP24,AQ$37-1)</f>
        <v>#N/A</v>
      </c>
      <c r="AR24" s="249" t="e">
        <f>INDEX(データ!$R$2:$T$86,MATCH(AQ$17,データ!$R$2:$R$86,0)+AP24,AR$37-1)</f>
        <v>#N/A</v>
      </c>
      <c r="AS24" s="249" t="e">
        <f>INDEX(データ!$R$2:$T$86,MATCH(AQ$17,データ!$R$2:$R$86,0)+AP24,AS$37-1)</f>
        <v>#N/A</v>
      </c>
      <c r="AT24" s="219">
        <v>6</v>
      </c>
      <c r="AU24" s="249" t="e">
        <f>INDEX(データ!$R$2:$T$86,MATCH(AU$17,データ!$R$2:$R$86,0)+AT24,AU$37-1)</f>
        <v>#N/A</v>
      </c>
      <c r="AV24" s="249" t="e">
        <f>INDEX(データ!$R$2:$T$86,MATCH(AU$17,データ!$R$2:$R$86,0)+AT24,AV$37-1)</f>
        <v>#N/A</v>
      </c>
      <c r="AW24" s="249" t="e">
        <f>INDEX(データ!$R$2:$T$86,MATCH(AU$17,データ!$R$2:$R$86,0)+AT24,AW$37-1)</f>
        <v>#N/A</v>
      </c>
      <c r="BH24" s="220"/>
      <c r="BI24" s="220"/>
      <c r="BJ24" s="220"/>
      <c r="BK24" s="220"/>
      <c r="BL24" s="227">
        <v>23</v>
      </c>
      <c r="BM24" s="220"/>
      <c r="BN24" s="220"/>
    </row>
    <row r="25" spans="1:66" ht="12.75" customHeight="1" x14ac:dyDescent="0.2">
      <c r="A25" s="257"/>
      <c r="B25" s="258"/>
      <c r="C25" s="259"/>
      <c r="D25" s="260"/>
      <c r="E25" s="261"/>
      <c r="F25" s="258"/>
      <c r="G25" s="259"/>
      <c r="H25" s="262" t="str">
        <f t="shared" si="0"/>
        <v/>
      </c>
      <c r="I25" s="257" t="e">
        <f t="shared" si="1"/>
        <v>#REF!</v>
      </c>
      <c r="J25" s="835" t="str">
        <f t="shared" si="7"/>
        <v/>
      </c>
      <c r="K25" s="787"/>
      <c r="L25" s="787"/>
      <c r="M25" s="787"/>
      <c r="N25" s="787"/>
      <c r="O25" s="787"/>
      <c r="P25" s="836"/>
      <c r="Q25" s="257"/>
      <c r="R25" s="257" t="str">
        <f t="shared" si="2"/>
        <v/>
      </c>
      <c r="S25" s="263" t="str">
        <f t="shared" si="3"/>
        <v/>
      </c>
      <c r="T25" s="257"/>
      <c r="U25" s="835" t="str">
        <f t="shared" si="4"/>
        <v/>
      </c>
      <c r="V25" s="787"/>
      <c r="W25" s="787"/>
      <c r="X25" s="787"/>
      <c r="Y25" s="836"/>
      <c r="Z25" s="262" t="e">
        <f t="shared" si="5"/>
        <v>#REF!</v>
      </c>
      <c r="AA25" s="257" t="str">
        <f t="shared" si="6"/>
        <v/>
      </c>
      <c r="AB25" s="257"/>
      <c r="AC25" s="259"/>
      <c r="AD25" s="258"/>
      <c r="AE25" s="262"/>
      <c r="AF25" s="257"/>
      <c r="AG25" s="259"/>
      <c r="AH25" s="262"/>
      <c r="AP25" s="219">
        <v>7</v>
      </c>
      <c r="AQ25" s="249" t="e">
        <f>INDEX(データ!$R$2:$T$86,MATCH(AQ$17,データ!$R$2:$R$86,0)+AP25,AQ$37-1)</f>
        <v>#N/A</v>
      </c>
      <c r="AR25" s="249" t="e">
        <f>INDEX(データ!$R$2:$T$86,MATCH(AQ$17,データ!$R$2:$R$86,0)+AP25,AR$37-1)</f>
        <v>#N/A</v>
      </c>
      <c r="AS25" s="249" t="e">
        <f>INDEX(データ!$R$2:$T$86,MATCH(AQ$17,データ!$R$2:$R$86,0)+AP25,AS$37-1)</f>
        <v>#N/A</v>
      </c>
      <c r="AT25" s="219">
        <v>7</v>
      </c>
      <c r="AU25" s="249" t="e">
        <f>INDEX(データ!$R$2:$T$86,MATCH(AU$17,データ!$R$2:$R$86,0)+AT25,AU$37-1)</f>
        <v>#N/A</v>
      </c>
      <c r="AV25" s="249" t="e">
        <f>INDEX(データ!$R$2:$T$86,MATCH(AU$17,データ!$R$2:$R$86,0)+AT25,AV$37-1)</f>
        <v>#N/A</v>
      </c>
      <c r="AW25" s="249" t="e">
        <f>INDEX(データ!$R$2:$T$86,MATCH(AU$17,データ!$R$2:$R$86,0)+AT25,AW$37-1)</f>
        <v>#N/A</v>
      </c>
      <c r="BH25" s="220"/>
      <c r="BI25" s="220"/>
      <c r="BJ25" s="220"/>
      <c r="BK25" s="220"/>
      <c r="BL25" s="227">
        <v>22</v>
      </c>
      <c r="BM25" s="220"/>
      <c r="BN25" s="220"/>
    </row>
    <row r="26" spans="1:66" ht="12.75" customHeight="1" x14ac:dyDescent="0.2">
      <c r="A26" s="257"/>
      <c r="B26" s="258"/>
      <c r="C26" s="259"/>
      <c r="D26" s="260"/>
      <c r="E26" s="261"/>
      <c r="F26" s="258"/>
      <c r="G26" s="259"/>
      <c r="H26" s="262" t="str">
        <f t="shared" si="0"/>
        <v/>
      </c>
      <c r="I26" s="257" t="e">
        <f t="shared" si="1"/>
        <v>#REF!</v>
      </c>
      <c r="J26" s="835" t="str">
        <f t="shared" si="7"/>
        <v/>
      </c>
      <c r="K26" s="787"/>
      <c r="L26" s="787"/>
      <c r="M26" s="787"/>
      <c r="N26" s="787"/>
      <c r="O26" s="787"/>
      <c r="P26" s="836"/>
      <c r="Q26" s="257"/>
      <c r="R26" s="257" t="str">
        <f t="shared" si="2"/>
        <v/>
      </c>
      <c r="S26" s="263" t="str">
        <f t="shared" si="3"/>
        <v/>
      </c>
      <c r="T26" s="257"/>
      <c r="U26" s="835" t="str">
        <f t="shared" si="4"/>
        <v/>
      </c>
      <c r="V26" s="787"/>
      <c r="W26" s="787"/>
      <c r="X26" s="787"/>
      <c r="Y26" s="836"/>
      <c r="Z26" s="262" t="e">
        <f t="shared" si="5"/>
        <v>#REF!</v>
      </c>
      <c r="AA26" s="257" t="str">
        <f t="shared" si="6"/>
        <v/>
      </c>
      <c r="AB26" s="257"/>
      <c r="AC26" s="259"/>
      <c r="AD26" s="258"/>
      <c r="AE26" s="262"/>
      <c r="AF26" s="257"/>
      <c r="AG26" s="259"/>
      <c r="AH26" s="262"/>
      <c r="AP26" s="219">
        <v>8</v>
      </c>
      <c r="AQ26" s="249" t="e">
        <f>INDEX(データ!$R$2:$T$86,MATCH(AQ$17,データ!$R$2:$R$86,0)+AP26,AQ$37-1)</f>
        <v>#N/A</v>
      </c>
      <c r="AR26" s="249" t="e">
        <f>INDEX(データ!$R$2:$T$86,MATCH(AQ$17,データ!$R$2:$R$86,0)+AP26,AR$37-1)</f>
        <v>#N/A</v>
      </c>
      <c r="AS26" s="249" t="e">
        <f>INDEX(データ!$R$2:$T$86,MATCH(AQ$17,データ!$R$2:$R$86,0)+AP26,AS$37-1)</f>
        <v>#N/A</v>
      </c>
      <c r="AT26" s="219">
        <v>8</v>
      </c>
      <c r="AU26" s="249" t="e">
        <f>INDEX(データ!$R$2:$T$86,MATCH(AU$17,データ!$R$2:$R$86,0)+AT26,AU$37-1)</f>
        <v>#N/A</v>
      </c>
      <c r="AV26" s="249" t="e">
        <f>INDEX(データ!$R$2:$T$86,MATCH(AU$17,データ!$R$2:$R$86,0)+AT26,AV$37-1)</f>
        <v>#N/A</v>
      </c>
      <c r="AW26" s="249" t="e">
        <f>INDEX(データ!$R$2:$T$86,MATCH(AU$17,データ!$R$2:$R$86,0)+AT26,AW$37-1)</f>
        <v>#N/A</v>
      </c>
      <c r="BH26" s="220"/>
      <c r="BI26" s="220"/>
      <c r="BJ26" s="220"/>
      <c r="BK26" s="220"/>
      <c r="BL26" s="227">
        <v>21</v>
      </c>
      <c r="BM26" s="220"/>
      <c r="BN26" s="220"/>
    </row>
    <row r="27" spans="1:66" ht="12.75" customHeight="1" x14ac:dyDescent="0.2">
      <c r="A27" s="257"/>
      <c r="B27" s="258"/>
      <c r="C27" s="259"/>
      <c r="D27" s="260"/>
      <c r="E27" s="261"/>
      <c r="F27" s="258"/>
      <c r="G27" s="259"/>
      <c r="H27" s="262" t="str">
        <f t="shared" si="0"/>
        <v/>
      </c>
      <c r="I27" s="257" t="e">
        <f t="shared" si="1"/>
        <v>#REF!</v>
      </c>
      <c r="J27" s="835" t="str">
        <f t="shared" si="7"/>
        <v/>
      </c>
      <c r="K27" s="787"/>
      <c r="L27" s="787"/>
      <c r="M27" s="787"/>
      <c r="N27" s="787"/>
      <c r="O27" s="787"/>
      <c r="P27" s="836"/>
      <c r="Q27" s="257"/>
      <c r="R27" s="257" t="str">
        <f t="shared" si="2"/>
        <v/>
      </c>
      <c r="S27" s="263" t="str">
        <f t="shared" si="3"/>
        <v/>
      </c>
      <c r="T27" s="257"/>
      <c r="U27" s="835" t="str">
        <f t="shared" si="4"/>
        <v/>
      </c>
      <c r="V27" s="787"/>
      <c r="W27" s="787"/>
      <c r="X27" s="787"/>
      <c r="Y27" s="836"/>
      <c r="Z27" s="262" t="e">
        <f t="shared" si="5"/>
        <v>#REF!</v>
      </c>
      <c r="AA27" s="257" t="str">
        <f t="shared" si="6"/>
        <v/>
      </c>
      <c r="AB27" s="257"/>
      <c r="AC27" s="259"/>
      <c r="AD27" s="258"/>
      <c r="AE27" s="262"/>
      <c r="AF27" s="257"/>
      <c r="AG27" s="259"/>
      <c r="AH27" s="262"/>
      <c r="AP27" s="219">
        <v>9</v>
      </c>
      <c r="AQ27" s="249" t="e">
        <f>INDEX(データ!$R$2:$T$86,MATCH(AQ$17,データ!$R$2:$R$86,0)+AP27,AQ$37-1)</f>
        <v>#N/A</v>
      </c>
      <c r="AR27" s="249" t="e">
        <f>INDEX(データ!$R$2:$T$86,MATCH(AQ$17,データ!$R$2:$R$86,0)+AP27,AR$37-1)</f>
        <v>#N/A</v>
      </c>
      <c r="AS27" s="249" t="e">
        <f>INDEX(データ!$R$2:$T$86,MATCH(AQ$17,データ!$R$2:$R$86,0)+AP27,AS$37-1)</f>
        <v>#N/A</v>
      </c>
      <c r="AT27" s="219">
        <v>9</v>
      </c>
      <c r="AU27" s="249" t="e">
        <f>INDEX(データ!$R$2:$T$86,MATCH(AU$17,データ!$R$2:$R$86,0)+AT27,AU$37-1)</f>
        <v>#N/A</v>
      </c>
      <c r="AV27" s="249" t="e">
        <f>INDEX(データ!$R$2:$T$86,MATCH(AU$17,データ!$R$2:$R$86,0)+AT27,AV$37-1)</f>
        <v>#N/A</v>
      </c>
      <c r="AW27" s="249" t="e">
        <f>INDEX(データ!$R$2:$T$86,MATCH(AU$17,データ!$R$2:$R$86,0)+AT27,AW$37-1)</f>
        <v>#N/A</v>
      </c>
      <c r="BH27" s="220"/>
      <c r="BI27" s="220"/>
      <c r="BJ27" s="220"/>
      <c r="BK27" s="220"/>
      <c r="BL27" s="227">
        <v>20</v>
      </c>
      <c r="BM27" s="220"/>
      <c r="BN27" s="220"/>
    </row>
    <row r="28" spans="1:66" ht="12.75" customHeight="1" x14ac:dyDescent="0.2">
      <c r="A28" s="257"/>
      <c r="B28" s="258"/>
      <c r="C28" s="259"/>
      <c r="D28" s="260"/>
      <c r="E28" s="261"/>
      <c r="F28" s="258"/>
      <c r="G28" s="259"/>
      <c r="H28" s="262" t="str">
        <f t="shared" si="0"/>
        <v/>
      </c>
      <c r="I28" s="257" t="e">
        <f t="shared" si="1"/>
        <v>#REF!</v>
      </c>
      <c r="J28" s="835" t="str">
        <f t="shared" si="7"/>
        <v/>
      </c>
      <c r="K28" s="787"/>
      <c r="L28" s="787"/>
      <c r="M28" s="787"/>
      <c r="N28" s="787"/>
      <c r="O28" s="787"/>
      <c r="P28" s="836"/>
      <c r="Q28" s="257"/>
      <c r="R28" s="257" t="str">
        <f t="shared" si="2"/>
        <v/>
      </c>
      <c r="S28" s="263" t="str">
        <f t="shared" si="3"/>
        <v/>
      </c>
      <c r="T28" s="257"/>
      <c r="U28" s="835" t="str">
        <f t="shared" si="4"/>
        <v/>
      </c>
      <c r="V28" s="787"/>
      <c r="W28" s="787"/>
      <c r="X28" s="787"/>
      <c r="Y28" s="836"/>
      <c r="Z28" s="262" t="e">
        <f t="shared" si="5"/>
        <v>#REF!</v>
      </c>
      <c r="AA28" s="257" t="str">
        <f t="shared" si="6"/>
        <v/>
      </c>
      <c r="AB28" s="257"/>
      <c r="AC28" s="259"/>
      <c r="AD28" s="258"/>
      <c r="AE28" s="262"/>
      <c r="AF28" s="257"/>
      <c r="AG28" s="259"/>
      <c r="AH28" s="262"/>
      <c r="AP28" s="219">
        <v>10</v>
      </c>
      <c r="AQ28" s="249" t="e">
        <f>INDEX(データ!$R$2:$T$86,MATCH(AQ$17,データ!$R$2:$R$86,0)+AP28,AQ$37-1)</f>
        <v>#N/A</v>
      </c>
      <c r="AR28" s="249" t="e">
        <f>INDEX(データ!$R$2:$T$86,MATCH(AQ$17,データ!$R$2:$R$86,0)+AP28,AR$37-1)</f>
        <v>#N/A</v>
      </c>
      <c r="AS28" s="249" t="e">
        <f>INDEX(データ!$R$2:$T$86,MATCH(AQ$17,データ!$R$2:$R$86,0)+AP28,AS$37-1)</f>
        <v>#N/A</v>
      </c>
      <c r="AT28" s="219">
        <v>10</v>
      </c>
      <c r="AU28" s="249" t="e">
        <f>INDEX(データ!$R$2:$T$86,MATCH(AU$17,データ!$R$2:$R$86,0)+AT28,AU$37-1)</f>
        <v>#N/A</v>
      </c>
      <c r="AV28" s="249" t="e">
        <f>INDEX(データ!$R$2:$T$86,MATCH(AU$17,データ!$R$2:$R$86,0)+AT28,AV$37-1)</f>
        <v>#N/A</v>
      </c>
      <c r="AW28" s="249" t="e">
        <f>INDEX(データ!$R$2:$T$86,MATCH(AU$17,データ!$R$2:$R$86,0)+AT28,AW$37-1)</f>
        <v>#N/A</v>
      </c>
      <c r="BH28" s="220"/>
      <c r="BI28" s="220"/>
      <c r="BJ28" s="220"/>
      <c r="BK28" s="220"/>
      <c r="BL28" s="227">
        <v>19</v>
      </c>
      <c r="BM28" s="220"/>
      <c r="BN28" s="220"/>
    </row>
    <row r="29" spans="1:66" ht="12.75" customHeight="1" x14ac:dyDescent="0.2">
      <c r="A29" s="267"/>
      <c r="B29" s="268"/>
      <c r="C29" s="269"/>
      <c r="D29" s="270"/>
      <c r="E29" s="271"/>
      <c r="F29" s="268"/>
      <c r="G29" s="269"/>
      <c r="H29" s="272" t="str">
        <f t="shared" si="0"/>
        <v/>
      </c>
      <c r="I29" s="247" t="e">
        <f t="shared" si="1"/>
        <v>#REF!</v>
      </c>
      <c r="J29" s="845" t="str">
        <f t="shared" si="7"/>
        <v/>
      </c>
      <c r="K29" s="846"/>
      <c r="L29" s="846"/>
      <c r="M29" s="846"/>
      <c r="N29" s="846"/>
      <c r="O29" s="846"/>
      <c r="P29" s="847"/>
      <c r="Q29" s="247"/>
      <c r="R29" s="247" t="str">
        <f t="shared" si="2"/>
        <v/>
      </c>
      <c r="S29" s="273" t="str">
        <f t="shared" si="3"/>
        <v/>
      </c>
      <c r="T29" s="247"/>
      <c r="U29" s="845" t="str">
        <f t="shared" si="4"/>
        <v/>
      </c>
      <c r="V29" s="846"/>
      <c r="W29" s="846"/>
      <c r="X29" s="846"/>
      <c r="Y29" s="847"/>
      <c r="Z29" s="246" t="e">
        <f t="shared" si="5"/>
        <v>#REF!</v>
      </c>
      <c r="AA29" s="267" t="str">
        <f t="shared" si="6"/>
        <v/>
      </c>
      <c r="AB29" s="267"/>
      <c r="AC29" s="269"/>
      <c r="AD29" s="268"/>
      <c r="AE29" s="272"/>
      <c r="AF29" s="267"/>
      <c r="AG29" s="269"/>
      <c r="AH29" s="272"/>
      <c r="AP29" s="219">
        <v>11</v>
      </c>
      <c r="AQ29" s="249" t="e">
        <f>INDEX(データ!$R$2:$T$86,MATCH(AQ$17,データ!$R$2:$R$86,0)+AP29,AQ$37-1)</f>
        <v>#N/A</v>
      </c>
      <c r="AR29" s="249" t="e">
        <f>INDEX(データ!$R$2:$T$86,MATCH(AQ$17,データ!$R$2:$R$86,0)+AP29,AR$37-1)</f>
        <v>#N/A</v>
      </c>
      <c r="AS29" s="249" t="e">
        <f>INDEX(データ!$R$2:$T$86,MATCH(AQ$17,データ!$R$2:$R$86,0)+AP29,AS$37-1)</f>
        <v>#N/A</v>
      </c>
      <c r="AT29" s="219">
        <v>11</v>
      </c>
      <c r="AU29" s="249" t="e">
        <f>INDEX(データ!$R$2:$T$86,MATCH(AU$17,データ!$R$2:$R$86,0)+AT29,AU$37-1)</f>
        <v>#N/A</v>
      </c>
      <c r="AV29" s="249" t="e">
        <f>INDEX(データ!$R$2:$T$86,MATCH(AU$17,データ!$R$2:$R$86,0)+AT29,AV$37-1)</f>
        <v>#N/A</v>
      </c>
      <c r="AW29" s="249" t="e">
        <f>INDEX(データ!$R$2:$T$86,MATCH(AU$17,データ!$R$2:$R$86,0)+AT29,AW$37-1)</f>
        <v>#N/A</v>
      </c>
      <c r="BH29" s="220"/>
      <c r="BI29" s="220"/>
      <c r="BJ29" s="220"/>
      <c r="BK29" s="220"/>
      <c r="BL29" s="227">
        <v>18</v>
      </c>
      <c r="BM29" s="220"/>
      <c r="BN29" s="220"/>
    </row>
    <row r="30" spans="1:66" ht="12.75" customHeight="1" x14ac:dyDescent="0.2">
      <c r="A30" s="250"/>
      <c r="B30" s="251"/>
      <c r="C30" s="252"/>
      <c r="D30" s="253"/>
      <c r="E30" s="254"/>
      <c r="F30" s="251"/>
      <c r="G30" s="252"/>
      <c r="H30" s="255" t="str">
        <f t="shared" si="0"/>
        <v/>
      </c>
      <c r="I30" s="250" t="e">
        <f t="shared" si="1"/>
        <v>#REF!</v>
      </c>
      <c r="J30" s="839" t="str">
        <f t="shared" si="7"/>
        <v/>
      </c>
      <c r="K30" s="840"/>
      <c r="L30" s="840"/>
      <c r="M30" s="840"/>
      <c r="N30" s="840"/>
      <c r="O30" s="840"/>
      <c r="P30" s="841"/>
      <c r="Q30" s="255"/>
      <c r="R30" s="250" t="str">
        <f t="shared" si="2"/>
        <v/>
      </c>
      <c r="S30" s="256" t="str">
        <f t="shared" si="3"/>
        <v/>
      </c>
      <c r="T30" s="255"/>
      <c r="U30" s="839" t="str">
        <f t="shared" si="4"/>
        <v/>
      </c>
      <c r="V30" s="840"/>
      <c r="W30" s="840"/>
      <c r="X30" s="840"/>
      <c r="Y30" s="841"/>
      <c r="Z30" s="255" t="e">
        <f t="shared" si="5"/>
        <v>#REF!</v>
      </c>
      <c r="AA30" s="250" t="str">
        <f t="shared" si="6"/>
        <v/>
      </c>
      <c r="AB30" s="250"/>
      <c r="AC30" s="252"/>
      <c r="AD30" s="251"/>
      <c r="AE30" s="255"/>
      <c r="AF30" s="250"/>
      <c r="AG30" s="252"/>
      <c r="AH30" s="255"/>
      <c r="AP30" s="219">
        <v>12</v>
      </c>
      <c r="AQ30" s="249" t="e">
        <f>INDEX(データ!$R$2:$T$86,MATCH(AQ$17,データ!$R$2:$R$86,0)+AP30,AQ$37-1)</f>
        <v>#N/A</v>
      </c>
      <c r="AR30" s="249" t="e">
        <f>INDEX(データ!$R$2:$T$86,MATCH(AQ$17,データ!$R$2:$R$86,0)+AP30,AR$37-1)</f>
        <v>#N/A</v>
      </c>
      <c r="AS30" s="249" t="e">
        <f>INDEX(データ!$R$2:$T$86,MATCH(AQ$17,データ!$R$2:$R$86,0)+AP30,AS$37-1)</f>
        <v>#N/A</v>
      </c>
      <c r="AT30" s="219">
        <v>12</v>
      </c>
      <c r="AU30" s="249" t="e">
        <f>INDEX(データ!$R$2:$T$86,MATCH(AU$17,データ!$R$2:$R$86,0)+AT30,AU$37-1)</f>
        <v>#N/A</v>
      </c>
      <c r="AV30" s="249" t="e">
        <f>INDEX(データ!$R$2:$T$86,MATCH(AU$17,データ!$R$2:$R$86,0)+AT30,AV$37-1)</f>
        <v>#N/A</v>
      </c>
      <c r="AW30" s="249" t="e">
        <f>INDEX(データ!$R$2:$T$86,MATCH(AU$17,データ!$R$2:$R$86,0)+AT30,AW$37-1)</f>
        <v>#N/A</v>
      </c>
      <c r="BH30" s="220"/>
      <c r="BI30" s="220"/>
      <c r="BJ30" s="220"/>
      <c r="BK30" s="220"/>
      <c r="BL30" s="227">
        <v>17</v>
      </c>
      <c r="BM30" s="220"/>
      <c r="BN30" s="220"/>
    </row>
    <row r="31" spans="1:66" ht="12.75" customHeight="1" x14ac:dyDescent="0.2">
      <c r="A31" s="257"/>
      <c r="B31" s="258"/>
      <c r="C31" s="259"/>
      <c r="D31" s="260"/>
      <c r="E31" s="261"/>
      <c r="F31" s="258"/>
      <c r="G31" s="259"/>
      <c r="H31" s="262" t="str">
        <f t="shared" si="0"/>
        <v/>
      </c>
      <c r="I31" s="257" t="e">
        <f t="shared" si="1"/>
        <v>#REF!</v>
      </c>
      <c r="J31" s="835" t="str">
        <f t="shared" si="7"/>
        <v/>
      </c>
      <c r="K31" s="787"/>
      <c r="L31" s="787"/>
      <c r="M31" s="787"/>
      <c r="N31" s="787"/>
      <c r="O31" s="787"/>
      <c r="P31" s="836"/>
      <c r="Q31" s="262"/>
      <c r="R31" s="257" t="str">
        <f t="shared" si="2"/>
        <v/>
      </c>
      <c r="S31" s="263" t="str">
        <f t="shared" si="3"/>
        <v/>
      </c>
      <c r="T31" s="262"/>
      <c r="U31" s="835" t="str">
        <f t="shared" si="4"/>
        <v/>
      </c>
      <c r="V31" s="787"/>
      <c r="W31" s="787"/>
      <c r="X31" s="787"/>
      <c r="Y31" s="836"/>
      <c r="Z31" s="262" t="e">
        <f t="shared" si="5"/>
        <v>#REF!</v>
      </c>
      <c r="AA31" s="257" t="str">
        <f t="shared" si="6"/>
        <v/>
      </c>
      <c r="AB31" s="257"/>
      <c r="AC31" s="259"/>
      <c r="AD31" s="258"/>
      <c r="AE31" s="262"/>
      <c r="AF31" s="257"/>
      <c r="AG31" s="259"/>
      <c r="AH31" s="262"/>
      <c r="AP31" s="219">
        <v>13</v>
      </c>
      <c r="AQ31" s="249" t="e">
        <f>INDEX(データ!$R$2:$T$86,MATCH(AQ$17,データ!$R$2:$R$86,0)+AP31,AQ$37-1)</f>
        <v>#N/A</v>
      </c>
      <c r="AR31" s="249" t="e">
        <f>INDEX(データ!$R$2:$T$86,MATCH(AQ$17,データ!$R$2:$R$86,0)+AP31,AR$37-1)</f>
        <v>#N/A</v>
      </c>
      <c r="AS31" s="249" t="e">
        <f>INDEX(データ!$R$2:$T$86,MATCH(AQ$17,データ!$R$2:$R$86,0)+AP31,AS$37-1)</f>
        <v>#N/A</v>
      </c>
      <c r="AT31" s="219">
        <v>13</v>
      </c>
      <c r="AU31" s="249" t="e">
        <f>INDEX(データ!$R$2:$T$86,MATCH(AU$17,データ!$R$2:$R$86,0)+AT31,AU$37-1)</f>
        <v>#N/A</v>
      </c>
      <c r="AV31" s="249" t="e">
        <f>INDEX(データ!$R$2:$T$86,MATCH(AU$17,データ!$R$2:$R$86,0)+AT31,AV$37-1)</f>
        <v>#N/A</v>
      </c>
      <c r="AW31" s="249" t="e">
        <f>INDEX(データ!$R$2:$T$86,MATCH(AU$17,データ!$R$2:$R$86,0)+AT31,AW$37-1)</f>
        <v>#N/A</v>
      </c>
      <c r="BH31" s="220"/>
      <c r="BI31" s="220"/>
      <c r="BJ31" s="220"/>
      <c r="BK31" s="220"/>
      <c r="BL31" s="227">
        <v>16</v>
      </c>
      <c r="BM31" s="220"/>
      <c r="BN31" s="220"/>
    </row>
    <row r="32" spans="1:66" ht="12.75" customHeight="1" x14ac:dyDescent="0.2">
      <c r="A32" s="257"/>
      <c r="B32" s="258"/>
      <c r="C32" s="259"/>
      <c r="D32" s="260"/>
      <c r="E32" s="261"/>
      <c r="F32" s="258"/>
      <c r="G32" s="259"/>
      <c r="H32" s="262" t="str">
        <f t="shared" si="0"/>
        <v/>
      </c>
      <c r="I32" s="257" t="e">
        <f t="shared" si="1"/>
        <v>#REF!</v>
      </c>
      <c r="J32" s="835" t="str">
        <f t="shared" si="7"/>
        <v/>
      </c>
      <c r="K32" s="787"/>
      <c r="L32" s="787"/>
      <c r="M32" s="787"/>
      <c r="N32" s="787"/>
      <c r="O32" s="787"/>
      <c r="P32" s="836"/>
      <c r="Q32" s="262"/>
      <c r="R32" s="257" t="str">
        <f t="shared" si="2"/>
        <v/>
      </c>
      <c r="S32" s="263" t="str">
        <f t="shared" si="3"/>
        <v/>
      </c>
      <c r="T32" s="262"/>
      <c r="U32" s="835" t="str">
        <f t="shared" si="4"/>
        <v/>
      </c>
      <c r="V32" s="787"/>
      <c r="W32" s="787"/>
      <c r="X32" s="787"/>
      <c r="Y32" s="836"/>
      <c r="Z32" s="262" t="e">
        <f t="shared" si="5"/>
        <v>#REF!</v>
      </c>
      <c r="AA32" s="257" t="str">
        <f t="shared" si="6"/>
        <v/>
      </c>
      <c r="AB32" s="257"/>
      <c r="AC32" s="259"/>
      <c r="AD32" s="258"/>
      <c r="AE32" s="262"/>
      <c r="AF32" s="257"/>
      <c r="AG32" s="259"/>
      <c r="AH32" s="262"/>
      <c r="AP32" s="219">
        <v>14</v>
      </c>
      <c r="AQ32" s="249" t="e">
        <f>INDEX(データ!$R$2:$T$86,MATCH(AQ$17,データ!$R$2:$R$86,0)+AP32,AQ$37-1)</f>
        <v>#N/A</v>
      </c>
      <c r="AR32" s="249" t="e">
        <f>INDEX(データ!$R$2:$T$86,MATCH(AQ$17,データ!$R$2:$R$86,0)+AP32,AR$37-1)</f>
        <v>#N/A</v>
      </c>
      <c r="AS32" s="249" t="e">
        <f>INDEX(データ!$R$2:$T$86,MATCH(AQ$17,データ!$R$2:$R$86,0)+AP32,AS$37-1)</f>
        <v>#N/A</v>
      </c>
      <c r="AT32" s="219">
        <v>14</v>
      </c>
      <c r="AU32" s="249" t="e">
        <f>INDEX(データ!$R$2:$T$86,MATCH(AU$17,データ!$R$2:$R$86,0)+AT32,AU$37-1)</f>
        <v>#N/A</v>
      </c>
      <c r="AV32" s="249" t="e">
        <f>INDEX(データ!$R$2:$T$86,MATCH(AU$17,データ!$R$2:$R$86,0)+AT32,AV$37-1)</f>
        <v>#N/A</v>
      </c>
      <c r="AW32" s="249" t="e">
        <f>INDEX(データ!$R$2:$T$86,MATCH(AU$17,データ!$R$2:$R$86,0)+AT32,AW$37-1)</f>
        <v>#N/A</v>
      </c>
      <c r="BH32" s="220"/>
      <c r="BI32" s="220"/>
      <c r="BJ32" s="220"/>
      <c r="BK32" s="220"/>
      <c r="BL32" s="227">
        <v>15</v>
      </c>
      <c r="BM32" s="220"/>
      <c r="BN32" s="220"/>
    </row>
    <row r="33" spans="1:66" ht="12.75" customHeight="1" x14ac:dyDescent="0.2">
      <c r="A33" s="257"/>
      <c r="B33" s="258"/>
      <c r="C33" s="259"/>
      <c r="D33" s="260"/>
      <c r="E33" s="261"/>
      <c r="F33" s="258"/>
      <c r="G33" s="259"/>
      <c r="H33" s="262" t="str">
        <f t="shared" si="0"/>
        <v/>
      </c>
      <c r="I33" s="257" t="e">
        <f t="shared" si="1"/>
        <v>#REF!</v>
      </c>
      <c r="J33" s="835" t="str">
        <f t="shared" si="7"/>
        <v/>
      </c>
      <c r="K33" s="787"/>
      <c r="L33" s="787"/>
      <c r="M33" s="787"/>
      <c r="N33" s="787"/>
      <c r="O33" s="787"/>
      <c r="P33" s="836"/>
      <c r="Q33" s="274"/>
      <c r="R33" s="257" t="str">
        <f t="shared" si="2"/>
        <v/>
      </c>
      <c r="S33" s="263" t="str">
        <f t="shared" si="3"/>
        <v/>
      </c>
      <c r="T33" s="274"/>
      <c r="U33" s="835" t="str">
        <f t="shared" si="4"/>
        <v/>
      </c>
      <c r="V33" s="787"/>
      <c r="W33" s="787"/>
      <c r="X33" s="787"/>
      <c r="Y33" s="836"/>
      <c r="Z33" s="262" t="e">
        <f t="shared" si="5"/>
        <v>#REF!</v>
      </c>
      <c r="AA33" s="257" t="str">
        <f t="shared" si="6"/>
        <v/>
      </c>
      <c r="AB33" s="257"/>
      <c r="AC33" s="259"/>
      <c r="AD33" s="258"/>
      <c r="AE33" s="262"/>
      <c r="AF33" s="257"/>
      <c r="AG33" s="259"/>
      <c r="AH33" s="262"/>
      <c r="AP33" s="219">
        <v>15</v>
      </c>
      <c r="AQ33" s="249" t="e">
        <f>INDEX(データ!$R$2:$T$86,MATCH(AQ$17,データ!$R$2:$R$86,0)+AP33,AQ$37-1)</f>
        <v>#N/A</v>
      </c>
      <c r="AR33" s="249" t="e">
        <f>INDEX(データ!$R$2:$T$86,MATCH(AQ$17,データ!$R$2:$R$86,0)+AP33,AR$37-1)</f>
        <v>#N/A</v>
      </c>
      <c r="AS33" s="249" t="e">
        <f>INDEX(データ!$R$2:$T$86,MATCH(AQ$17,データ!$R$2:$R$86,0)+AP33,AS$37-1)</f>
        <v>#N/A</v>
      </c>
      <c r="AT33" s="219">
        <v>15</v>
      </c>
      <c r="AU33" s="249" t="e">
        <f>INDEX(データ!$R$2:$T$86,MATCH(AU$17,データ!$R$2:$R$86,0)+AT33,AU$37-1)</f>
        <v>#N/A</v>
      </c>
      <c r="AV33" s="249" t="e">
        <f>INDEX(データ!$R$2:$T$86,MATCH(AU$17,データ!$R$2:$R$86,0)+AT33,AV$37-1)</f>
        <v>#N/A</v>
      </c>
      <c r="AW33" s="249" t="e">
        <f>INDEX(データ!$R$2:$T$86,MATCH(AU$17,データ!$R$2:$R$86,0)+AT33,AW$37-1)</f>
        <v>#N/A</v>
      </c>
      <c r="BH33" s="220"/>
      <c r="BI33" s="220"/>
      <c r="BJ33" s="220"/>
      <c r="BK33" s="220"/>
      <c r="BL33" s="227">
        <v>14</v>
      </c>
      <c r="BM33" s="220"/>
      <c r="BN33" s="220"/>
    </row>
    <row r="34" spans="1:66" ht="12.75" customHeight="1" x14ac:dyDescent="0.2">
      <c r="A34" s="257"/>
      <c r="B34" s="258"/>
      <c r="C34" s="259"/>
      <c r="D34" s="260"/>
      <c r="E34" s="261"/>
      <c r="F34" s="258"/>
      <c r="G34" s="259"/>
      <c r="H34" s="262"/>
      <c r="I34" s="257" t="e">
        <f t="shared" si="1"/>
        <v>#REF!</v>
      </c>
      <c r="J34" s="835" t="str">
        <f t="shared" si="7"/>
        <v/>
      </c>
      <c r="K34" s="787"/>
      <c r="L34" s="787"/>
      <c r="M34" s="787"/>
      <c r="N34" s="787"/>
      <c r="O34" s="787"/>
      <c r="P34" s="836"/>
      <c r="Q34" s="263"/>
      <c r="R34" s="257" t="str">
        <f t="shared" si="2"/>
        <v/>
      </c>
      <c r="S34" s="263" t="str">
        <f t="shared" si="3"/>
        <v/>
      </c>
      <c r="T34" s="263"/>
      <c r="U34" s="835" t="str">
        <f t="shared" si="4"/>
        <v/>
      </c>
      <c r="V34" s="787"/>
      <c r="W34" s="787"/>
      <c r="X34" s="787"/>
      <c r="Y34" s="836"/>
      <c r="Z34" s="262" t="e">
        <f t="shared" si="5"/>
        <v>#REF!</v>
      </c>
      <c r="AA34" s="257" t="str">
        <f t="shared" si="6"/>
        <v/>
      </c>
      <c r="AB34" s="257"/>
      <c r="AC34" s="259"/>
      <c r="AD34" s="258"/>
      <c r="AE34" s="262"/>
      <c r="AF34" s="257"/>
      <c r="AG34" s="259"/>
      <c r="AH34" s="262"/>
      <c r="AP34" s="219">
        <v>16</v>
      </c>
      <c r="AQ34" s="249" t="e">
        <f>INDEX(データ!$R$2:$T$86,MATCH(AQ$17,データ!$R$2:$R$86,0)+AP34,AQ$37-1)</f>
        <v>#N/A</v>
      </c>
      <c r="AR34" s="249" t="e">
        <f>INDEX(データ!$R$2:$T$86,MATCH(AQ$17,データ!$R$2:$R$86,0)+AP34,AR$37-1)</f>
        <v>#N/A</v>
      </c>
      <c r="AS34" s="249" t="e">
        <f>INDEX(データ!$R$2:$T$86,MATCH(AQ$17,データ!$R$2:$R$86,0)+AP34,AS$37-1)</f>
        <v>#N/A</v>
      </c>
      <c r="AT34" s="219">
        <v>16</v>
      </c>
      <c r="AU34" s="249" t="e">
        <f>INDEX(データ!$R$2:$T$86,MATCH(AU$17,データ!$R$2:$R$86,0)+AT34,AU$37-1)</f>
        <v>#N/A</v>
      </c>
      <c r="AV34" s="249" t="e">
        <f>INDEX(データ!$R$2:$T$86,MATCH(AU$17,データ!$R$2:$R$86,0)+AT34,AV$37-1)</f>
        <v>#N/A</v>
      </c>
      <c r="AW34" s="249" t="e">
        <f>INDEX(データ!$R$2:$T$86,MATCH(AU$17,データ!$R$2:$R$86,0)+AT34,AW$37-1)</f>
        <v>#N/A</v>
      </c>
      <c r="BH34" s="220"/>
      <c r="BI34" s="220"/>
      <c r="BJ34" s="220"/>
      <c r="BK34" s="220"/>
      <c r="BL34" s="227">
        <v>13</v>
      </c>
      <c r="BM34" s="220"/>
      <c r="BN34" s="220"/>
    </row>
    <row r="35" spans="1:66" ht="12.75" customHeight="1" x14ac:dyDescent="0.2">
      <c r="A35" s="257"/>
      <c r="B35" s="258"/>
      <c r="C35" s="259"/>
      <c r="D35" s="260"/>
      <c r="E35" s="261"/>
      <c r="F35" s="258"/>
      <c r="G35" s="259"/>
      <c r="H35" s="262" t="str">
        <f>IF(F35+G35=0,"",F35+G35)</f>
        <v/>
      </c>
      <c r="I35" s="257" t="e">
        <f t="shared" si="1"/>
        <v>#REF!</v>
      </c>
      <c r="J35" s="835" t="str">
        <f t="shared" si="7"/>
        <v/>
      </c>
      <c r="K35" s="787"/>
      <c r="L35" s="787"/>
      <c r="M35" s="787"/>
      <c r="N35" s="787"/>
      <c r="O35" s="787"/>
      <c r="P35" s="836"/>
      <c r="Q35" s="262"/>
      <c r="R35" s="257" t="str">
        <f t="shared" si="2"/>
        <v/>
      </c>
      <c r="S35" s="263" t="str">
        <f t="shared" si="3"/>
        <v/>
      </c>
      <c r="T35" s="262"/>
      <c r="U35" s="835" t="str">
        <f t="shared" si="4"/>
        <v/>
      </c>
      <c r="V35" s="787"/>
      <c r="W35" s="787"/>
      <c r="X35" s="787"/>
      <c r="Y35" s="836"/>
      <c r="Z35" s="262" t="e">
        <f t="shared" si="5"/>
        <v>#REF!</v>
      </c>
      <c r="AA35" s="257" t="str">
        <f t="shared" si="6"/>
        <v/>
      </c>
      <c r="AB35" s="257"/>
      <c r="AC35" s="259"/>
      <c r="AD35" s="258"/>
      <c r="AE35" s="262"/>
      <c r="AF35" s="257"/>
      <c r="AG35" s="259"/>
      <c r="AH35" s="262"/>
      <c r="AP35" s="219">
        <v>17</v>
      </c>
      <c r="AQ35" s="249" t="e">
        <f>INDEX(データ!$R$2:$T$86,MATCH(AQ$17,データ!$R$2:$R$86,0)+AP35,AQ$37-1)</f>
        <v>#N/A</v>
      </c>
      <c r="AR35" s="249" t="e">
        <f>INDEX(データ!$R$2:$T$86,MATCH(AQ$17,データ!$R$2:$R$86,0)+AP35,AR$37-1)</f>
        <v>#N/A</v>
      </c>
      <c r="AS35" s="249" t="e">
        <f>INDEX(データ!$R$2:$T$86,MATCH(AQ$17,データ!$R$2:$R$86,0)+AP35,AS$37-1)</f>
        <v>#N/A</v>
      </c>
      <c r="AT35" s="219">
        <v>17</v>
      </c>
      <c r="AU35" s="249" t="e">
        <f>INDEX(データ!$R$2:$T$86,MATCH(AU$17,データ!$R$2:$R$86,0)+AT35,AU$37-1)</f>
        <v>#N/A</v>
      </c>
      <c r="AV35" s="249" t="e">
        <f>INDEX(データ!$R$2:$T$86,MATCH(AU$17,データ!$R$2:$R$86,0)+AT35,AV$37-1)</f>
        <v>#N/A</v>
      </c>
      <c r="AW35" s="249" t="e">
        <f>INDEX(データ!$R$2:$T$86,MATCH(AU$17,データ!$R$2:$R$86,0)+AT35,AW$37-1)</f>
        <v>#N/A</v>
      </c>
      <c r="BH35" s="220"/>
      <c r="BI35" s="220"/>
      <c r="BJ35" s="220"/>
      <c r="BK35" s="220"/>
      <c r="BL35" s="227">
        <v>12</v>
      </c>
      <c r="BM35" s="220"/>
      <c r="BN35" s="220"/>
    </row>
    <row r="36" spans="1:66" ht="12.75" customHeight="1" x14ac:dyDescent="0.2">
      <c r="A36" s="247"/>
      <c r="B36" s="244"/>
      <c r="C36" s="245"/>
      <c r="D36" s="242"/>
      <c r="E36" s="243"/>
      <c r="F36" s="244"/>
      <c r="G36" s="245"/>
      <c r="H36" s="246" t="str">
        <f>IF(F36+G36=0,"",F36+G36)</f>
        <v/>
      </c>
      <c r="I36" s="247" t="e">
        <f t="shared" si="1"/>
        <v>#REF!</v>
      </c>
      <c r="J36" s="845" t="str">
        <f t="shared" si="7"/>
        <v/>
      </c>
      <c r="K36" s="846"/>
      <c r="L36" s="846"/>
      <c r="M36" s="846"/>
      <c r="N36" s="846"/>
      <c r="O36" s="846"/>
      <c r="P36" s="847"/>
      <c r="Q36" s="275"/>
      <c r="R36" s="247" t="str">
        <f t="shared" si="2"/>
        <v/>
      </c>
      <c r="S36" s="273" t="str">
        <f t="shared" si="3"/>
        <v/>
      </c>
      <c r="T36" s="275"/>
      <c r="U36" s="845" t="str">
        <f t="shared" si="4"/>
        <v/>
      </c>
      <c r="V36" s="846"/>
      <c r="W36" s="846"/>
      <c r="X36" s="846"/>
      <c r="Y36" s="847"/>
      <c r="Z36" s="246" t="e">
        <f t="shared" si="5"/>
        <v>#REF!</v>
      </c>
      <c r="AA36" s="247" t="str">
        <f t="shared" si="6"/>
        <v/>
      </c>
      <c r="AB36" s="247"/>
      <c r="AC36" s="245"/>
      <c r="AD36" s="244"/>
      <c r="AE36" s="246"/>
      <c r="AF36" s="247"/>
      <c r="AG36" s="245"/>
      <c r="AH36" s="246"/>
      <c r="AP36" s="219">
        <v>18</v>
      </c>
      <c r="AQ36" s="249" t="e">
        <f>INDEX(データ!$R$2:$T$86,MATCH(AQ$17,データ!$R$2:$R$86,0)+AP36,AQ$37-1)</f>
        <v>#N/A</v>
      </c>
      <c r="AR36" s="249" t="e">
        <f>INDEX(データ!$R$2:$T$86,MATCH(AQ$17,データ!$R$2:$R$86,0)+AP36,AR$37-1)</f>
        <v>#N/A</v>
      </c>
      <c r="AS36" s="249" t="e">
        <f>INDEX(データ!$R$2:$T$86,MATCH(AQ$17,データ!$R$2:$R$86,0)+AP36,AS$37-1)</f>
        <v>#N/A</v>
      </c>
      <c r="AT36" s="219">
        <v>18</v>
      </c>
      <c r="AU36" s="249" t="e">
        <f>INDEX(データ!$R$2:$T$86,MATCH(AU$17,データ!$R$2:$R$86,0)+AT36,AU$37-1)</f>
        <v>#N/A</v>
      </c>
      <c r="AV36" s="249" t="e">
        <f>INDEX(データ!$R$2:$T$86,MATCH(AU$17,データ!$R$2:$R$86,0)+AT36,AV$37-1)</f>
        <v>#N/A</v>
      </c>
      <c r="AW36" s="249" t="e">
        <f>INDEX(データ!$R$2:$T$86,MATCH(AU$17,データ!$R$2:$R$86,0)+AT36,AW$37-1)</f>
        <v>#N/A</v>
      </c>
      <c r="BH36" s="220"/>
      <c r="BI36" s="220"/>
      <c r="BJ36" s="220"/>
      <c r="BK36" s="220"/>
      <c r="BL36" s="227">
        <v>11</v>
      </c>
      <c r="BM36" s="220"/>
      <c r="BN36" s="220"/>
    </row>
    <row r="37" spans="1:66" ht="12.75" customHeight="1" x14ac:dyDescent="0.2">
      <c r="A37" s="859" t="s">
        <v>265</v>
      </c>
      <c r="B37" s="860"/>
      <c r="C37" s="852" t="s">
        <v>266</v>
      </c>
      <c r="D37" s="853"/>
      <c r="E37" s="853"/>
      <c r="F37" s="854"/>
      <c r="G37" s="817" t="s">
        <v>267</v>
      </c>
      <c r="H37" s="817"/>
      <c r="I37" s="861"/>
      <c r="J37" s="862"/>
      <c r="K37" s="863" t="s">
        <v>268</v>
      </c>
      <c r="L37" s="864"/>
      <c r="M37" s="864"/>
      <c r="N37" s="864"/>
      <c r="O37" s="864"/>
      <c r="P37" s="864"/>
      <c r="Q37" s="864"/>
      <c r="R37" s="865"/>
      <c r="S37" s="863" t="s">
        <v>268</v>
      </c>
      <c r="T37" s="864"/>
      <c r="U37" s="864"/>
      <c r="V37" s="864"/>
      <c r="W37" s="864"/>
      <c r="X37" s="865"/>
      <c r="Y37" s="848" t="s">
        <v>265</v>
      </c>
      <c r="Z37" s="849"/>
      <c r="AA37" s="852" t="s">
        <v>266</v>
      </c>
      <c r="AB37" s="853"/>
      <c r="AC37" s="853"/>
      <c r="AD37" s="854"/>
      <c r="AE37" s="817" t="s">
        <v>267</v>
      </c>
      <c r="AF37" s="817"/>
      <c r="AG37" s="817"/>
      <c r="AH37" s="823"/>
      <c r="AQ37" s="219">
        <v>2</v>
      </c>
      <c r="AR37" s="219">
        <v>3</v>
      </c>
      <c r="AS37" s="219">
        <v>4</v>
      </c>
      <c r="AU37" s="219">
        <v>2</v>
      </c>
      <c r="AV37" s="219">
        <v>3</v>
      </c>
      <c r="AW37" s="219">
        <v>4</v>
      </c>
      <c r="BH37" s="220"/>
      <c r="BI37" s="220"/>
      <c r="BJ37" s="220"/>
      <c r="BK37" s="220"/>
      <c r="BL37" s="227">
        <v>10</v>
      </c>
      <c r="BM37" s="220"/>
      <c r="BN37" s="220"/>
    </row>
    <row r="38" spans="1:66" ht="12.75" customHeight="1" x14ac:dyDescent="0.2">
      <c r="A38" s="868"/>
      <c r="B38" s="858"/>
      <c r="C38" s="276"/>
      <c r="D38" s="779" t="str">
        <f t="shared" ref="D38:D41" si="8">IF(C38="","",INDEX($J$19:$P$36,MATCH(C38,$Q$19:$Q$36,0),1))</f>
        <v/>
      </c>
      <c r="E38" s="779"/>
      <c r="F38" s="784"/>
      <c r="G38" s="277"/>
      <c r="H38" s="850" t="str">
        <f t="shared" ref="H38:H47" si="9">IF(G38="","",INDEX($J$19:$P$36,MATCH(G38,$Q$19:$Q$36,0),1))</f>
        <v/>
      </c>
      <c r="I38" s="850"/>
      <c r="J38" s="869"/>
      <c r="K38" s="828" t="e">
        <f>AS18</f>
        <v>#N/A</v>
      </c>
      <c r="L38" s="870"/>
      <c r="M38" s="870"/>
      <c r="N38" s="855"/>
      <c r="O38" s="855"/>
      <c r="P38" s="855"/>
      <c r="Q38" s="855"/>
      <c r="R38" s="856"/>
      <c r="S38" s="828" t="e">
        <f>AW18</f>
        <v>#N/A</v>
      </c>
      <c r="T38" s="855"/>
      <c r="U38" s="855"/>
      <c r="V38" s="855"/>
      <c r="W38" s="855"/>
      <c r="X38" s="856"/>
      <c r="Y38" s="857"/>
      <c r="Z38" s="858"/>
      <c r="AA38" s="276"/>
      <c r="AB38" s="850" t="str">
        <f t="shared" ref="AB38:AB39" si="10">IF(AA38="","",INDEX($U$19:$Y$36,MATCH(AA38,$T$19:$T$36,0),1))</f>
        <v/>
      </c>
      <c r="AC38" s="850"/>
      <c r="AD38" s="851"/>
      <c r="AE38" s="277"/>
      <c r="AF38" s="850" t="str">
        <f t="shared" ref="AF38:AF47" si="11">IF(AE38="","",INDEX($U$19:$Y$36,MATCH(AE38,$T$19:$T$36,0),1))</f>
        <v/>
      </c>
      <c r="AG38" s="850"/>
      <c r="AH38" s="851"/>
      <c r="AQ38" s="219" t="s">
        <v>256</v>
      </c>
      <c r="AR38" s="219" t="s">
        <v>257</v>
      </c>
      <c r="AS38" s="219" t="s">
        <v>269</v>
      </c>
      <c r="AU38" s="219" t="s">
        <v>256</v>
      </c>
      <c r="AV38" s="219" t="s">
        <v>257</v>
      </c>
      <c r="AW38" s="219" t="s">
        <v>269</v>
      </c>
      <c r="BH38" s="220"/>
      <c r="BI38" s="220"/>
      <c r="BJ38" s="220"/>
      <c r="BK38" s="220"/>
      <c r="BL38" s="227">
        <v>9</v>
      </c>
      <c r="BM38" s="220"/>
      <c r="BN38" s="220"/>
    </row>
    <row r="39" spans="1:66" ht="12.75" customHeight="1" x14ac:dyDescent="0.2">
      <c r="A39" s="871"/>
      <c r="B39" s="872"/>
      <c r="C39" s="258"/>
      <c r="D39" s="850" t="str">
        <f t="shared" si="8"/>
        <v/>
      </c>
      <c r="E39" s="850"/>
      <c r="F39" s="851"/>
      <c r="G39" s="260"/>
      <c r="H39" s="850" t="str">
        <f t="shared" si="9"/>
        <v/>
      </c>
      <c r="I39" s="850"/>
      <c r="J39" s="869"/>
      <c r="K39" s="876"/>
      <c r="L39" s="877"/>
      <c r="M39" s="880"/>
      <c r="N39" s="881"/>
      <c r="O39" s="866" t="s">
        <v>154</v>
      </c>
      <c r="P39" s="874" t="s">
        <v>153</v>
      </c>
      <c r="Q39" s="826" t="s">
        <v>270</v>
      </c>
      <c r="R39" s="830"/>
      <c r="S39" s="830"/>
      <c r="T39" s="827"/>
      <c r="U39" s="866" t="s">
        <v>153</v>
      </c>
      <c r="V39" s="874" t="s">
        <v>154</v>
      </c>
      <c r="W39" s="885"/>
      <c r="X39" s="887"/>
      <c r="Y39" s="873"/>
      <c r="Z39" s="872"/>
      <c r="AA39" s="258"/>
      <c r="AB39" s="790" t="str">
        <f t="shared" si="10"/>
        <v/>
      </c>
      <c r="AC39" s="790"/>
      <c r="AD39" s="791"/>
      <c r="AE39" s="260"/>
      <c r="AF39" s="790" t="str">
        <f t="shared" si="11"/>
        <v/>
      </c>
      <c r="AG39" s="790"/>
      <c r="AH39" s="791"/>
      <c r="BH39" s="220"/>
      <c r="BI39" s="220"/>
      <c r="BJ39" s="220"/>
      <c r="BK39" s="220"/>
      <c r="BL39" s="227">
        <v>8</v>
      </c>
      <c r="BM39" s="220"/>
      <c r="BN39" s="220"/>
    </row>
    <row r="40" spans="1:66" ht="12.75" customHeight="1" x14ac:dyDescent="0.2">
      <c r="A40" s="871"/>
      <c r="B40" s="872"/>
      <c r="C40" s="258"/>
      <c r="D40" s="850" t="str">
        <f t="shared" si="8"/>
        <v/>
      </c>
      <c r="E40" s="850"/>
      <c r="F40" s="851"/>
      <c r="G40" s="260"/>
      <c r="H40" s="850" t="str">
        <f t="shared" si="9"/>
        <v/>
      </c>
      <c r="I40" s="850"/>
      <c r="J40" s="869"/>
      <c r="K40" s="878"/>
      <c r="L40" s="879"/>
      <c r="M40" s="882"/>
      <c r="N40" s="883"/>
      <c r="O40" s="867"/>
      <c r="P40" s="875"/>
      <c r="Q40" s="828"/>
      <c r="R40" s="884"/>
      <c r="S40" s="884"/>
      <c r="T40" s="829"/>
      <c r="U40" s="867"/>
      <c r="V40" s="875"/>
      <c r="W40" s="886"/>
      <c r="X40" s="888"/>
      <c r="Y40" s="873"/>
      <c r="Z40" s="872"/>
      <c r="AA40" s="258"/>
      <c r="AB40" s="790" t="str">
        <f t="shared" ref="AB40:AB47" si="12">IF(AA40="","",INDEX($U$19:$Y$36,MATCH(AA40,$T$19:$T$36,0),1))</f>
        <v/>
      </c>
      <c r="AC40" s="790"/>
      <c r="AD40" s="791"/>
      <c r="AE40" s="260"/>
      <c r="AF40" s="790" t="str">
        <f t="shared" si="11"/>
        <v/>
      </c>
      <c r="AG40" s="790"/>
      <c r="AH40" s="791"/>
      <c r="BH40" s="220"/>
      <c r="BI40" s="220"/>
      <c r="BJ40" s="220"/>
      <c r="BK40" s="220"/>
      <c r="BL40" s="227">
        <v>7</v>
      </c>
      <c r="BM40" s="220"/>
      <c r="BN40" s="220"/>
    </row>
    <row r="41" spans="1:66" ht="12.75" customHeight="1" x14ac:dyDescent="0.2">
      <c r="A41" s="871"/>
      <c r="B41" s="872"/>
      <c r="C41" s="258"/>
      <c r="D41" s="850" t="str">
        <f t="shared" si="8"/>
        <v/>
      </c>
      <c r="E41" s="850"/>
      <c r="F41" s="851"/>
      <c r="G41" s="260"/>
      <c r="H41" s="850" t="str">
        <f t="shared" si="9"/>
        <v/>
      </c>
      <c r="I41" s="850"/>
      <c r="J41" s="869"/>
      <c r="K41" s="824" t="str">
        <f>IF(SUM(D19:D36)=0,"",SUM(D19:D36))</f>
        <v/>
      </c>
      <c r="L41" s="803"/>
      <c r="M41" s="801" t="str">
        <f>IF(SUM(E19:E36)=0,"",SUM(E19:E36))</f>
        <v/>
      </c>
      <c r="N41" s="893"/>
      <c r="O41" s="277"/>
      <c r="P41" s="278"/>
      <c r="Q41" s="279" t="str">
        <f>IF(SUM(K41:P41)=0,"",SUM(K41:P41))</f>
        <v/>
      </c>
      <c r="R41" s="894" t="s">
        <v>253</v>
      </c>
      <c r="S41" s="894"/>
      <c r="T41" s="280" t="str">
        <f>IF(SUM(U41:X41)=0,"",SUM(U41:X41))</f>
        <v/>
      </c>
      <c r="U41" s="277"/>
      <c r="V41" s="278"/>
      <c r="W41" s="251" t="str">
        <f>IF(SUM(AD19:AD36)=0,"",SUM(AD19:AD36))</f>
        <v/>
      </c>
      <c r="X41" s="252" t="str">
        <f>IF(SUM(AE19:AE36)=0,"",SUM(AE19:AE36))</f>
        <v/>
      </c>
      <c r="Y41" s="873"/>
      <c r="Z41" s="872"/>
      <c r="AA41" s="258"/>
      <c r="AB41" s="790" t="str">
        <f t="shared" si="12"/>
        <v/>
      </c>
      <c r="AC41" s="790"/>
      <c r="AD41" s="791"/>
      <c r="AE41" s="260"/>
      <c r="AF41" s="790" t="str">
        <f t="shared" si="11"/>
        <v/>
      </c>
      <c r="AG41" s="790"/>
      <c r="AH41" s="791"/>
      <c r="BH41" s="220"/>
      <c r="BI41" s="220"/>
      <c r="BJ41" s="220"/>
      <c r="BK41" s="220"/>
      <c r="BL41" s="227">
        <v>6</v>
      </c>
      <c r="BM41" s="220"/>
      <c r="BN41" s="220"/>
    </row>
    <row r="42" spans="1:66" ht="12.75" customHeight="1" x14ac:dyDescent="0.2">
      <c r="A42" s="871"/>
      <c r="B42" s="872"/>
      <c r="C42" s="258"/>
      <c r="D42" s="850" t="str">
        <f t="shared" ref="D42:D47" si="13">IF(C42="","",INDEX($J$19:$P$36,MATCH(C42,$Q$19:$Q$36,0),1))</f>
        <v/>
      </c>
      <c r="E42" s="850"/>
      <c r="F42" s="851"/>
      <c r="G42" s="260"/>
      <c r="H42" s="850" t="str">
        <f t="shared" si="9"/>
        <v/>
      </c>
      <c r="I42" s="850"/>
      <c r="J42" s="869"/>
      <c r="K42" s="889"/>
      <c r="L42" s="890"/>
      <c r="M42" s="872"/>
      <c r="N42" s="891"/>
      <c r="O42" s="260"/>
      <c r="P42" s="261"/>
      <c r="Q42" s="281" t="str">
        <f t="shared" ref="Q42:Q47" si="14">IF(O42+P42=0,"",O42+P42)</f>
        <v/>
      </c>
      <c r="R42" s="892" t="s">
        <v>271</v>
      </c>
      <c r="S42" s="892"/>
      <c r="T42" s="282" t="str">
        <f t="shared" ref="T42:T47" si="15">IF(U42+V42=0,"",U42+V42)</f>
        <v/>
      </c>
      <c r="U42" s="260"/>
      <c r="V42" s="261"/>
      <c r="W42" s="258"/>
      <c r="X42" s="259"/>
      <c r="Y42" s="873"/>
      <c r="Z42" s="872"/>
      <c r="AA42" s="258"/>
      <c r="AB42" s="790" t="str">
        <f t="shared" si="12"/>
        <v/>
      </c>
      <c r="AC42" s="790"/>
      <c r="AD42" s="791"/>
      <c r="AE42" s="260"/>
      <c r="AF42" s="790" t="str">
        <f t="shared" si="11"/>
        <v/>
      </c>
      <c r="AG42" s="790"/>
      <c r="AH42" s="791"/>
      <c r="BH42" s="220"/>
      <c r="BI42" s="220"/>
      <c r="BJ42" s="220"/>
      <c r="BK42" s="220"/>
      <c r="BL42" s="227">
        <v>5</v>
      </c>
      <c r="BM42" s="220"/>
      <c r="BN42" s="220"/>
    </row>
    <row r="43" spans="1:66" ht="12.75" customHeight="1" x14ac:dyDescent="0.2">
      <c r="A43" s="871" t="s">
        <v>204</v>
      </c>
      <c r="B43" s="872"/>
      <c r="C43" s="258"/>
      <c r="D43" s="850" t="str">
        <f t="shared" si="13"/>
        <v/>
      </c>
      <c r="E43" s="850"/>
      <c r="F43" s="851"/>
      <c r="G43" s="260"/>
      <c r="H43" s="850" t="str">
        <f t="shared" si="9"/>
        <v/>
      </c>
      <c r="I43" s="850"/>
      <c r="J43" s="869"/>
      <c r="K43" s="889"/>
      <c r="L43" s="890"/>
      <c r="M43" s="872"/>
      <c r="N43" s="891"/>
      <c r="O43" s="260"/>
      <c r="P43" s="261"/>
      <c r="Q43" s="281" t="str">
        <f t="shared" si="14"/>
        <v/>
      </c>
      <c r="R43" s="892" t="s">
        <v>272</v>
      </c>
      <c r="S43" s="892"/>
      <c r="T43" s="282" t="str">
        <f t="shared" si="15"/>
        <v/>
      </c>
      <c r="U43" s="260"/>
      <c r="V43" s="261"/>
      <c r="W43" s="258"/>
      <c r="X43" s="259"/>
      <c r="Y43" s="873"/>
      <c r="Z43" s="872"/>
      <c r="AA43" s="258"/>
      <c r="AB43" s="790" t="str">
        <f t="shared" si="12"/>
        <v/>
      </c>
      <c r="AC43" s="790"/>
      <c r="AD43" s="791"/>
      <c r="AE43" s="260"/>
      <c r="AF43" s="790" t="str">
        <f t="shared" si="11"/>
        <v/>
      </c>
      <c r="AG43" s="790"/>
      <c r="AH43" s="791"/>
      <c r="BH43" s="220"/>
      <c r="BI43" s="220"/>
      <c r="BJ43" s="220"/>
      <c r="BK43" s="220"/>
      <c r="BL43" s="227">
        <v>4</v>
      </c>
      <c r="BM43" s="220"/>
      <c r="BN43" s="220"/>
    </row>
    <row r="44" spans="1:66" ht="12.75" customHeight="1" x14ac:dyDescent="0.2">
      <c r="A44" s="871" t="s">
        <v>204</v>
      </c>
      <c r="B44" s="872"/>
      <c r="C44" s="258"/>
      <c r="D44" s="850" t="str">
        <f t="shared" si="13"/>
        <v/>
      </c>
      <c r="E44" s="850"/>
      <c r="F44" s="851"/>
      <c r="G44" s="260"/>
      <c r="H44" s="850" t="str">
        <f t="shared" si="9"/>
        <v/>
      </c>
      <c r="I44" s="850"/>
      <c r="J44" s="869"/>
      <c r="K44" s="889"/>
      <c r="L44" s="890"/>
      <c r="M44" s="872"/>
      <c r="N44" s="891"/>
      <c r="O44" s="260"/>
      <c r="P44" s="261"/>
      <c r="Q44" s="281" t="str">
        <f t="shared" si="14"/>
        <v/>
      </c>
      <c r="R44" s="892" t="s">
        <v>273</v>
      </c>
      <c r="S44" s="892"/>
      <c r="T44" s="282" t="str">
        <f t="shared" si="15"/>
        <v/>
      </c>
      <c r="U44" s="260"/>
      <c r="V44" s="261"/>
      <c r="W44" s="258"/>
      <c r="X44" s="259"/>
      <c r="Y44" s="873"/>
      <c r="Z44" s="872"/>
      <c r="AA44" s="258"/>
      <c r="AB44" s="790" t="str">
        <f t="shared" si="12"/>
        <v/>
      </c>
      <c r="AC44" s="790"/>
      <c r="AD44" s="791"/>
      <c r="AE44" s="260"/>
      <c r="AF44" s="790" t="str">
        <f t="shared" si="11"/>
        <v/>
      </c>
      <c r="AG44" s="790"/>
      <c r="AH44" s="791"/>
      <c r="BH44" s="220"/>
      <c r="BI44" s="220"/>
      <c r="BJ44" s="220"/>
      <c r="BK44" s="220"/>
      <c r="BL44" s="227">
        <v>3</v>
      </c>
      <c r="BM44" s="220"/>
      <c r="BN44" s="220"/>
    </row>
    <row r="45" spans="1:66" ht="12.75" customHeight="1" x14ac:dyDescent="0.2">
      <c r="A45" s="871" t="s">
        <v>204</v>
      </c>
      <c r="B45" s="872"/>
      <c r="C45" s="258"/>
      <c r="D45" s="850" t="str">
        <f t="shared" si="13"/>
        <v/>
      </c>
      <c r="E45" s="850"/>
      <c r="F45" s="851"/>
      <c r="G45" s="260"/>
      <c r="H45" s="850" t="str">
        <f t="shared" si="9"/>
        <v/>
      </c>
      <c r="I45" s="850"/>
      <c r="J45" s="869"/>
      <c r="K45" s="889"/>
      <c r="L45" s="890"/>
      <c r="M45" s="872"/>
      <c r="N45" s="891"/>
      <c r="O45" s="260"/>
      <c r="P45" s="261"/>
      <c r="Q45" s="281" t="str">
        <f t="shared" si="14"/>
        <v/>
      </c>
      <c r="R45" s="892" t="s">
        <v>274</v>
      </c>
      <c r="S45" s="892"/>
      <c r="T45" s="282" t="str">
        <f t="shared" si="15"/>
        <v/>
      </c>
      <c r="U45" s="260"/>
      <c r="V45" s="261"/>
      <c r="W45" s="258"/>
      <c r="X45" s="259"/>
      <c r="Y45" s="873"/>
      <c r="Z45" s="872"/>
      <c r="AA45" s="258"/>
      <c r="AB45" s="790" t="str">
        <f t="shared" si="12"/>
        <v/>
      </c>
      <c r="AC45" s="790"/>
      <c r="AD45" s="791"/>
      <c r="AE45" s="260"/>
      <c r="AF45" s="790" t="str">
        <f t="shared" si="11"/>
        <v/>
      </c>
      <c r="AG45" s="790"/>
      <c r="AH45" s="791"/>
      <c r="BH45" s="220"/>
      <c r="BI45" s="220"/>
      <c r="BJ45" s="220"/>
      <c r="BK45" s="220"/>
      <c r="BL45" s="227">
        <v>2</v>
      </c>
      <c r="BM45" s="220"/>
      <c r="BN45" s="220"/>
    </row>
    <row r="46" spans="1:66" ht="12.75" customHeight="1" x14ac:dyDescent="0.2">
      <c r="A46" s="871" t="s">
        <v>204</v>
      </c>
      <c r="B46" s="872"/>
      <c r="C46" s="258"/>
      <c r="D46" s="850" t="str">
        <f t="shared" si="13"/>
        <v/>
      </c>
      <c r="E46" s="850"/>
      <c r="F46" s="851"/>
      <c r="G46" s="260"/>
      <c r="H46" s="850" t="str">
        <f t="shared" si="9"/>
        <v/>
      </c>
      <c r="I46" s="850"/>
      <c r="J46" s="869"/>
      <c r="K46" s="889"/>
      <c r="L46" s="890"/>
      <c r="M46" s="872"/>
      <c r="N46" s="891"/>
      <c r="O46" s="260"/>
      <c r="P46" s="261"/>
      <c r="Q46" s="281" t="str">
        <f t="shared" si="14"/>
        <v/>
      </c>
      <c r="R46" s="892" t="s">
        <v>275</v>
      </c>
      <c r="S46" s="892"/>
      <c r="T46" s="282" t="str">
        <f t="shared" si="15"/>
        <v/>
      </c>
      <c r="U46" s="260"/>
      <c r="V46" s="261"/>
      <c r="W46" s="258"/>
      <c r="X46" s="259"/>
      <c r="Y46" s="873"/>
      <c r="Z46" s="872"/>
      <c r="AA46" s="258"/>
      <c r="AB46" s="790" t="str">
        <f t="shared" si="12"/>
        <v/>
      </c>
      <c r="AC46" s="790"/>
      <c r="AD46" s="791"/>
      <c r="AE46" s="260"/>
      <c r="AF46" s="790" t="str">
        <f t="shared" si="11"/>
        <v/>
      </c>
      <c r="AG46" s="790"/>
      <c r="AH46" s="791"/>
      <c r="BH46" s="220"/>
      <c r="BI46" s="220"/>
      <c r="BJ46" s="220"/>
      <c r="BK46" s="220"/>
      <c r="BL46" s="227">
        <v>1</v>
      </c>
      <c r="BM46" s="220"/>
      <c r="BN46" s="220"/>
    </row>
    <row r="47" spans="1:66" ht="12.75" customHeight="1" x14ac:dyDescent="0.2">
      <c r="A47" s="828"/>
      <c r="B47" s="895"/>
      <c r="C47" s="244"/>
      <c r="D47" s="896" t="str">
        <f t="shared" si="13"/>
        <v/>
      </c>
      <c r="E47" s="896"/>
      <c r="F47" s="897"/>
      <c r="G47" s="242"/>
      <c r="H47" s="850" t="str">
        <f t="shared" si="9"/>
        <v/>
      </c>
      <c r="I47" s="850"/>
      <c r="J47" s="869"/>
      <c r="K47" s="825"/>
      <c r="L47" s="898"/>
      <c r="M47" s="895"/>
      <c r="N47" s="899"/>
      <c r="O47" s="242"/>
      <c r="P47" s="243"/>
      <c r="Q47" s="283" t="str">
        <f t="shared" si="14"/>
        <v/>
      </c>
      <c r="R47" s="884" t="s">
        <v>276</v>
      </c>
      <c r="S47" s="884"/>
      <c r="T47" s="284" t="str">
        <f t="shared" si="15"/>
        <v/>
      </c>
      <c r="U47" s="242"/>
      <c r="V47" s="243"/>
      <c r="W47" s="244"/>
      <c r="X47" s="245"/>
      <c r="Y47" s="870"/>
      <c r="Z47" s="895"/>
      <c r="AA47" s="244"/>
      <c r="AB47" s="808" t="str">
        <f t="shared" si="12"/>
        <v/>
      </c>
      <c r="AC47" s="808"/>
      <c r="AD47" s="900"/>
      <c r="AE47" s="242"/>
      <c r="AF47" s="808" t="str">
        <f t="shared" si="11"/>
        <v/>
      </c>
      <c r="AG47" s="808"/>
      <c r="AH47" s="900"/>
      <c r="BH47" s="220"/>
      <c r="BI47" s="220"/>
      <c r="BJ47" s="220"/>
      <c r="BK47" s="220"/>
      <c r="BL47" s="227">
        <v>0</v>
      </c>
      <c r="BM47" s="220"/>
      <c r="BN47" s="220"/>
    </row>
    <row r="48" spans="1:66" ht="12.75" customHeight="1" x14ac:dyDescent="0.2">
      <c r="A48" s="904" t="s">
        <v>277</v>
      </c>
      <c r="B48" s="905"/>
      <c r="C48" s="906" t="s">
        <v>278</v>
      </c>
      <c r="D48" s="907"/>
      <c r="E48" s="908"/>
      <c r="F48" s="285" t="s">
        <v>279</v>
      </c>
      <c r="G48" s="909" t="s">
        <v>280</v>
      </c>
      <c r="H48" s="907"/>
      <c r="I48" s="907"/>
      <c r="J48" s="908"/>
      <c r="K48" s="906" t="s">
        <v>281</v>
      </c>
      <c r="L48" s="907"/>
      <c r="M48" s="907"/>
      <c r="N48" s="908"/>
      <c r="O48" s="906" t="s">
        <v>282</v>
      </c>
      <c r="P48" s="907"/>
      <c r="Q48" s="907"/>
      <c r="R48" s="907"/>
      <c r="S48" s="907"/>
      <c r="T48" s="907"/>
      <c r="U48" s="907"/>
      <c r="V48" s="907"/>
      <c r="W48" s="907"/>
      <c r="X48" s="907"/>
      <c r="Y48" s="907"/>
      <c r="Z48" s="907"/>
      <c r="AA48" s="907"/>
      <c r="AB48" s="907"/>
      <c r="AC48" s="907"/>
      <c r="AD48" s="907"/>
      <c r="AE48" s="907"/>
      <c r="AF48" s="907"/>
      <c r="AG48" s="907"/>
      <c r="AH48" s="908"/>
      <c r="BH48" s="220"/>
      <c r="BI48" s="220"/>
      <c r="BJ48" s="220"/>
      <c r="BK48" s="220"/>
      <c r="BL48" s="227">
        <v>-1</v>
      </c>
      <c r="BM48" s="220"/>
      <c r="BN48" s="220"/>
    </row>
    <row r="49" spans="1:66" ht="12.75" customHeight="1" x14ac:dyDescent="0.2">
      <c r="A49" s="889"/>
      <c r="B49" s="903"/>
      <c r="C49" s="839"/>
      <c r="D49" s="840"/>
      <c r="E49" s="841"/>
      <c r="F49" s="250"/>
      <c r="G49" s="901" t="str">
        <f>IF(C49="","",IF(F49="","オウンゴール",IF(C49=$A$10,INDEX($J$19:$P$36,MATCH(F49,$Q$19:$Q$36,0),1),INDEX($U$19:$Y$36,MATCH(F49,$T$19:$T$36,0),1))))</f>
        <v/>
      </c>
      <c r="H49" s="840"/>
      <c r="I49" s="840"/>
      <c r="J49" s="841"/>
      <c r="K49" s="286" t="str">
        <f>IF(C49="","",IF(C49=$A$10,1,0))</f>
        <v/>
      </c>
      <c r="L49" s="902" t="str">
        <f t="shared" ref="L49:L52" si="16">IF(C49="","","-")</f>
        <v/>
      </c>
      <c r="M49" s="902"/>
      <c r="N49" s="287" t="str">
        <f>IF(C49="","",IF(C49=$Z$10,1,0))</f>
        <v/>
      </c>
      <c r="O49" s="826"/>
      <c r="P49" s="830"/>
      <c r="Q49" s="830"/>
      <c r="R49" s="830"/>
      <c r="S49" s="830"/>
      <c r="T49" s="830"/>
      <c r="U49" s="830"/>
      <c r="V49" s="830"/>
      <c r="W49" s="830"/>
      <c r="X49" s="830"/>
      <c r="Y49" s="830"/>
      <c r="Z49" s="830"/>
      <c r="AA49" s="830"/>
      <c r="AB49" s="830"/>
      <c r="AC49" s="830"/>
      <c r="AD49" s="830"/>
      <c r="AE49" s="830"/>
      <c r="AF49" s="830"/>
      <c r="AG49" s="830"/>
      <c r="AH49" s="827"/>
      <c r="AI49" s="219" t="str">
        <f t="shared" ref="AI49:AI59" si="17">IF(C49="","",C49&amp;F49&amp;G49)</f>
        <v/>
      </c>
      <c r="BH49" s="220"/>
      <c r="BI49" s="220"/>
      <c r="BJ49" s="220"/>
      <c r="BK49" s="220"/>
      <c r="BL49" s="227">
        <v>-2</v>
      </c>
      <c r="BM49" s="220"/>
      <c r="BN49" s="220"/>
    </row>
    <row r="50" spans="1:66" ht="12.75" customHeight="1" x14ac:dyDescent="0.2">
      <c r="A50" s="889"/>
      <c r="B50" s="903"/>
      <c r="C50" s="835"/>
      <c r="D50" s="787"/>
      <c r="E50" s="836"/>
      <c r="F50" s="257"/>
      <c r="G50" s="786" t="str">
        <f t="shared" ref="G50:G59" si="18">IF(AND(C50="",F50="")=TRUE,"",IF(F50="","オウンゴール",IF(C50=$A$10,INDEX($J$19:$P$36,MATCH(F50,$Q$19:$Q$36,0),1),INDEX($U$19:$Y$36,MATCH(F50,$T$19:$T$36,0),1))))</f>
        <v/>
      </c>
      <c r="H50" s="787"/>
      <c r="I50" s="787"/>
      <c r="J50" s="836"/>
      <c r="K50" s="288" t="str">
        <f t="shared" ref="K50:K59" si="19">IF(C50="","",IF(C50=$A$10,K49+1,K49))</f>
        <v/>
      </c>
      <c r="L50" s="911" t="str">
        <f t="shared" si="16"/>
        <v/>
      </c>
      <c r="M50" s="911"/>
      <c r="N50" s="289" t="str">
        <f t="shared" ref="N50:N59" si="20">IF(C50="","",IF(C50=$Z$10,N49+1,N49))</f>
        <v/>
      </c>
      <c r="O50" s="871"/>
      <c r="P50" s="892"/>
      <c r="Q50" s="892"/>
      <c r="R50" s="892"/>
      <c r="S50" s="892"/>
      <c r="T50" s="892"/>
      <c r="U50" s="892"/>
      <c r="V50" s="892"/>
      <c r="W50" s="892"/>
      <c r="X50" s="892"/>
      <c r="Y50" s="892"/>
      <c r="Z50" s="892"/>
      <c r="AA50" s="892"/>
      <c r="AB50" s="892"/>
      <c r="AC50" s="892"/>
      <c r="AD50" s="892"/>
      <c r="AE50" s="892"/>
      <c r="AF50" s="892"/>
      <c r="AG50" s="892"/>
      <c r="AH50" s="910"/>
      <c r="AI50" s="219" t="str">
        <f t="shared" si="17"/>
        <v/>
      </c>
      <c r="BH50" s="220"/>
      <c r="BI50" s="220"/>
      <c r="BJ50" s="220"/>
      <c r="BK50" s="220"/>
      <c r="BL50" s="227">
        <v>-3</v>
      </c>
      <c r="BM50" s="220"/>
      <c r="BN50" s="220"/>
    </row>
    <row r="51" spans="1:66" ht="12.75" customHeight="1" x14ac:dyDescent="0.2">
      <c r="A51" s="889"/>
      <c r="B51" s="903"/>
      <c r="C51" s="835"/>
      <c r="D51" s="787"/>
      <c r="E51" s="836"/>
      <c r="F51" s="257"/>
      <c r="G51" s="786" t="str">
        <f t="shared" si="18"/>
        <v/>
      </c>
      <c r="H51" s="787"/>
      <c r="I51" s="787"/>
      <c r="J51" s="836"/>
      <c r="K51" s="288" t="str">
        <f t="shared" si="19"/>
        <v/>
      </c>
      <c r="L51" s="911" t="str">
        <f t="shared" si="16"/>
        <v/>
      </c>
      <c r="M51" s="911"/>
      <c r="N51" s="289" t="str">
        <f t="shared" si="20"/>
        <v/>
      </c>
      <c r="O51" s="871"/>
      <c r="P51" s="892"/>
      <c r="Q51" s="892"/>
      <c r="R51" s="892"/>
      <c r="S51" s="892"/>
      <c r="T51" s="892"/>
      <c r="U51" s="892"/>
      <c r="V51" s="892"/>
      <c r="W51" s="892"/>
      <c r="X51" s="892"/>
      <c r="Y51" s="892"/>
      <c r="Z51" s="892"/>
      <c r="AA51" s="892"/>
      <c r="AB51" s="892"/>
      <c r="AC51" s="892"/>
      <c r="AD51" s="892"/>
      <c r="AE51" s="892"/>
      <c r="AF51" s="892"/>
      <c r="AG51" s="892"/>
      <c r="AH51" s="910"/>
      <c r="AI51" s="219" t="str">
        <f t="shared" si="17"/>
        <v/>
      </c>
      <c r="BH51" s="220"/>
      <c r="BI51" s="220"/>
      <c r="BJ51" s="220"/>
      <c r="BK51" s="220"/>
      <c r="BL51" s="227">
        <v>-4</v>
      </c>
      <c r="BM51" s="220"/>
      <c r="BN51" s="220"/>
    </row>
    <row r="52" spans="1:66" ht="12.75" customHeight="1" x14ac:dyDescent="0.2">
      <c r="A52" s="889"/>
      <c r="B52" s="903"/>
      <c r="C52" s="835"/>
      <c r="D52" s="787"/>
      <c r="E52" s="836"/>
      <c r="F52" s="257"/>
      <c r="G52" s="786" t="str">
        <f t="shared" si="18"/>
        <v/>
      </c>
      <c r="H52" s="787"/>
      <c r="I52" s="787"/>
      <c r="J52" s="836"/>
      <c r="K52" s="288" t="str">
        <f t="shared" si="19"/>
        <v/>
      </c>
      <c r="L52" s="911" t="str">
        <f t="shared" si="16"/>
        <v/>
      </c>
      <c r="M52" s="911"/>
      <c r="N52" s="289" t="str">
        <f t="shared" si="20"/>
        <v/>
      </c>
      <c r="O52" s="871"/>
      <c r="P52" s="892"/>
      <c r="Q52" s="892"/>
      <c r="R52" s="892"/>
      <c r="S52" s="892"/>
      <c r="T52" s="892"/>
      <c r="U52" s="892"/>
      <c r="V52" s="892"/>
      <c r="W52" s="892"/>
      <c r="X52" s="892"/>
      <c r="Y52" s="892"/>
      <c r="Z52" s="892"/>
      <c r="AA52" s="892"/>
      <c r="AB52" s="892"/>
      <c r="AC52" s="892"/>
      <c r="AD52" s="892"/>
      <c r="AE52" s="892"/>
      <c r="AF52" s="892"/>
      <c r="AG52" s="892"/>
      <c r="AH52" s="910"/>
      <c r="AI52" s="219" t="str">
        <f t="shared" si="17"/>
        <v/>
      </c>
      <c r="BH52" s="220"/>
      <c r="BI52" s="220"/>
      <c r="BJ52" s="220"/>
      <c r="BK52" s="220"/>
      <c r="BL52" s="227">
        <v>-5</v>
      </c>
      <c r="BM52" s="220"/>
      <c r="BN52" s="220"/>
    </row>
    <row r="53" spans="1:66" ht="12.75" customHeight="1" x14ac:dyDescent="0.2">
      <c r="A53" s="889"/>
      <c r="B53" s="903"/>
      <c r="C53" s="835"/>
      <c r="D53" s="787"/>
      <c r="E53" s="836"/>
      <c r="F53" s="257"/>
      <c r="G53" s="786" t="str">
        <f t="shared" si="18"/>
        <v/>
      </c>
      <c r="H53" s="787"/>
      <c r="I53" s="787"/>
      <c r="J53" s="836"/>
      <c r="K53" s="288" t="str">
        <f t="shared" si="19"/>
        <v/>
      </c>
      <c r="L53" s="911" t="str">
        <f t="shared" ref="L53:L59" si="21">IF(C53="","","-")</f>
        <v/>
      </c>
      <c r="M53" s="911"/>
      <c r="N53" s="289" t="str">
        <f t="shared" si="20"/>
        <v/>
      </c>
      <c r="O53" s="871"/>
      <c r="P53" s="892"/>
      <c r="Q53" s="892"/>
      <c r="R53" s="892"/>
      <c r="S53" s="892"/>
      <c r="T53" s="892"/>
      <c r="U53" s="892"/>
      <c r="V53" s="892"/>
      <c r="W53" s="892"/>
      <c r="X53" s="892"/>
      <c r="Y53" s="892"/>
      <c r="Z53" s="892"/>
      <c r="AA53" s="892"/>
      <c r="AB53" s="892"/>
      <c r="AC53" s="892"/>
      <c r="AD53" s="892"/>
      <c r="AE53" s="892"/>
      <c r="AF53" s="892"/>
      <c r="AG53" s="892"/>
      <c r="AH53" s="910"/>
      <c r="AI53" s="219" t="str">
        <f t="shared" si="17"/>
        <v/>
      </c>
      <c r="BH53" s="220"/>
      <c r="BI53" s="220"/>
      <c r="BJ53" s="220"/>
      <c r="BK53" s="220"/>
      <c r="BL53" s="227">
        <v>-6</v>
      </c>
      <c r="BM53" s="220"/>
      <c r="BN53" s="220"/>
    </row>
    <row r="54" spans="1:66" ht="12.75" customHeight="1" x14ac:dyDescent="0.2">
      <c r="A54" s="889"/>
      <c r="B54" s="903"/>
      <c r="C54" s="835"/>
      <c r="D54" s="787"/>
      <c r="E54" s="836"/>
      <c r="F54" s="257"/>
      <c r="G54" s="786" t="str">
        <f t="shared" si="18"/>
        <v/>
      </c>
      <c r="H54" s="787"/>
      <c r="I54" s="787"/>
      <c r="J54" s="836"/>
      <c r="K54" s="288" t="str">
        <f t="shared" si="19"/>
        <v/>
      </c>
      <c r="L54" s="911" t="str">
        <f t="shared" si="21"/>
        <v/>
      </c>
      <c r="M54" s="911"/>
      <c r="N54" s="289" t="str">
        <f t="shared" si="20"/>
        <v/>
      </c>
      <c r="O54" s="871"/>
      <c r="P54" s="892"/>
      <c r="Q54" s="892"/>
      <c r="R54" s="892"/>
      <c r="S54" s="892"/>
      <c r="T54" s="892"/>
      <c r="U54" s="892"/>
      <c r="V54" s="892"/>
      <c r="W54" s="892"/>
      <c r="X54" s="892"/>
      <c r="Y54" s="892"/>
      <c r="Z54" s="892"/>
      <c r="AA54" s="892"/>
      <c r="AB54" s="892"/>
      <c r="AC54" s="892"/>
      <c r="AD54" s="892"/>
      <c r="AE54" s="892"/>
      <c r="AF54" s="892"/>
      <c r="AG54" s="892"/>
      <c r="AH54" s="910"/>
      <c r="AI54" s="219" t="str">
        <f t="shared" si="17"/>
        <v/>
      </c>
      <c r="BH54" s="220"/>
      <c r="BI54" s="220"/>
      <c r="BJ54" s="220"/>
      <c r="BK54" s="220"/>
      <c r="BL54" s="227">
        <v>-7</v>
      </c>
      <c r="BM54" s="220"/>
      <c r="BN54" s="220"/>
    </row>
    <row r="55" spans="1:66" ht="12.75" customHeight="1" x14ac:dyDescent="0.2">
      <c r="A55" s="889"/>
      <c r="B55" s="903"/>
      <c r="C55" s="835"/>
      <c r="D55" s="787"/>
      <c r="E55" s="836"/>
      <c r="F55" s="257"/>
      <c r="G55" s="786" t="str">
        <f t="shared" si="18"/>
        <v/>
      </c>
      <c r="H55" s="787"/>
      <c r="I55" s="787"/>
      <c r="J55" s="836"/>
      <c r="K55" s="288" t="str">
        <f t="shared" si="19"/>
        <v/>
      </c>
      <c r="L55" s="911" t="str">
        <f t="shared" si="21"/>
        <v/>
      </c>
      <c r="M55" s="911"/>
      <c r="N55" s="289" t="str">
        <f t="shared" si="20"/>
        <v/>
      </c>
      <c r="O55" s="871"/>
      <c r="P55" s="892"/>
      <c r="Q55" s="892"/>
      <c r="R55" s="892"/>
      <c r="S55" s="892"/>
      <c r="T55" s="892"/>
      <c r="U55" s="892"/>
      <c r="V55" s="892"/>
      <c r="W55" s="892"/>
      <c r="X55" s="892"/>
      <c r="Y55" s="892"/>
      <c r="Z55" s="892"/>
      <c r="AA55" s="892"/>
      <c r="AB55" s="892"/>
      <c r="AC55" s="892"/>
      <c r="AD55" s="892"/>
      <c r="AE55" s="892"/>
      <c r="AF55" s="892"/>
      <c r="AG55" s="892"/>
      <c r="AH55" s="910"/>
      <c r="AI55" s="219" t="str">
        <f t="shared" si="17"/>
        <v/>
      </c>
      <c r="BH55" s="220"/>
      <c r="BI55" s="220"/>
      <c r="BJ55" s="220"/>
      <c r="BK55" s="220"/>
      <c r="BL55" s="227">
        <v>-8</v>
      </c>
      <c r="BM55" s="220"/>
      <c r="BN55" s="220"/>
    </row>
    <row r="56" spans="1:66" ht="12.75" customHeight="1" x14ac:dyDescent="0.2">
      <c r="A56" s="889"/>
      <c r="B56" s="903"/>
      <c r="C56" s="835"/>
      <c r="D56" s="787"/>
      <c r="E56" s="836"/>
      <c r="F56" s="257"/>
      <c r="G56" s="786" t="str">
        <f t="shared" si="18"/>
        <v/>
      </c>
      <c r="H56" s="787"/>
      <c r="I56" s="787"/>
      <c r="J56" s="836"/>
      <c r="K56" s="288" t="str">
        <f t="shared" si="19"/>
        <v/>
      </c>
      <c r="L56" s="911" t="str">
        <f t="shared" si="21"/>
        <v/>
      </c>
      <c r="M56" s="911"/>
      <c r="N56" s="289" t="str">
        <f t="shared" si="20"/>
        <v/>
      </c>
      <c r="O56" s="871"/>
      <c r="P56" s="892"/>
      <c r="Q56" s="892"/>
      <c r="R56" s="892"/>
      <c r="S56" s="892"/>
      <c r="T56" s="892"/>
      <c r="U56" s="892"/>
      <c r="V56" s="892"/>
      <c r="W56" s="892"/>
      <c r="X56" s="892"/>
      <c r="Y56" s="892"/>
      <c r="Z56" s="892"/>
      <c r="AA56" s="892"/>
      <c r="AB56" s="892"/>
      <c r="AC56" s="892"/>
      <c r="AD56" s="892"/>
      <c r="AE56" s="892"/>
      <c r="AF56" s="892"/>
      <c r="AG56" s="892"/>
      <c r="AH56" s="910"/>
      <c r="AI56" s="219" t="str">
        <f t="shared" si="17"/>
        <v/>
      </c>
      <c r="BH56" s="220"/>
      <c r="BI56" s="220"/>
      <c r="BJ56" s="220"/>
      <c r="BK56" s="220"/>
      <c r="BL56" s="227">
        <v>-9</v>
      </c>
      <c r="BM56" s="220"/>
      <c r="BN56" s="220"/>
    </row>
    <row r="57" spans="1:66" ht="12.75" customHeight="1" x14ac:dyDescent="0.2">
      <c r="A57" s="889"/>
      <c r="B57" s="903"/>
      <c r="C57" s="835"/>
      <c r="D57" s="787"/>
      <c r="E57" s="836"/>
      <c r="F57" s="257"/>
      <c r="G57" s="786" t="str">
        <f t="shared" si="18"/>
        <v/>
      </c>
      <c r="H57" s="787"/>
      <c r="I57" s="787"/>
      <c r="J57" s="836"/>
      <c r="K57" s="288" t="str">
        <f t="shared" si="19"/>
        <v/>
      </c>
      <c r="L57" s="911" t="str">
        <f t="shared" si="21"/>
        <v/>
      </c>
      <c r="M57" s="911"/>
      <c r="N57" s="289" t="str">
        <f t="shared" si="20"/>
        <v/>
      </c>
      <c r="O57" s="871"/>
      <c r="P57" s="892"/>
      <c r="Q57" s="892"/>
      <c r="R57" s="892"/>
      <c r="S57" s="892"/>
      <c r="T57" s="892"/>
      <c r="U57" s="892"/>
      <c r="V57" s="892"/>
      <c r="W57" s="892"/>
      <c r="X57" s="892"/>
      <c r="Y57" s="892"/>
      <c r="Z57" s="892"/>
      <c r="AA57" s="892"/>
      <c r="AB57" s="892"/>
      <c r="AC57" s="892"/>
      <c r="AD57" s="892"/>
      <c r="AE57" s="892"/>
      <c r="AF57" s="892"/>
      <c r="AG57" s="892"/>
      <c r="AH57" s="910"/>
      <c r="AI57" s="219" t="str">
        <f t="shared" si="17"/>
        <v/>
      </c>
      <c r="BH57" s="220"/>
      <c r="BI57" s="220"/>
      <c r="BJ57" s="220"/>
      <c r="BK57" s="220"/>
      <c r="BL57" s="227">
        <v>-10</v>
      </c>
      <c r="BM57" s="220"/>
      <c r="BN57" s="220"/>
    </row>
    <row r="58" spans="1:66" ht="12.75" customHeight="1" x14ac:dyDescent="0.2">
      <c r="A58" s="889"/>
      <c r="B58" s="903"/>
      <c r="C58" s="835"/>
      <c r="D58" s="787"/>
      <c r="E58" s="836"/>
      <c r="F58" s="257"/>
      <c r="G58" s="786" t="str">
        <f t="shared" si="18"/>
        <v/>
      </c>
      <c r="H58" s="787"/>
      <c r="I58" s="787"/>
      <c r="J58" s="836"/>
      <c r="K58" s="288" t="str">
        <f t="shared" si="19"/>
        <v/>
      </c>
      <c r="L58" s="911" t="str">
        <f t="shared" si="21"/>
        <v/>
      </c>
      <c r="M58" s="911"/>
      <c r="N58" s="289" t="str">
        <f t="shared" si="20"/>
        <v/>
      </c>
      <c r="O58" s="871"/>
      <c r="P58" s="892"/>
      <c r="Q58" s="892"/>
      <c r="R58" s="892"/>
      <c r="S58" s="892"/>
      <c r="T58" s="892"/>
      <c r="U58" s="892"/>
      <c r="V58" s="892"/>
      <c r="W58" s="892"/>
      <c r="X58" s="892"/>
      <c r="Y58" s="892"/>
      <c r="Z58" s="892"/>
      <c r="AA58" s="892"/>
      <c r="AB58" s="892"/>
      <c r="AC58" s="892"/>
      <c r="AD58" s="892"/>
      <c r="AE58" s="892"/>
      <c r="AF58" s="892"/>
      <c r="AG58" s="892"/>
      <c r="AH58" s="910"/>
      <c r="AI58" s="219" t="str">
        <f t="shared" si="17"/>
        <v/>
      </c>
      <c r="BH58" s="220"/>
      <c r="BI58" s="220"/>
      <c r="BJ58" s="220"/>
      <c r="BK58" s="220"/>
      <c r="BL58" s="227">
        <v>-11</v>
      </c>
      <c r="BM58" s="220"/>
      <c r="BN58" s="220"/>
    </row>
    <row r="59" spans="1:66" ht="12.75" customHeight="1" x14ac:dyDescent="0.2">
      <c r="A59" s="825"/>
      <c r="B59" s="838"/>
      <c r="C59" s="845"/>
      <c r="D59" s="846"/>
      <c r="E59" s="847"/>
      <c r="F59" s="247"/>
      <c r="G59" s="912" t="str">
        <f t="shared" si="18"/>
        <v/>
      </c>
      <c r="H59" s="846"/>
      <c r="I59" s="846"/>
      <c r="J59" s="847"/>
      <c r="K59" s="290" t="str">
        <f t="shared" si="19"/>
        <v/>
      </c>
      <c r="L59" s="913" t="str">
        <f t="shared" si="21"/>
        <v/>
      </c>
      <c r="M59" s="913"/>
      <c r="N59" s="291" t="str">
        <f t="shared" si="20"/>
        <v/>
      </c>
      <c r="O59" s="828"/>
      <c r="P59" s="884"/>
      <c r="Q59" s="884"/>
      <c r="R59" s="884"/>
      <c r="S59" s="884"/>
      <c r="T59" s="884"/>
      <c r="U59" s="884"/>
      <c r="V59" s="884"/>
      <c r="W59" s="884"/>
      <c r="X59" s="884"/>
      <c r="Y59" s="884"/>
      <c r="Z59" s="884"/>
      <c r="AA59" s="884"/>
      <c r="AB59" s="884"/>
      <c r="AC59" s="884"/>
      <c r="AD59" s="884"/>
      <c r="AE59" s="884"/>
      <c r="AF59" s="884"/>
      <c r="AG59" s="884"/>
      <c r="AH59" s="829"/>
      <c r="AI59" s="219" t="str">
        <f t="shared" si="17"/>
        <v/>
      </c>
      <c r="BH59" s="220"/>
      <c r="BI59" s="220"/>
      <c r="BJ59" s="220"/>
      <c r="BK59" s="220"/>
      <c r="BL59" s="227">
        <v>-12</v>
      </c>
      <c r="BM59" s="220"/>
      <c r="BN59" s="220"/>
    </row>
    <row r="60" spans="1:66" ht="12.75" customHeight="1" x14ac:dyDescent="0.2">
      <c r="A60" s="906" t="s">
        <v>283</v>
      </c>
      <c r="B60" s="907"/>
      <c r="C60" s="907"/>
      <c r="D60" s="908"/>
      <c r="E60" s="906">
        <v>1</v>
      </c>
      <c r="F60" s="908"/>
      <c r="G60" s="906">
        <v>2</v>
      </c>
      <c r="H60" s="908"/>
      <c r="I60" s="906">
        <v>3</v>
      </c>
      <c r="J60" s="908"/>
      <c r="K60" s="906">
        <v>4</v>
      </c>
      <c r="L60" s="907"/>
      <c r="M60" s="907"/>
      <c r="N60" s="908"/>
      <c r="O60" s="906">
        <v>5</v>
      </c>
      <c r="P60" s="908"/>
      <c r="Q60" s="906">
        <v>6</v>
      </c>
      <c r="R60" s="908"/>
      <c r="S60" s="906">
        <v>7</v>
      </c>
      <c r="T60" s="908"/>
      <c r="U60" s="906">
        <v>8</v>
      </c>
      <c r="V60" s="908"/>
      <c r="W60" s="906">
        <v>9</v>
      </c>
      <c r="X60" s="908"/>
      <c r="Y60" s="906">
        <v>10</v>
      </c>
      <c r="Z60" s="908"/>
      <c r="AA60" s="906">
        <v>11</v>
      </c>
      <c r="AB60" s="908"/>
      <c r="AC60" s="906">
        <v>12</v>
      </c>
      <c r="AD60" s="908"/>
      <c r="AE60" s="906">
        <v>13</v>
      </c>
      <c r="AF60" s="908"/>
      <c r="AG60" s="906">
        <v>14</v>
      </c>
      <c r="AH60" s="908"/>
      <c r="BH60" s="220"/>
      <c r="BI60" s="220"/>
      <c r="BJ60" s="220"/>
      <c r="BK60" s="220"/>
      <c r="BL60" s="227">
        <v>-13</v>
      </c>
      <c r="BM60" s="220"/>
      <c r="BN60" s="220"/>
    </row>
    <row r="61" spans="1:66" ht="12.75" customHeight="1" x14ac:dyDescent="0.2">
      <c r="A61" s="926"/>
      <c r="B61" s="927"/>
      <c r="C61" s="928"/>
      <c r="D61" s="292"/>
      <c r="E61" s="293"/>
      <c r="F61" s="294"/>
      <c r="G61" s="293"/>
      <c r="H61" s="294"/>
      <c r="I61" s="293"/>
      <c r="J61" s="294"/>
      <c r="K61" s="929"/>
      <c r="L61" s="930"/>
      <c r="M61" s="931"/>
      <c r="N61" s="932"/>
      <c r="O61" s="293"/>
      <c r="P61" s="294"/>
      <c r="Q61" s="293"/>
      <c r="R61" s="294"/>
      <c r="S61" s="293"/>
      <c r="T61" s="294"/>
      <c r="U61" s="293"/>
      <c r="V61" s="294"/>
      <c r="W61" s="293"/>
      <c r="X61" s="294"/>
      <c r="Y61" s="293"/>
      <c r="Z61" s="294"/>
      <c r="AA61" s="293"/>
      <c r="AB61" s="294"/>
      <c r="AC61" s="295"/>
      <c r="AD61" s="295"/>
      <c r="AE61" s="293"/>
      <c r="AF61" s="294"/>
      <c r="AG61" s="293"/>
      <c r="AH61" s="294"/>
      <c r="BH61" s="220"/>
      <c r="BI61" s="220"/>
      <c r="BJ61" s="220"/>
      <c r="BK61" s="220"/>
      <c r="BL61" s="227">
        <v>-14</v>
      </c>
      <c r="BM61" s="220"/>
      <c r="BN61" s="220"/>
    </row>
    <row r="62" spans="1:66" ht="12.75" customHeight="1" x14ac:dyDescent="0.2">
      <c r="A62" s="933" t="str">
        <f>IF(A61="","",IF(A61=A10,Z10,A10))</f>
        <v/>
      </c>
      <c r="B62" s="934"/>
      <c r="C62" s="935"/>
      <c r="D62" s="296"/>
      <c r="E62" s="297"/>
      <c r="F62" s="298"/>
      <c r="G62" s="297"/>
      <c r="H62" s="298"/>
      <c r="I62" s="297"/>
      <c r="J62" s="298"/>
      <c r="K62" s="936"/>
      <c r="L62" s="937"/>
      <c r="M62" s="940"/>
      <c r="N62" s="941"/>
      <c r="O62" s="297"/>
      <c r="P62" s="298"/>
      <c r="Q62" s="297"/>
      <c r="R62" s="298"/>
      <c r="S62" s="297"/>
      <c r="T62" s="298"/>
      <c r="U62" s="297"/>
      <c r="V62" s="298"/>
      <c r="W62" s="297"/>
      <c r="X62" s="298"/>
      <c r="Y62" s="297"/>
      <c r="Z62" s="298"/>
      <c r="AA62" s="297"/>
      <c r="AB62" s="298"/>
      <c r="AC62" s="299"/>
      <c r="AD62" s="299"/>
      <c r="AE62" s="297"/>
      <c r="AF62" s="298"/>
      <c r="AG62" s="297"/>
      <c r="AH62" s="298"/>
      <c r="BH62" s="220"/>
      <c r="BI62" s="220"/>
      <c r="BJ62" s="220"/>
      <c r="BK62" s="220"/>
      <c r="BL62" s="227">
        <v>-15</v>
      </c>
      <c r="BM62" s="220"/>
      <c r="BN62" s="220"/>
    </row>
    <row r="63" spans="1:66" ht="12.75" customHeight="1" x14ac:dyDescent="0.2">
      <c r="A63" s="925" t="s">
        <v>284</v>
      </c>
      <c r="B63" s="925"/>
      <c r="C63" s="925"/>
      <c r="D63" s="300"/>
      <c r="E63" s="925"/>
      <c r="F63" s="938"/>
      <c r="G63" s="938"/>
      <c r="H63" s="938"/>
      <c r="I63" s="938"/>
      <c r="J63" s="938"/>
      <c r="K63" s="938"/>
      <c r="L63" s="938"/>
      <c r="M63" s="938"/>
      <c r="N63" s="938"/>
      <c r="O63" s="938"/>
      <c r="P63" s="938"/>
      <c r="Q63" s="938"/>
      <c r="R63" s="938"/>
      <c r="S63" s="938"/>
      <c r="T63" s="938"/>
      <c r="U63" s="938"/>
      <c r="V63" s="938"/>
      <c r="W63" s="938"/>
      <c r="X63" s="938"/>
      <c r="Y63" s="938"/>
      <c r="Z63" s="938"/>
      <c r="AA63" s="938"/>
      <c r="AB63" s="938"/>
      <c r="AC63" s="938"/>
      <c r="AD63" s="938"/>
      <c r="AE63" s="938"/>
      <c r="AF63" s="938"/>
      <c r="AG63" s="938"/>
      <c r="AH63" s="938"/>
      <c r="BH63" s="220"/>
      <c r="BI63" s="220"/>
      <c r="BJ63" s="220"/>
      <c r="BK63" s="220"/>
      <c r="BL63" s="227">
        <v>-16</v>
      </c>
      <c r="BM63" s="220"/>
      <c r="BN63" s="220"/>
    </row>
    <row r="64" spans="1:66" ht="12.75" customHeight="1" x14ac:dyDescent="0.2">
      <c r="A64" s="924" t="s">
        <v>285</v>
      </c>
      <c r="B64" s="924"/>
      <c r="C64" s="218"/>
      <c r="D64" s="218"/>
      <c r="E64" s="773"/>
      <c r="F64" s="773"/>
      <c r="G64" s="773"/>
      <c r="H64" s="773"/>
      <c r="I64" s="773"/>
      <c r="J64" s="773"/>
      <c r="K64" s="773"/>
      <c r="L64" s="773"/>
      <c r="M64" s="773"/>
      <c r="N64" s="773"/>
      <c r="O64" s="773"/>
      <c r="P64" s="773"/>
      <c r="Q64" s="773"/>
      <c r="R64" s="773"/>
      <c r="S64" s="773"/>
      <c r="T64" s="773"/>
      <c r="U64" s="773"/>
      <c r="V64" s="773"/>
      <c r="W64" s="773"/>
      <c r="X64" s="773"/>
      <c r="Y64" s="773"/>
      <c r="Z64" s="773"/>
      <c r="AA64" s="773"/>
      <c r="AB64" s="773"/>
      <c r="AC64" s="773"/>
      <c r="AD64" s="773"/>
      <c r="AE64" s="773"/>
      <c r="AF64" s="773"/>
      <c r="AG64" s="773"/>
      <c r="AH64" s="773"/>
      <c r="BH64" s="220"/>
      <c r="BI64" s="220"/>
      <c r="BJ64" s="220"/>
      <c r="BK64" s="220"/>
      <c r="BL64" s="227">
        <v>-17</v>
      </c>
      <c r="BM64" s="220"/>
      <c r="BN64" s="220"/>
    </row>
    <row r="65" spans="1:66" ht="12.75" customHeight="1" x14ac:dyDescent="0.2">
      <c r="A65" s="218"/>
      <c r="B65" s="218"/>
      <c r="C65" s="218"/>
      <c r="D65" s="218"/>
      <c r="E65" s="218"/>
      <c r="F65" s="218"/>
      <c r="G65" s="218"/>
      <c r="H65" s="218"/>
      <c r="I65" s="218"/>
      <c r="J65" s="218"/>
      <c r="K65" s="218"/>
      <c r="L65" s="218"/>
      <c r="M65" s="218"/>
      <c r="N65" s="218"/>
      <c r="O65" s="218"/>
      <c r="P65" s="218"/>
      <c r="Q65" s="218"/>
      <c r="R65" s="218"/>
      <c r="S65" s="218"/>
      <c r="T65" s="218"/>
      <c r="U65" s="218"/>
      <c r="V65" s="218"/>
      <c r="W65" s="218"/>
      <c r="X65" s="218"/>
      <c r="Y65" s="218"/>
      <c r="Z65" s="218"/>
      <c r="AA65" s="218"/>
      <c r="AB65" s="218"/>
      <c r="AC65" s="218"/>
      <c r="AD65" s="218"/>
      <c r="AE65" s="218"/>
      <c r="AF65" s="218"/>
      <c r="AG65" s="218"/>
      <c r="AH65" s="218"/>
      <c r="BH65" s="220"/>
      <c r="BI65" s="220"/>
      <c r="BJ65" s="220"/>
      <c r="BK65" s="220"/>
      <c r="BL65" s="227">
        <v>-18</v>
      </c>
      <c r="BM65" s="220"/>
      <c r="BN65" s="220"/>
    </row>
    <row r="66" spans="1:66" ht="12.75" customHeight="1" x14ac:dyDescent="0.2">
      <c r="A66" s="939" t="s">
        <v>286</v>
      </c>
      <c r="B66" s="939"/>
      <c r="C66" s="939"/>
      <c r="D66" s="939"/>
      <c r="E66" s="939"/>
      <c r="F66" s="939"/>
      <c r="G66" s="939"/>
      <c r="H66" s="939"/>
      <c r="I66" s="939"/>
      <c r="J66" s="939"/>
      <c r="K66" s="939"/>
      <c r="L66" s="939"/>
      <c r="M66" s="939"/>
      <c r="N66" s="939"/>
      <c r="O66" s="939"/>
      <c r="P66" s="939"/>
      <c r="Q66" s="939"/>
      <c r="R66" s="939"/>
      <c r="S66" s="939"/>
      <c r="T66" s="939"/>
      <c r="U66" s="939"/>
      <c r="V66" s="939"/>
      <c r="W66" s="939"/>
      <c r="X66" s="939"/>
      <c r="Y66" s="939"/>
      <c r="Z66" s="939"/>
      <c r="AA66" s="939"/>
      <c r="AB66" s="939"/>
      <c r="AC66" s="939"/>
      <c r="AD66" s="939"/>
      <c r="AE66" s="939"/>
      <c r="AF66" s="939"/>
      <c r="AG66" s="939"/>
      <c r="AH66" s="939"/>
      <c r="BH66" s="220"/>
      <c r="BI66" s="220"/>
      <c r="BJ66" s="220"/>
      <c r="BK66" s="220"/>
      <c r="BL66" s="227">
        <v>-19</v>
      </c>
      <c r="BM66" s="220"/>
      <c r="BN66" s="220"/>
    </row>
    <row r="67" spans="1:66" ht="12.75" customHeight="1" thickBot="1" x14ac:dyDescent="0.25">
      <c r="A67" s="939" t="s">
        <v>287</v>
      </c>
      <c r="B67" s="939"/>
      <c r="C67" s="939"/>
      <c r="D67" s="939"/>
      <c r="E67" s="939"/>
      <c r="F67" s="939"/>
      <c r="G67" s="939"/>
      <c r="H67" s="939"/>
      <c r="I67" s="939"/>
      <c r="J67" s="939"/>
      <c r="K67" s="939"/>
      <c r="L67" s="939"/>
      <c r="M67" s="939"/>
      <c r="N67" s="939"/>
      <c r="O67" s="939"/>
      <c r="P67" s="939"/>
      <c r="Q67" s="939"/>
      <c r="R67" s="939"/>
      <c r="S67" s="939"/>
      <c r="T67" s="939"/>
      <c r="U67" s="939"/>
      <c r="V67" s="939"/>
      <c r="W67" s="939"/>
      <c r="X67" s="939"/>
      <c r="Y67" s="939"/>
      <c r="Z67" s="939"/>
      <c r="AA67" s="939"/>
      <c r="AB67" s="939"/>
      <c r="AC67" s="939"/>
      <c r="AD67" s="939"/>
      <c r="AE67" s="939"/>
      <c r="AF67" s="939"/>
      <c r="AG67" s="939"/>
      <c r="AH67" s="939"/>
      <c r="BH67" s="220"/>
      <c r="BI67" s="220"/>
      <c r="BJ67" s="220"/>
      <c r="BK67" s="220"/>
      <c r="BL67" s="266">
        <v>-20</v>
      </c>
      <c r="BM67" s="220"/>
      <c r="BN67" s="220"/>
    </row>
    <row r="68" spans="1:66" ht="11.25" customHeight="1" thickTop="1" x14ac:dyDescent="0.2">
      <c r="A68" s="218"/>
      <c r="B68" s="218"/>
      <c r="C68" s="218"/>
      <c r="D68" s="218"/>
      <c r="E68" s="218"/>
      <c r="F68" s="218"/>
      <c r="G68" s="218"/>
      <c r="H68" s="218"/>
      <c r="I68" s="218"/>
      <c r="J68" s="218"/>
      <c r="K68" s="218"/>
      <c r="L68" s="218"/>
      <c r="M68" s="218"/>
      <c r="N68" s="218"/>
      <c r="O68" s="218"/>
      <c r="P68" s="218"/>
      <c r="Q68" s="218"/>
      <c r="R68" s="218"/>
      <c r="S68" s="218"/>
      <c r="T68" s="218"/>
      <c r="U68" s="301"/>
      <c r="V68" s="301"/>
      <c r="W68" s="301"/>
      <c r="X68" s="301"/>
      <c r="Y68" s="301"/>
      <c r="Z68" s="301"/>
      <c r="AA68" s="301"/>
      <c r="AB68" s="301"/>
      <c r="AC68" s="218"/>
      <c r="AD68" s="218"/>
      <c r="AE68" s="218"/>
      <c r="AF68" s="218"/>
      <c r="AG68" s="218"/>
      <c r="AH68" s="218"/>
    </row>
    <row r="69" spans="1:66" ht="11.25" hidden="1" customHeight="1" x14ac:dyDescent="0.2">
      <c r="A69" s="914" t="s">
        <v>288</v>
      </c>
      <c r="B69" s="914"/>
      <c r="C69" s="914"/>
      <c r="D69" s="218"/>
      <c r="E69" s="218"/>
      <c r="F69" s="218"/>
      <c r="G69" s="218"/>
      <c r="H69" s="218"/>
      <c r="I69" s="218"/>
      <c r="J69" s="218"/>
      <c r="K69" s="218"/>
      <c r="L69" s="218"/>
      <c r="M69" s="218"/>
      <c r="N69" s="218"/>
      <c r="O69" s="218"/>
      <c r="P69" s="218"/>
      <c r="Q69" s="218"/>
      <c r="R69" s="218"/>
      <c r="S69" s="218"/>
      <c r="T69" s="218"/>
      <c r="U69" s="218"/>
      <c r="V69" s="218"/>
      <c r="W69" s="218"/>
      <c r="X69" s="218"/>
      <c r="Y69" s="218"/>
      <c r="Z69" s="218"/>
      <c r="AA69" s="218"/>
      <c r="AB69" s="218"/>
      <c r="AC69" s="218"/>
      <c r="AD69" s="218"/>
      <c r="AE69" s="218"/>
      <c r="AF69" s="218"/>
      <c r="AG69" s="218"/>
      <c r="AH69" s="218"/>
    </row>
    <row r="70" spans="1:66" ht="11.25" hidden="1" customHeight="1" x14ac:dyDescent="0.2">
      <c r="A70" s="915"/>
      <c r="B70" s="916"/>
      <c r="C70" s="916"/>
      <c r="D70" s="916"/>
      <c r="E70" s="916"/>
      <c r="F70" s="916"/>
      <c r="G70" s="916"/>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7"/>
    </row>
    <row r="71" spans="1:66" ht="11.25" hidden="1" customHeight="1" x14ac:dyDescent="0.2">
      <c r="A71" s="918"/>
      <c r="B71" s="919"/>
      <c r="C71" s="919"/>
      <c r="D71" s="919"/>
      <c r="E71" s="919"/>
      <c r="F71" s="919"/>
      <c r="G71" s="919"/>
      <c r="H71" s="919"/>
      <c r="I71" s="919"/>
      <c r="J71" s="919"/>
      <c r="K71" s="919"/>
      <c r="L71" s="919"/>
      <c r="M71" s="919"/>
      <c r="N71" s="919"/>
      <c r="O71" s="919"/>
      <c r="P71" s="919"/>
      <c r="Q71" s="919"/>
      <c r="R71" s="919"/>
      <c r="S71" s="919"/>
      <c r="T71" s="919"/>
      <c r="U71" s="919"/>
      <c r="V71" s="919"/>
      <c r="W71" s="919"/>
      <c r="X71" s="919"/>
      <c r="Y71" s="919"/>
      <c r="Z71" s="919"/>
      <c r="AA71" s="919"/>
      <c r="AB71" s="919"/>
      <c r="AC71" s="919"/>
      <c r="AD71" s="919"/>
      <c r="AE71" s="919"/>
      <c r="AF71" s="919"/>
      <c r="AG71" s="919"/>
      <c r="AH71" s="920"/>
    </row>
    <row r="72" spans="1:66" ht="11.25" hidden="1" customHeight="1" x14ac:dyDescent="0.2">
      <c r="A72" s="918"/>
      <c r="B72" s="919"/>
      <c r="C72" s="919"/>
      <c r="D72" s="919"/>
      <c r="E72" s="919"/>
      <c r="F72" s="919"/>
      <c r="G72" s="919"/>
      <c r="H72" s="919"/>
      <c r="I72" s="919"/>
      <c r="J72" s="919"/>
      <c r="K72" s="919"/>
      <c r="L72" s="919"/>
      <c r="M72" s="919"/>
      <c r="N72" s="919"/>
      <c r="O72" s="919"/>
      <c r="P72" s="919"/>
      <c r="Q72" s="919"/>
      <c r="R72" s="919"/>
      <c r="S72" s="919"/>
      <c r="T72" s="919"/>
      <c r="U72" s="919"/>
      <c r="V72" s="919"/>
      <c r="W72" s="919"/>
      <c r="X72" s="919"/>
      <c r="Y72" s="919"/>
      <c r="Z72" s="919"/>
      <c r="AA72" s="919"/>
      <c r="AB72" s="919"/>
      <c r="AC72" s="919"/>
      <c r="AD72" s="919"/>
      <c r="AE72" s="919"/>
      <c r="AF72" s="919"/>
      <c r="AG72" s="919"/>
      <c r="AH72" s="920"/>
    </row>
    <row r="73" spans="1:66" ht="11.25" hidden="1" customHeight="1" x14ac:dyDescent="0.2">
      <c r="A73" s="918"/>
      <c r="B73" s="919"/>
      <c r="C73" s="919"/>
      <c r="D73" s="919"/>
      <c r="E73" s="919"/>
      <c r="F73" s="919"/>
      <c r="G73" s="919"/>
      <c r="H73" s="919"/>
      <c r="I73" s="919"/>
      <c r="J73" s="919"/>
      <c r="K73" s="919"/>
      <c r="L73" s="919"/>
      <c r="M73" s="919"/>
      <c r="N73" s="919"/>
      <c r="O73" s="919"/>
      <c r="P73" s="919"/>
      <c r="Q73" s="919"/>
      <c r="R73" s="919"/>
      <c r="S73" s="919"/>
      <c r="T73" s="919"/>
      <c r="U73" s="919"/>
      <c r="V73" s="919"/>
      <c r="W73" s="919"/>
      <c r="X73" s="919"/>
      <c r="Y73" s="919"/>
      <c r="Z73" s="919"/>
      <c r="AA73" s="919"/>
      <c r="AB73" s="919"/>
      <c r="AC73" s="919"/>
      <c r="AD73" s="919"/>
      <c r="AE73" s="919"/>
      <c r="AF73" s="919"/>
      <c r="AG73" s="919"/>
      <c r="AH73" s="920"/>
    </row>
    <row r="74" spans="1:66" ht="11.25" hidden="1" customHeight="1" x14ac:dyDescent="0.2">
      <c r="A74" s="918"/>
      <c r="B74" s="919"/>
      <c r="C74" s="919"/>
      <c r="D74" s="919"/>
      <c r="E74" s="919"/>
      <c r="F74" s="919"/>
      <c r="G74" s="919"/>
      <c r="H74" s="919"/>
      <c r="I74" s="919"/>
      <c r="J74" s="919"/>
      <c r="K74" s="919"/>
      <c r="L74" s="919"/>
      <c r="M74" s="919"/>
      <c r="N74" s="919"/>
      <c r="O74" s="919"/>
      <c r="P74" s="919"/>
      <c r="Q74" s="919"/>
      <c r="R74" s="919"/>
      <c r="S74" s="919"/>
      <c r="T74" s="919"/>
      <c r="U74" s="919"/>
      <c r="V74" s="919"/>
      <c r="W74" s="919"/>
      <c r="X74" s="919"/>
      <c r="Y74" s="919"/>
      <c r="Z74" s="919"/>
      <c r="AA74" s="919"/>
      <c r="AB74" s="919"/>
      <c r="AC74" s="919"/>
      <c r="AD74" s="919"/>
      <c r="AE74" s="919"/>
      <c r="AF74" s="919"/>
      <c r="AG74" s="919"/>
      <c r="AH74" s="920"/>
    </row>
    <row r="75" spans="1:66" ht="11.25" hidden="1" customHeight="1" x14ac:dyDescent="0.2">
      <c r="A75" s="918"/>
      <c r="B75" s="919"/>
      <c r="C75" s="919"/>
      <c r="D75" s="919"/>
      <c r="E75" s="919"/>
      <c r="F75" s="919"/>
      <c r="G75" s="919"/>
      <c r="H75" s="919"/>
      <c r="I75" s="919"/>
      <c r="J75" s="919"/>
      <c r="K75" s="919"/>
      <c r="L75" s="919"/>
      <c r="M75" s="919"/>
      <c r="N75" s="919"/>
      <c r="O75" s="919"/>
      <c r="P75" s="919"/>
      <c r="Q75" s="919"/>
      <c r="R75" s="919"/>
      <c r="S75" s="919"/>
      <c r="T75" s="919"/>
      <c r="U75" s="919"/>
      <c r="V75" s="919"/>
      <c r="W75" s="919"/>
      <c r="X75" s="919"/>
      <c r="Y75" s="919"/>
      <c r="Z75" s="919"/>
      <c r="AA75" s="919"/>
      <c r="AB75" s="919"/>
      <c r="AC75" s="919"/>
      <c r="AD75" s="919"/>
      <c r="AE75" s="919"/>
      <c r="AF75" s="919"/>
      <c r="AG75" s="919"/>
      <c r="AH75" s="920"/>
    </row>
    <row r="76" spans="1:66" ht="11.25" hidden="1" customHeight="1" x14ac:dyDescent="0.2">
      <c r="A76" s="918"/>
      <c r="B76" s="919"/>
      <c r="C76" s="919"/>
      <c r="D76" s="919"/>
      <c r="E76" s="919"/>
      <c r="F76" s="919"/>
      <c r="G76" s="919"/>
      <c r="H76" s="919"/>
      <c r="I76" s="919"/>
      <c r="J76" s="919"/>
      <c r="K76" s="919"/>
      <c r="L76" s="919"/>
      <c r="M76" s="919"/>
      <c r="N76" s="919"/>
      <c r="O76" s="919"/>
      <c r="P76" s="919"/>
      <c r="Q76" s="919"/>
      <c r="R76" s="919"/>
      <c r="S76" s="919"/>
      <c r="T76" s="919"/>
      <c r="U76" s="919"/>
      <c r="V76" s="919"/>
      <c r="W76" s="919"/>
      <c r="X76" s="919"/>
      <c r="Y76" s="919"/>
      <c r="Z76" s="919"/>
      <c r="AA76" s="919"/>
      <c r="AB76" s="919"/>
      <c r="AC76" s="919"/>
      <c r="AD76" s="919"/>
      <c r="AE76" s="919"/>
      <c r="AF76" s="919"/>
      <c r="AG76" s="919"/>
      <c r="AH76" s="920"/>
    </row>
    <row r="77" spans="1:66" ht="11.25" hidden="1" customHeight="1" x14ac:dyDescent="0.2">
      <c r="A77" s="918"/>
      <c r="B77" s="919"/>
      <c r="C77" s="919"/>
      <c r="D77" s="919"/>
      <c r="E77" s="919"/>
      <c r="F77" s="919"/>
      <c r="G77" s="919"/>
      <c r="H77" s="919"/>
      <c r="I77" s="919"/>
      <c r="J77" s="919"/>
      <c r="K77" s="919"/>
      <c r="L77" s="919"/>
      <c r="M77" s="919"/>
      <c r="N77" s="919"/>
      <c r="O77" s="919"/>
      <c r="P77" s="919"/>
      <c r="Q77" s="919"/>
      <c r="R77" s="919"/>
      <c r="S77" s="919"/>
      <c r="T77" s="919"/>
      <c r="U77" s="919"/>
      <c r="V77" s="919"/>
      <c r="W77" s="919"/>
      <c r="X77" s="919"/>
      <c r="Y77" s="919"/>
      <c r="Z77" s="919"/>
      <c r="AA77" s="919"/>
      <c r="AB77" s="919"/>
      <c r="AC77" s="919"/>
      <c r="AD77" s="919"/>
      <c r="AE77" s="919"/>
      <c r="AF77" s="919"/>
      <c r="AG77" s="919"/>
      <c r="AH77" s="920"/>
    </row>
    <row r="78" spans="1:66" ht="11.25" hidden="1" customHeight="1" x14ac:dyDescent="0.2">
      <c r="A78" s="918"/>
      <c r="B78" s="919"/>
      <c r="C78" s="919"/>
      <c r="D78" s="919"/>
      <c r="E78" s="919"/>
      <c r="F78" s="919"/>
      <c r="G78" s="919"/>
      <c r="H78" s="919"/>
      <c r="I78" s="919"/>
      <c r="J78" s="919"/>
      <c r="K78" s="919"/>
      <c r="L78" s="919"/>
      <c r="M78" s="919"/>
      <c r="N78" s="919"/>
      <c r="O78" s="919"/>
      <c r="P78" s="919"/>
      <c r="Q78" s="919"/>
      <c r="R78" s="919"/>
      <c r="S78" s="919"/>
      <c r="T78" s="919"/>
      <c r="U78" s="919"/>
      <c r="V78" s="919"/>
      <c r="W78" s="919"/>
      <c r="X78" s="919"/>
      <c r="Y78" s="919"/>
      <c r="Z78" s="919"/>
      <c r="AA78" s="919"/>
      <c r="AB78" s="919"/>
      <c r="AC78" s="919"/>
      <c r="AD78" s="919"/>
      <c r="AE78" s="919"/>
      <c r="AF78" s="919"/>
      <c r="AG78" s="919"/>
      <c r="AH78" s="920"/>
    </row>
    <row r="79" spans="1:66" ht="11.25" hidden="1" customHeight="1" x14ac:dyDescent="0.2">
      <c r="A79" s="918"/>
      <c r="B79" s="919"/>
      <c r="C79" s="919"/>
      <c r="D79" s="919"/>
      <c r="E79" s="919"/>
      <c r="F79" s="919"/>
      <c r="G79" s="919"/>
      <c r="H79" s="919"/>
      <c r="I79" s="919"/>
      <c r="J79" s="919"/>
      <c r="K79" s="919"/>
      <c r="L79" s="919"/>
      <c r="M79" s="919"/>
      <c r="N79" s="919"/>
      <c r="O79" s="919"/>
      <c r="P79" s="919"/>
      <c r="Q79" s="919"/>
      <c r="R79" s="919"/>
      <c r="S79" s="919"/>
      <c r="T79" s="919"/>
      <c r="U79" s="919"/>
      <c r="V79" s="919"/>
      <c r="W79" s="919"/>
      <c r="X79" s="919"/>
      <c r="Y79" s="919"/>
      <c r="Z79" s="919"/>
      <c r="AA79" s="919"/>
      <c r="AB79" s="919"/>
      <c r="AC79" s="919"/>
      <c r="AD79" s="919"/>
      <c r="AE79" s="919"/>
      <c r="AF79" s="919"/>
      <c r="AG79" s="919"/>
      <c r="AH79" s="920"/>
    </row>
    <row r="80" spans="1:66" ht="11.25" hidden="1" customHeight="1" x14ac:dyDescent="0.2">
      <c r="A80" s="918"/>
      <c r="B80" s="919"/>
      <c r="C80" s="919"/>
      <c r="D80" s="919"/>
      <c r="E80" s="919"/>
      <c r="F80" s="919"/>
      <c r="G80" s="919"/>
      <c r="H80" s="919"/>
      <c r="I80" s="919"/>
      <c r="J80" s="919"/>
      <c r="K80" s="919"/>
      <c r="L80" s="919"/>
      <c r="M80" s="919"/>
      <c r="N80" s="919"/>
      <c r="O80" s="919"/>
      <c r="P80" s="919"/>
      <c r="Q80" s="919"/>
      <c r="R80" s="919"/>
      <c r="S80" s="919"/>
      <c r="T80" s="919"/>
      <c r="U80" s="919"/>
      <c r="V80" s="919"/>
      <c r="W80" s="919"/>
      <c r="X80" s="919"/>
      <c r="Y80" s="919"/>
      <c r="Z80" s="919"/>
      <c r="AA80" s="919"/>
      <c r="AB80" s="919"/>
      <c r="AC80" s="919"/>
      <c r="AD80" s="919"/>
      <c r="AE80" s="919"/>
      <c r="AF80" s="919"/>
      <c r="AG80" s="919"/>
      <c r="AH80" s="920"/>
    </row>
    <row r="81" spans="1:34" ht="11.25" hidden="1" customHeight="1" x14ac:dyDescent="0.2">
      <c r="A81" s="921"/>
      <c r="B81" s="922"/>
      <c r="C81" s="922"/>
      <c r="D81" s="922"/>
      <c r="E81" s="922"/>
      <c r="F81" s="922"/>
      <c r="G81" s="922"/>
      <c r="H81" s="922"/>
      <c r="I81" s="922"/>
      <c r="J81" s="922"/>
      <c r="K81" s="922"/>
      <c r="L81" s="922"/>
      <c r="M81" s="922"/>
      <c r="N81" s="922"/>
      <c r="O81" s="922"/>
      <c r="P81" s="922"/>
      <c r="Q81" s="922"/>
      <c r="R81" s="922"/>
      <c r="S81" s="922"/>
      <c r="T81" s="922"/>
      <c r="U81" s="922"/>
      <c r="V81" s="922"/>
      <c r="W81" s="922"/>
      <c r="X81" s="922"/>
      <c r="Y81" s="922"/>
      <c r="Z81" s="922"/>
      <c r="AA81" s="922"/>
      <c r="AB81" s="922"/>
      <c r="AC81" s="922"/>
      <c r="AD81" s="922"/>
      <c r="AE81" s="922"/>
      <c r="AF81" s="922"/>
      <c r="AG81" s="922"/>
      <c r="AH81" s="923"/>
    </row>
    <row r="82" spans="1:34" hidden="1" x14ac:dyDescent="0.2"/>
  </sheetData>
  <mergeCells count="413">
    <mergeCell ref="A13:I13"/>
    <mergeCell ref="Z13:AH13"/>
    <mergeCell ref="AA14:AB14"/>
    <mergeCell ref="A11:I12"/>
    <mergeCell ref="Z11:AH12"/>
    <mergeCell ref="Q14:T14"/>
    <mergeCell ref="U14:V14"/>
    <mergeCell ref="W9:Y15"/>
    <mergeCell ref="AA15:AB15"/>
    <mergeCell ref="O14:P14"/>
    <mergeCell ref="O15:P15"/>
    <mergeCell ref="G15:H15"/>
    <mergeCell ref="Q15:T15"/>
    <mergeCell ref="U15:V15"/>
    <mergeCell ref="U12:V12"/>
    <mergeCell ref="J9:N15"/>
    <mergeCell ref="O9:P9"/>
    <mergeCell ref="Q9:T9"/>
    <mergeCell ref="U9:V9"/>
    <mergeCell ref="O13:P13"/>
    <mergeCell ref="Q13:T13"/>
    <mergeCell ref="U13:V13"/>
    <mergeCell ref="O11:P11"/>
    <mergeCell ref="Q11:T11"/>
    <mergeCell ref="A69:C69"/>
    <mergeCell ref="A70:AH81"/>
    <mergeCell ref="A64:B64"/>
    <mergeCell ref="A63:C63"/>
    <mergeCell ref="AG60:AH60"/>
    <mergeCell ref="A61:C61"/>
    <mergeCell ref="K61:L61"/>
    <mergeCell ref="M61:N61"/>
    <mergeCell ref="A62:C62"/>
    <mergeCell ref="K62:L62"/>
    <mergeCell ref="AC60:AD60"/>
    <mergeCell ref="AE60:AF60"/>
    <mergeCell ref="E63:AH63"/>
    <mergeCell ref="A66:AH66"/>
    <mergeCell ref="A67:AH67"/>
    <mergeCell ref="M62:N62"/>
    <mergeCell ref="U60:V60"/>
    <mergeCell ref="W60:X60"/>
    <mergeCell ref="Y60:Z60"/>
    <mergeCell ref="AA60:AB60"/>
    <mergeCell ref="E64:AH64"/>
    <mergeCell ref="AE59:AF59"/>
    <mergeCell ref="AG59:AH59"/>
    <mergeCell ref="A60:D60"/>
    <mergeCell ref="E60:F60"/>
    <mergeCell ref="G60:H60"/>
    <mergeCell ref="I60:J60"/>
    <mergeCell ref="K60:N60"/>
    <mergeCell ref="O60:P60"/>
    <mergeCell ref="Q60:R60"/>
    <mergeCell ref="S60:T60"/>
    <mergeCell ref="S59:T59"/>
    <mergeCell ref="U59:V59"/>
    <mergeCell ref="W59:X59"/>
    <mergeCell ref="Y59:Z59"/>
    <mergeCell ref="AA59:AB59"/>
    <mergeCell ref="AC59:AD59"/>
    <mergeCell ref="A59:B59"/>
    <mergeCell ref="C59:E59"/>
    <mergeCell ref="G59:J59"/>
    <mergeCell ref="L59:M59"/>
    <mergeCell ref="O59:P59"/>
    <mergeCell ref="Q59:R59"/>
    <mergeCell ref="W58:X58"/>
    <mergeCell ref="Y58:Z58"/>
    <mergeCell ref="AA58:AB58"/>
    <mergeCell ref="AC58:AD58"/>
    <mergeCell ref="AE58:AF58"/>
    <mergeCell ref="AG58:AH58"/>
    <mergeCell ref="AE57:AF57"/>
    <mergeCell ref="AG57:AH57"/>
    <mergeCell ref="A58:B58"/>
    <mergeCell ref="C58:E58"/>
    <mergeCell ref="G58:J58"/>
    <mergeCell ref="L58:M58"/>
    <mergeCell ref="O58:P58"/>
    <mergeCell ref="Q58:R58"/>
    <mergeCell ref="S58:T58"/>
    <mergeCell ref="U58:V58"/>
    <mergeCell ref="S57:T57"/>
    <mergeCell ref="U57:V57"/>
    <mergeCell ref="W57:X57"/>
    <mergeCell ref="Y57:Z57"/>
    <mergeCell ref="AA57:AB57"/>
    <mergeCell ref="AC57:AD57"/>
    <mergeCell ref="A57:B57"/>
    <mergeCell ref="C57:E57"/>
    <mergeCell ref="G57:J57"/>
    <mergeCell ref="L57:M57"/>
    <mergeCell ref="O57:P57"/>
    <mergeCell ref="Q57:R57"/>
    <mergeCell ref="W56:X56"/>
    <mergeCell ref="Y56:Z56"/>
    <mergeCell ref="AA56:AB56"/>
    <mergeCell ref="AC56:AD56"/>
    <mergeCell ref="AE56:AF56"/>
    <mergeCell ref="AG56:AH56"/>
    <mergeCell ref="AE55:AF55"/>
    <mergeCell ref="AG55:AH55"/>
    <mergeCell ref="A56:B56"/>
    <mergeCell ref="C56:E56"/>
    <mergeCell ref="G56:J56"/>
    <mergeCell ref="L56:M56"/>
    <mergeCell ref="O56:P56"/>
    <mergeCell ref="Q56:R56"/>
    <mergeCell ref="S56:T56"/>
    <mergeCell ref="U56:V56"/>
    <mergeCell ref="S55:T55"/>
    <mergeCell ref="U55:V55"/>
    <mergeCell ref="W55:X55"/>
    <mergeCell ref="Y55:Z55"/>
    <mergeCell ref="AA55:AB55"/>
    <mergeCell ref="AC55:AD55"/>
    <mergeCell ref="A55:B55"/>
    <mergeCell ref="C55:E55"/>
    <mergeCell ref="G55:J55"/>
    <mergeCell ref="L55:M55"/>
    <mergeCell ref="O55:P55"/>
    <mergeCell ref="Q55:R55"/>
    <mergeCell ref="W54:X54"/>
    <mergeCell ref="Y54:Z54"/>
    <mergeCell ref="AA54:AB54"/>
    <mergeCell ref="AC54:AD54"/>
    <mergeCell ref="AE54:AF54"/>
    <mergeCell ref="AG54:AH54"/>
    <mergeCell ref="AE53:AF53"/>
    <mergeCell ref="AG53:AH53"/>
    <mergeCell ref="A54:B54"/>
    <mergeCell ref="C54:E54"/>
    <mergeCell ref="G54:J54"/>
    <mergeCell ref="L54:M54"/>
    <mergeCell ref="O54:P54"/>
    <mergeCell ref="Q54:R54"/>
    <mergeCell ref="S54:T54"/>
    <mergeCell ref="U54:V54"/>
    <mergeCell ref="S53:T53"/>
    <mergeCell ref="U53:V53"/>
    <mergeCell ref="W53:X53"/>
    <mergeCell ref="Y53:Z53"/>
    <mergeCell ref="AA53:AB53"/>
    <mergeCell ref="AC53:AD53"/>
    <mergeCell ref="A53:B53"/>
    <mergeCell ref="C53:E53"/>
    <mergeCell ref="G53:J53"/>
    <mergeCell ref="L53:M53"/>
    <mergeCell ref="O53:P53"/>
    <mergeCell ref="Q53:R53"/>
    <mergeCell ref="W52:X52"/>
    <mergeCell ref="Y52:Z52"/>
    <mergeCell ref="AA52:AB52"/>
    <mergeCell ref="AC52:AD52"/>
    <mergeCell ref="AE52:AF52"/>
    <mergeCell ref="AG52:AH52"/>
    <mergeCell ref="AE51:AF51"/>
    <mergeCell ref="AG51:AH51"/>
    <mergeCell ref="A52:B52"/>
    <mergeCell ref="C52:E52"/>
    <mergeCell ref="G52:J52"/>
    <mergeCell ref="L52:M52"/>
    <mergeCell ref="O52:P52"/>
    <mergeCell ref="Q52:R52"/>
    <mergeCell ref="S52:T52"/>
    <mergeCell ref="U52:V52"/>
    <mergeCell ref="S51:T51"/>
    <mergeCell ref="U51:V51"/>
    <mergeCell ref="W51:X51"/>
    <mergeCell ref="Y51:Z51"/>
    <mergeCell ref="AA51:AB51"/>
    <mergeCell ref="AC51:AD51"/>
    <mergeCell ref="A51:B51"/>
    <mergeCell ref="C51:E51"/>
    <mergeCell ref="G51:J51"/>
    <mergeCell ref="L51:M51"/>
    <mergeCell ref="O51:P51"/>
    <mergeCell ref="Q51:R51"/>
    <mergeCell ref="AF47:AH47"/>
    <mergeCell ref="A48:B48"/>
    <mergeCell ref="C48:E48"/>
    <mergeCell ref="G48:J48"/>
    <mergeCell ref="K48:N48"/>
    <mergeCell ref="O48:AH48"/>
    <mergeCell ref="W50:X50"/>
    <mergeCell ref="Y50:Z50"/>
    <mergeCell ref="AA50:AB50"/>
    <mergeCell ref="AC50:AD50"/>
    <mergeCell ref="AE50:AF50"/>
    <mergeCell ref="AG50:AH50"/>
    <mergeCell ref="AE49:AF49"/>
    <mergeCell ref="AG49:AH49"/>
    <mergeCell ref="A50:B50"/>
    <mergeCell ref="C50:E50"/>
    <mergeCell ref="G50:J50"/>
    <mergeCell ref="L50:M50"/>
    <mergeCell ref="O50:P50"/>
    <mergeCell ref="Q50:R50"/>
    <mergeCell ref="S50:T50"/>
    <mergeCell ref="U50:V50"/>
    <mergeCell ref="S49:T49"/>
    <mergeCell ref="U49:V49"/>
    <mergeCell ref="A47:B47"/>
    <mergeCell ref="D47:F47"/>
    <mergeCell ref="H47:J47"/>
    <mergeCell ref="K47:L47"/>
    <mergeCell ref="M47:N47"/>
    <mergeCell ref="R47:S47"/>
    <mergeCell ref="Y47:Z47"/>
    <mergeCell ref="AB47:AD47"/>
    <mergeCell ref="G49:J49"/>
    <mergeCell ref="L49:M49"/>
    <mergeCell ref="O49:P49"/>
    <mergeCell ref="Q49:R49"/>
    <mergeCell ref="W49:X49"/>
    <mergeCell ref="Y49:Z49"/>
    <mergeCell ref="AA49:AB49"/>
    <mergeCell ref="AC49:AD49"/>
    <mergeCell ref="A49:B49"/>
    <mergeCell ref="C49:E49"/>
    <mergeCell ref="Y45:Z45"/>
    <mergeCell ref="AB45:AD45"/>
    <mergeCell ref="AF45:AH45"/>
    <mergeCell ref="A46:B46"/>
    <mergeCell ref="D46:F46"/>
    <mergeCell ref="H46:J46"/>
    <mergeCell ref="K46:L46"/>
    <mergeCell ref="M46:N46"/>
    <mergeCell ref="R46:S46"/>
    <mergeCell ref="Y46:Z46"/>
    <mergeCell ref="A45:B45"/>
    <mergeCell ref="D45:F45"/>
    <mergeCell ref="H45:J45"/>
    <mergeCell ref="K45:L45"/>
    <mergeCell ref="M45:N45"/>
    <mergeCell ref="R45:S45"/>
    <mergeCell ref="AB46:AD46"/>
    <mergeCell ref="AF46:AH46"/>
    <mergeCell ref="A44:B44"/>
    <mergeCell ref="D44:F44"/>
    <mergeCell ref="H44:J44"/>
    <mergeCell ref="K44:L44"/>
    <mergeCell ref="M44:N44"/>
    <mergeCell ref="R44:S44"/>
    <mergeCell ref="Y44:Z44"/>
    <mergeCell ref="AB44:AD44"/>
    <mergeCell ref="AF44:AH44"/>
    <mergeCell ref="A43:B43"/>
    <mergeCell ref="D43:F43"/>
    <mergeCell ref="H43:J43"/>
    <mergeCell ref="K43:L43"/>
    <mergeCell ref="M43:N43"/>
    <mergeCell ref="R43:S43"/>
    <mergeCell ref="Y43:Z43"/>
    <mergeCell ref="AB43:AD43"/>
    <mergeCell ref="AF43:AH43"/>
    <mergeCell ref="Y41:Z41"/>
    <mergeCell ref="AB41:AD41"/>
    <mergeCell ref="AF41:AH41"/>
    <mergeCell ref="A42:B42"/>
    <mergeCell ref="D42:F42"/>
    <mergeCell ref="H42:J42"/>
    <mergeCell ref="K42:L42"/>
    <mergeCell ref="M42:N42"/>
    <mergeCell ref="R42:S42"/>
    <mergeCell ref="Y42:Z42"/>
    <mergeCell ref="A41:B41"/>
    <mergeCell ref="D41:F41"/>
    <mergeCell ref="H41:J41"/>
    <mergeCell ref="K41:L41"/>
    <mergeCell ref="M41:N41"/>
    <mergeCell ref="R41:S41"/>
    <mergeCell ref="AB42:AD42"/>
    <mergeCell ref="AF42:AH42"/>
    <mergeCell ref="AF39:AH39"/>
    <mergeCell ref="A40:B40"/>
    <mergeCell ref="D40:F40"/>
    <mergeCell ref="H40:J40"/>
    <mergeCell ref="Y40:Z40"/>
    <mergeCell ref="AB40:AD40"/>
    <mergeCell ref="AF40:AH40"/>
    <mergeCell ref="P39:P40"/>
    <mergeCell ref="A39:B39"/>
    <mergeCell ref="D39:F39"/>
    <mergeCell ref="H39:J39"/>
    <mergeCell ref="K39:L40"/>
    <mergeCell ref="M39:N40"/>
    <mergeCell ref="Y39:Z39"/>
    <mergeCell ref="Q39:T40"/>
    <mergeCell ref="U39:U40"/>
    <mergeCell ref="V39:V40"/>
    <mergeCell ref="W39:W40"/>
    <mergeCell ref="X39:X40"/>
    <mergeCell ref="AB39:AD39"/>
    <mergeCell ref="A37:B37"/>
    <mergeCell ref="C37:F37"/>
    <mergeCell ref="G37:J37"/>
    <mergeCell ref="K37:R37"/>
    <mergeCell ref="S37:X37"/>
    <mergeCell ref="O39:O40"/>
    <mergeCell ref="A38:B38"/>
    <mergeCell ref="D38:F38"/>
    <mergeCell ref="H38:J38"/>
    <mergeCell ref="K38:R38"/>
    <mergeCell ref="AF38:AH38"/>
    <mergeCell ref="J35:P35"/>
    <mergeCell ref="U35:Y35"/>
    <mergeCell ref="J36:P36"/>
    <mergeCell ref="U36:Y36"/>
    <mergeCell ref="AA37:AD37"/>
    <mergeCell ref="AE37:AH37"/>
    <mergeCell ref="S38:X38"/>
    <mergeCell ref="Y38:Z38"/>
    <mergeCell ref="AB38:AD38"/>
    <mergeCell ref="J30:P30"/>
    <mergeCell ref="U30:Y30"/>
    <mergeCell ref="J31:P31"/>
    <mergeCell ref="U31:Y31"/>
    <mergeCell ref="Y37:Z37"/>
    <mergeCell ref="J32:P32"/>
    <mergeCell ref="U32:Y32"/>
    <mergeCell ref="J33:P33"/>
    <mergeCell ref="U33:Y33"/>
    <mergeCell ref="J34:P34"/>
    <mergeCell ref="U34:Y34"/>
    <mergeCell ref="J27:P27"/>
    <mergeCell ref="U27:Y27"/>
    <mergeCell ref="J28:P28"/>
    <mergeCell ref="U28:Y28"/>
    <mergeCell ref="J29:P29"/>
    <mergeCell ref="U29:Y29"/>
    <mergeCell ref="J24:P24"/>
    <mergeCell ref="U24:Y24"/>
    <mergeCell ref="J25:P25"/>
    <mergeCell ref="U25:Y25"/>
    <mergeCell ref="J26:P26"/>
    <mergeCell ref="U26:Y26"/>
    <mergeCell ref="J21:P21"/>
    <mergeCell ref="U21:Y21"/>
    <mergeCell ref="J22:P22"/>
    <mergeCell ref="U22:Y22"/>
    <mergeCell ref="J23:P23"/>
    <mergeCell ref="U23:Y23"/>
    <mergeCell ref="AA17:AE17"/>
    <mergeCell ref="AF17:AG18"/>
    <mergeCell ref="AH17:AH18"/>
    <mergeCell ref="J19:P19"/>
    <mergeCell ref="U19:Y19"/>
    <mergeCell ref="J20:P20"/>
    <mergeCell ref="U20:Y20"/>
    <mergeCell ref="Q17:Q18"/>
    <mergeCell ref="R17:R18"/>
    <mergeCell ref="S17:S18"/>
    <mergeCell ref="T17:T18"/>
    <mergeCell ref="U17:Y18"/>
    <mergeCell ref="Z17:Z18"/>
    <mergeCell ref="J16:N16"/>
    <mergeCell ref="O16:P16"/>
    <mergeCell ref="Q16:T16"/>
    <mergeCell ref="U16:V16"/>
    <mergeCell ref="W16:Y16"/>
    <mergeCell ref="A17:A18"/>
    <mergeCell ref="B17:C18"/>
    <mergeCell ref="D17:H17"/>
    <mergeCell ref="I17:I18"/>
    <mergeCell ref="J17:P18"/>
    <mergeCell ref="U11:V11"/>
    <mergeCell ref="O12:P12"/>
    <mergeCell ref="Q12:T12"/>
    <mergeCell ref="AF7:AH8"/>
    <mergeCell ref="AB8:AE8"/>
    <mergeCell ref="AB7:AE7"/>
    <mergeCell ref="A8:E8"/>
    <mergeCell ref="F8:J8"/>
    <mergeCell ref="K8:N8"/>
    <mergeCell ref="O8:S8"/>
    <mergeCell ref="T8:U8"/>
    <mergeCell ref="V8:Z8"/>
    <mergeCell ref="A9:E9"/>
    <mergeCell ref="Z9:AD9"/>
    <mergeCell ref="U10:V10"/>
    <mergeCell ref="O10:P10"/>
    <mergeCell ref="C6:M6"/>
    <mergeCell ref="AF6:AH6"/>
    <mergeCell ref="A7:E7"/>
    <mergeCell ref="F7:J7"/>
    <mergeCell ref="K7:N7"/>
    <mergeCell ref="O7:S7"/>
    <mergeCell ref="T7:U7"/>
    <mergeCell ref="V7:Z7"/>
    <mergeCell ref="A6:B6"/>
    <mergeCell ref="N6:O6"/>
    <mergeCell ref="P6:Q6"/>
    <mergeCell ref="R6:S6"/>
    <mergeCell ref="T6:U6"/>
    <mergeCell ref="V6:W6"/>
    <mergeCell ref="AA6:AE6"/>
    <mergeCell ref="X6:Z6"/>
    <mergeCell ref="A1:P1"/>
    <mergeCell ref="W1:AB1"/>
    <mergeCell ref="AC1:AH1"/>
    <mergeCell ref="W2:AB3"/>
    <mergeCell ref="AC2:AH3"/>
    <mergeCell ref="A4:AH4"/>
    <mergeCell ref="A5:D5"/>
    <mergeCell ref="E5:H5"/>
    <mergeCell ref="I5:J5"/>
    <mergeCell ref="K5:N5"/>
    <mergeCell ref="O5:T5"/>
    <mergeCell ref="U5:V5"/>
    <mergeCell ref="W5:AH5"/>
    <mergeCell ref="A2:U3"/>
  </mergeCells>
  <phoneticPr fontId="2"/>
  <conditionalFormatting sqref="Q19:Q29 T19:T29">
    <cfRule type="cellIs" dxfId="1" priority="1" operator="equal">
      <formula>0</formula>
    </cfRule>
  </conditionalFormatting>
  <dataValidations count="10">
    <dataValidation type="list" allowBlank="1" showInputMessage="1" showErrorMessage="1" sqref="A61:C61 C49:E59" xr:uid="{00000000-0002-0000-1700-000000000000}">
      <formula1>$A$10:$B$10</formula1>
    </dataValidation>
    <dataValidation type="list" allowBlank="1" showInputMessage="1" showErrorMessage="1" sqref="F8:J8 O7:S8 V7:Z7" xr:uid="{00000000-0002-0000-1700-000001000000}">
      <formula1>$AY$2:$AY$21</formula1>
    </dataValidation>
    <dataValidation type="list" allowBlank="1" showInputMessage="1" showErrorMessage="1" sqref="F7:J7" xr:uid="{00000000-0002-0000-1700-000002000000}">
      <formula1>$BA$2:$BA$21</formula1>
    </dataValidation>
    <dataValidation type="list" allowBlank="1" showInputMessage="1" showErrorMessage="1" sqref="V8:Z8" xr:uid="{00000000-0002-0000-1700-000003000000}">
      <formula1>$BC$2:$BC$21</formula1>
    </dataValidation>
    <dataValidation type="list" allowBlank="1" showInputMessage="1" showErrorMessage="1" sqref="AB7:AE7" xr:uid="{00000000-0002-0000-1700-000004000000}">
      <formula1>$BE$2:$BE$21</formula1>
    </dataValidation>
    <dataValidation type="list" allowBlank="1" showInputMessage="1" showErrorMessage="1" sqref="AB8:AE8" xr:uid="{00000000-0002-0000-1700-000005000000}">
      <formula1>$BF$2:$BF$21</formula1>
    </dataValidation>
    <dataValidation type="list" allowBlank="1" showInputMessage="1" showErrorMessage="1" sqref="C6:M6" xr:uid="{00000000-0002-0000-1700-000006000000}">
      <formula1>$BH$2:$BH$21</formula1>
    </dataValidation>
    <dataValidation type="list" allowBlank="1" showInputMessage="1" showErrorMessage="1" sqref="P6:Q6" xr:uid="{00000000-0002-0000-1700-000007000000}">
      <formula1>$BL$2:$BL$67</formula1>
    </dataValidation>
    <dataValidation type="list" allowBlank="1" showInputMessage="1" showErrorMessage="1" sqref="T6:U6" xr:uid="{00000000-0002-0000-1700-000008000000}">
      <formula1>$BJ$2:$BJ$21</formula1>
    </dataValidation>
    <dataValidation type="list" allowBlank="1" showInputMessage="1" showErrorMessage="1" sqref="X6:Z6" xr:uid="{00000000-0002-0000-1700-000009000000}">
      <formula1>$BN$2:$BN$21</formula1>
    </dataValidation>
  </dataValidations>
  <printOptions horizontalCentered="1"/>
  <pageMargins left="0.39370078740157483" right="0.39370078740157483" top="0.39370078740157483" bottom="0.39370078740157483" header="0.31496062992125984" footer="0.31496062992125984"/>
  <pageSetup paperSize="9" scale="9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T86"/>
  <sheetViews>
    <sheetView topLeftCell="A58" workbookViewId="0">
      <selection activeCell="W85" sqref="W85"/>
    </sheetView>
  </sheetViews>
  <sheetFormatPr defaultColWidth="9" defaultRowHeight="13.5" x14ac:dyDescent="0.15"/>
  <cols>
    <col min="1" max="1" width="12.375" customWidth="1"/>
    <col min="2" max="2" width="3.125" customWidth="1"/>
    <col min="3" max="3" width="12.375" customWidth="1"/>
    <col min="4" max="4" width="3.125" customWidth="1"/>
    <col min="5" max="5" width="12.375" customWidth="1"/>
    <col min="6" max="6" width="3.125" customWidth="1"/>
    <col min="7" max="8" width="12.375" customWidth="1"/>
    <col min="9" max="9" width="3.125" customWidth="1"/>
    <col min="10" max="10" width="12.375" customWidth="1"/>
    <col min="11" max="11" width="3.125" customWidth="1"/>
    <col min="12" max="12" width="12.375" customWidth="1"/>
    <col min="13" max="13" width="3.125" customWidth="1"/>
    <col min="14" max="14" width="12.375" customWidth="1"/>
    <col min="15" max="15" width="3.125" customWidth="1"/>
    <col min="16" max="16" width="12.375" customWidth="1"/>
    <col min="18" max="18" width="19.125" customWidth="1"/>
    <col min="19" max="19" width="3.875" customWidth="1"/>
    <col min="20" max="20" width="12.375" customWidth="1"/>
    <col min="23" max="23" width="7.125" bestFit="1" customWidth="1"/>
    <col min="24" max="24" width="4.375" bestFit="1" customWidth="1"/>
    <col min="25" max="25" width="12.375" bestFit="1" customWidth="1"/>
  </cols>
  <sheetData>
    <row r="1" spans="1:20" ht="14.25" thickBot="1" x14ac:dyDescent="0.2">
      <c r="A1" t="s">
        <v>182</v>
      </c>
      <c r="C1" t="s">
        <v>183</v>
      </c>
      <c r="E1" t="s">
        <v>184</v>
      </c>
      <c r="G1" t="s">
        <v>185</v>
      </c>
      <c r="J1" s="21" t="s">
        <v>186</v>
      </c>
      <c r="K1" s="21"/>
      <c r="L1" s="21" t="s">
        <v>187</v>
      </c>
      <c r="M1" s="21"/>
      <c r="N1" s="21" t="s">
        <v>188</v>
      </c>
      <c r="O1" s="21"/>
      <c r="P1" s="21" t="s">
        <v>189</v>
      </c>
    </row>
    <row r="2" spans="1:20" ht="14.25" thickTop="1" x14ac:dyDescent="0.15">
      <c r="A2" s="22" t="s">
        <v>289</v>
      </c>
      <c r="C2" s="22" t="s">
        <v>290</v>
      </c>
      <c r="E2" s="22" t="s">
        <v>192</v>
      </c>
      <c r="G2" s="23" t="s">
        <v>193</v>
      </c>
      <c r="H2" s="22" t="s">
        <v>194</v>
      </c>
      <c r="J2" s="24" t="s">
        <v>195</v>
      </c>
      <c r="K2" s="21"/>
      <c r="L2" s="24">
        <v>5</v>
      </c>
      <c r="M2" s="21"/>
      <c r="N2" s="24">
        <v>45</v>
      </c>
      <c r="O2" s="21"/>
      <c r="P2" s="24" t="s">
        <v>196</v>
      </c>
      <c r="R2" t="str">
        <f>チーム①!B7&amp;"中学校"</f>
        <v>星稜中学校</v>
      </c>
      <c r="T2" t="str">
        <f>チーム①!B14</f>
        <v>河合　伸幸</v>
      </c>
    </row>
    <row r="3" spans="1:20" x14ac:dyDescent="0.15">
      <c r="A3" s="25" t="s">
        <v>291</v>
      </c>
      <c r="C3" s="25" t="s">
        <v>198</v>
      </c>
      <c r="E3" s="25" t="s">
        <v>199</v>
      </c>
      <c r="G3" s="26" t="s">
        <v>200</v>
      </c>
      <c r="H3" s="25" t="s">
        <v>201</v>
      </c>
      <c r="J3" s="27" t="s">
        <v>202</v>
      </c>
      <c r="K3" s="21"/>
      <c r="L3" s="27">
        <v>10</v>
      </c>
      <c r="M3" s="21"/>
      <c r="N3" s="27">
        <v>44</v>
      </c>
      <c r="O3" s="21"/>
      <c r="P3" s="27" t="s">
        <v>203</v>
      </c>
      <c r="R3">
        <f>チーム①!K4</f>
        <v>1</v>
      </c>
      <c r="S3" t="str">
        <f>チーム①!L4</f>
        <v>GK</v>
      </c>
      <c r="T3" t="str">
        <f>チーム①!M4</f>
        <v>西野　敬穂</v>
      </c>
    </row>
    <row r="4" spans="1:20" x14ac:dyDescent="0.15">
      <c r="A4" s="25" t="s">
        <v>292</v>
      </c>
      <c r="C4" s="25" t="s">
        <v>206</v>
      </c>
      <c r="E4" s="25" t="s">
        <v>207</v>
      </c>
      <c r="G4" s="26"/>
      <c r="H4" s="25"/>
      <c r="J4" s="27" t="s">
        <v>208</v>
      </c>
      <c r="K4" s="21"/>
      <c r="L4" s="27">
        <v>15</v>
      </c>
      <c r="M4" s="21"/>
      <c r="N4" s="27">
        <v>43</v>
      </c>
      <c r="O4" s="21"/>
      <c r="P4" s="27" t="s">
        <v>209</v>
      </c>
      <c r="R4">
        <f>チーム①!K5</f>
        <v>2</v>
      </c>
      <c r="S4" t="str">
        <f>チーム①!L5</f>
        <v>DF</v>
      </c>
      <c r="T4" t="str">
        <f>チーム①!M5</f>
        <v>宮﨑　凌真</v>
      </c>
    </row>
    <row r="5" spans="1:20" x14ac:dyDescent="0.15">
      <c r="A5" s="25" t="s">
        <v>293</v>
      </c>
      <c r="C5" s="25" t="s">
        <v>215</v>
      </c>
      <c r="E5" s="25" t="s">
        <v>216</v>
      </c>
      <c r="G5" s="26"/>
      <c r="H5" s="25"/>
      <c r="J5" s="27" t="s">
        <v>217</v>
      </c>
      <c r="K5" s="21"/>
      <c r="L5" s="27">
        <v>20</v>
      </c>
      <c r="M5" s="21"/>
      <c r="N5" s="27">
        <v>42</v>
      </c>
      <c r="O5" s="21"/>
      <c r="P5" s="27" t="s">
        <v>128</v>
      </c>
      <c r="R5">
        <f>チーム①!K6</f>
        <v>3</v>
      </c>
      <c r="S5" t="str">
        <f>チーム①!L6</f>
        <v>DF</v>
      </c>
      <c r="T5" t="str">
        <f>チーム①!M6</f>
        <v>岡野　隼弥</v>
      </c>
    </row>
    <row r="6" spans="1:20" x14ac:dyDescent="0.15">
      <c r="A6" s="25" t="s">
        <v>294</v>
      </c>
      <c r="C6" s="25" t="s">
        <v>207</v>
      </c>
      <c r="E6" s="25" t="s">
        <v>225</v>
      </c>
      <c r="G6" s="26"/>
      <c r="H6" s="25"/>
      <c r="J6" s="27" t="s">
        <v>226</v>
      </c>
      <c r="K6" s="21"/>
      <c r="L6" s="27">
        <v>25</v>
      </c>
      <c r="M6" s="21"/>
      <c r="N6" s="27">
        <v>41</v>
      </c>
      <c r="O6" s="21"/>
      <c r="P6" s="27"/>
      <c r="R6">
        <f>チーム①!K7</f>
        <v>4</v>
      </c>
      <c r="S6" t="str">
        <f>チーム①!L7</f>
        <v>DF</v>
      </c>
      <c r="T6" t="str">
        <f>チーム①!M7</f>
        <v>市川　透也</v>
      </c>
    </row>
    <row r="7" spans="1:20" x14ac:dyDescent="0.15">
      <c r="A7" s="25" t="s">
        <v>295</v>
      </c>
      <c r="C7" s="25" t="s">
        <v>199</v>
      </c>
      <c r="E7" s="25" t="s">
        <v>237</v>
      </c>
      <c r="G7" s="26"/>
      <c r="H7" s="25"/>
      <c r="J7" s="27" t="s">
        <v>232</v>
      </c>
      <c r="K7" s="21"/>
      <c r="L7" s="27">
        <v>30</v>
      </c>
      <c r="M7" s="21"/>
      <c r="N7" s="27">
        <v>40</v>
      </c>
      <c r="O7" s="21"/>
      <c r="P7" s="27"/>
      <c r="R7">
        <f>チーム①!K8</f>
        <v>5</v>
      </c>
      <c r="S7" t="str">
        <f>チーム①!L8</f>
        <v>DF</v>
      </c>
      <c r="T7" t="str">
        <f>チーム①!M8</f>
        <v>坂本　琉杏</v>
      </c>
    </row>
    <row r="8" spans="1:20" x14ac:dyDescent="0.15">
      <c r="A8" s="25" t="s">
        <v>296</v>
      </c>
      <c r="C8" s="25" t="s">
        <v>237</v>
      </c>
      <c r="E8" s="25" t="s">
        <v>238</v>
      </c>
      <c r="G8" s="26"/>
      <c r="H8" s="25"/>
      <c r="J8" s="27"/>
      <c r="K8" s="21"/>
      <c r="L8" s="27">
        <v>35</v>
      </c>
      <c r="M8" s="21"/>
      <c r="N8" s="27">
        <v>39</v>
      </c>
      <c r="O8" s="21"/>
      <c r="P8" s="27"/>
      <c r="R8">
        <f>チーム①!K9</f>
        <v>6</v>
      </c>
      <c r="S8" t="str">
        <f>チーム①!L9</f>
        <v>DF</v>
      </c>
      <c r="T8" t="str">
        <f>チーム①!M9</f>
        <v>竹内　一馬</v>
      </c>
    </row>
    <row r="9" spans="1:20" x14ac:dyDescent="0.15">
      <c r="A9" s="25" t="s">
        <v>297</v>
      </c>
      <c r="C9" s="25"/>
      <c r="E9" s="25"/>
      <c r="G9" s="26"/>
      <c r="H9" s="25"/>
      <c r="J9" s="27"/>
      <c r="K9" s="21"/>
      <c r="L9" s="27">
        <v>40</v>
      </c>
      <c r="M9" s="21"/>
      <c r="N9" s="27">
        <v>38</v>
      </c>
      <c r="O9" s="21"/>
      <c r="P9" s="27"/>
      <c r="R9">
        <f>チーム①!K10</f>
        <v>7</v>
      </c>
      <c r="S9" t="str">
        <f>チーム①!L10</f>
        <v>MF</v>
      </c>
      <c r="T9" t="str">
        <f>チーム①!M10</f>
        <v>前出　悠杜</v>
      </c>
    </row>
    <row r="10" spans="1:20" x14ac:dyDescent="0.15">
      <c r="A10" s="25" t="s">
        <v>242</v>
      </c>
      <c r="C10" s="25"/>
      <c r="E10" s="25"/>
      <c r="G10" s="26"/>
      <c r="H10" s="25"/>
      <c r="J10" s="27"/>
      <c r="K10" s="21"/>
      <c r="L10" s="27">
        <v>45</v>
      </c>
      <c r="M10" s="21"/>
      <c r="N10" s="27">
        <v>37</v>
      </c>
      <c r="O10" s="21"/>
      <c r="P10" s="27"/>
      <c r="R10">
        <f>チーム①!K11</f>
        <v>8</v>
      </c>
      <c r="S10" t="str">
        <f>チーム①!L11</f>
        <v>MF</v>
      </c>
      <c r="T10" t="str">
        <f>チーム①!M11</f>
        <v>中川　小哲</v>
      </c>
    </row>
    <row r="11" spans="1:20" x14ac:dyDescent="0.15">
      <c r="A11" s="25" t="s">
        <v>298</v>
      </c>
      <c r="C11" s="25"/>
      <c r="E11" s="25"/>
      <c r="G11" s="26"/>
      <c r="H11" s="25"/>
      <c r="J11" s="27"/>
      <c r="K11" s="21"/>
      <c r="L11" s="27">
        <v>50</v>
      </c>
      <c r="M11" s="21"/>
      <c r="N11" s="27">
        <v>36</v>
      </c>
      <c r="O11" s="21"/>
      <c r="P11" s="27"/>
      <c r="R11">
        <f>チーム①!K12</f>
        <v>9</v>
      </c>
      <c r="S11" t="str">
        <f>チーム①!L12</f>
        <v>FW</v>
      </c>
      <c r="T11" t="str">
        <f>チーム①!M12</f>
        <v>堀　　結輝</v>
      </c>
    </row>
    <row r="12" spans="1:20" x14ac:dyDescent="0.15">
      <c r="A12" s="25" t="s">
        <v>245</v>
      </c>
      <c r="C12" s="25"/>
      <c r="E12" s="25"/>
      <c r="G12" s="26"/>
      <c r="H12" s="25"/>
      <c r="J12" s="27"/>
      <c r="K12" s="21"/>
      <c r="L12" s="27">
        <v>55</v>
      </c>
      <c r="M12" s="21"/>
      <c r="N12" s="27">
        <v>35</v>
      </c>
      <c r="O12" s="21"/>
      <c r="P12" s="27"/>
      <c r="R12">
        <f>チーム①!K13</f>
        <v>10</v>
      </c>
      <c r="S12" t="str">
        <f>チーム①!L13</f>
        <v>MF</v>
      </c>
      <c r="T12" t="str">
        <f>チーム①!M13</f>
        <v>西尾　友希</v>
      </c>
    </row>
    <row r="13" spans="1:20" x14ac:dyDescent="0.15">
      <c r="A13" s="25" t="s">
        <v>246</v>
      </c>
      <c r="C13" s="25"/>
      <c r="E13" s="25"/>
      <c r="G13" s="26"/>
      <c r="H13" s="25"/>
      <c r="J13" s="27"/>
      <c r="K13" s="21"/>
      <c r="L13" s="27">
        <v>60</v>
      </c>
      <c r="M13" s="21"/>
      <c r="N13" s="27">
        <v>34</v>
      </c>
      <c r="O13" s="21"/>
      <c r="P13" s="27"/>
      <c r="R13">
        <f>チーム①!K14</f>
        <v>11</v>
      </c>
      <c r="S13" t="str">
        <f>チーム①!L14</f>
        <v>FW</v>
      </c>
      <c r="T13" t="str">
        <f>チーム①!M14</f>
        <v>橋本　莞汰</v>
      </c>
    </row>
    <row r="14" spans="1:20" x14ac:dyDescent="0.15">
      <c r="A14" s="25" t="s">
        <v>247</v>
      </c>
      <c r="C14" s="25"/>
      <c r="E14" s="25"/>
      <c r="G14" s="26"/>
      <c r="H14" s="25"/>
      <c r="J14" s="27"/>
      <c r="K14" s="21"/>
      <c r="L14" s="27">
        <v>65</v>
      </c>
      <c r="M14" s="21"/>
      <c r="N14" s="27">
        <v>33</v>
      </c>
      <c r="O14" s="21"/>
      <c r="P14" s="27"/>
      <c r="R14">
        <f>チーム①!K15</f>
        <v>12</v>
      </c>
      <c r="S14" t="str">
        <f>チーム①!L15</f>
        <v>MF</v>
      </c>
      <c r="T14" t="str">
        <f>チーム①!M15</f>
        <v>清水　新志</v>
      </c>
    </row>
    <row r="15" spans="1:20" x14ac:dyDescent="0.15">
      <c r="A15" s="25" t="s">
        <v>299</v>
      </c>
      <c r="C15" s="25"/>
      <c r="E15" s="25"/>
      <c r="G15" s="26"/>
      <c r="H15" s="25"/>
      <c r="J15" s="27"/>
      <c r="K15" s="21"/>
      <c r="L15" s="27">
        <v>70</v>
      </c>
      <c r="M15" s="21"/>
      <c r="N15" s="27">
        <v>32</v>
      </c>
      <c r="O15" s="21"/>
      <c r="P15" s="27"/>
      <c r="R15">
        <f>チーム①!K16</f>
        <v>13</v>
      </c>
      <c r="S15" t="str">
        <f>チーム①!L16</f>
        <v>MF</v>
      </c>
      <c r="T15" t="str">
        <f>チーム①!M16</f>
        <v>水野　　蓮</v>
      </c>
    </row>
    <row r="16" spans="1:20" x14ac:dyDescent="0.15">
      <c r="A16" s="25" t="s">
        <v>250</v>
      </c>
      <c r="C16" s="25"/>
      <c r="E16" s="25"/>
      <c r="G16" s="26"/>
      <c r="H16" s="25"/>
      <c r="J16" s="27"/>
      <c r="K16" s="21"/>
      <c r="L16" s="27">
        <v>75</v>
      </c>
      <c r="M16" s="21"/>
      <c r="N16" s="27">
        <v>31</v>
      </c>
      <c r="O16" s="21"/>
      <c r="P16" s="27"/>
      <c r="R16">
        <f>チーム①!K17</f>
        <v>14</v>
      </c>
      <c r="S16" t="str">
        <f>チーム①!L17</f>
        <v>FW</v>
      </c>
      <c r="T16" t="str">
        <f>チーム①!M17</f>
        <v>伊藤　大雅</v>
      </c>
    </row>
    <row r="17" spans="1:20" x14ac:dyDescent="0.15">
      <c r="A17" s="25" t="s">
        <v>258</v>
      </c>
      <c r="C17" s="25"/>
      <c r="E17" s="25"/>
      <c r="G17" s="26"/>
      <c r="H17" s="25"/>
      <c r="J17" s="27"/>
      <c r="K17" s="21"/>
      <c r="L17" s="27">
        <v>80</v>
      </c>
      <c r="M17" s="21"/>
      <c r="N17" s="27">
        <v>30</v>
      </c>
      <c r="O17" s="21"/>
      <c r="P17" s="27"/>
      <c r="R17">
        <f>チーム①!K18</f>
        <v>15</v>
      </c>
      <c r="S17" t="str">
        <f>チーム①!L18</f>
        <v>FW</v>
      </c>
      <c r="T17" t="str">
        <f>チーム①!M18</f>
        <v>佐々木　真之介</v>
      </c>
    </row>
    <row r="18" spans="1:20" x14ac:dyDescent="0.15">
      <c r="A18" s="25" t="s">
        <v>263</v>
      </c>
      <c r="C18" s="25"/>
      <c r="E18" s="25"/>
      <c r="G18" s="26"/>
      <c r="H18" s="25"/>
      <c r="J18" s="27"/>
      <c r="K18" s="21"/>
      <c r="L18" s="27">
        <v>85</v>
      </c>
      <c r="M18" s="21"/>
      <c r="N18" s="27">
        <v>29</v>
      </c>
      <c r="O18" s="21"/>
      <c r="P18" s="27"/>
      <c r="R18">
        <f>チーム①!K19</f>
        <v>16</v>
      </c>
      <c r="S18" t="str">
        <f>チーム①!L19</f>
        <v>DF</v>
      </c>
      <c r="T18" t="str">
        <f>チーム①!M19</f>
        <v>山田　凌平</v>
      </c>
    </row>
    <row r="19" spans="1:20" x14ac:dyDescent="0.15">
      <c r="A19" s="25" t="s">
        <v>264</v>
      </c>
      <c r="C19" s="25"/>
      <c r="E19" s="25"/>
      <c r="G19" s="26"/>
      <c r="H19" s="25"/>
      <c r="J19" s="27"/>
      <c r="K19" s="21"/>
      <c r="L19" s="27">
        <v>90</v>
      </c>
      <c r="M19" s="21"/>
      <c r="N19" s="27">
        <v>28</v>
      </c>
      <c r="O19" s="21"/>
      <c r="P19" s="27"/>
      <c r="R19">
        <f>チーム①!K20</f>
        <v>17</v>
      </c>
      <c r="S19" t="str">
        <f>チーム①!L20</f>
        <v>GK</v>
      </c>
      <c r="T19" t="str">
        <f>チーム①!M20</f>
        <v>山岸　　光</v>
      </c>
    </row>
    <row r="20" spans="1:20" x14ac:dyDescent="0.15">
      <c r="A20" s="25" t="s">
        <v>230</v>
      </c>
      <c r="C20" s="25"/>
      <c r="E20" s="25"/>
      <c r="G20" s="26"/>
      <c r="H20" s="25"/>
      <c r="J20" s="27"/>
      <c r="K20" s="21"/>
      <c r="L20" s="27">
        <v>95</v>
      </c>
      <c r="M20" s="21"/>
      <c r="N20" s="27">
        <v>27</v>
      </c>
      <c r="O20" s="21"/>
      <c r="P20" s="27"/>
      <c r="R20">
        <f>チーム①!K21</f>
        <v>18</v>
      </c>
      <c r="S20" t="str">
        <f>チーム①!L21</f>
        <v>MF</v>
      </c>
      <c r="T20" t="str">
        <f>チーム①!M21</f>
        <v>中谷　拓斗</v>
      </c>
    </row>
    <row r="21" spans="1:20" ht="14.25" thickBot="1" x14ac:dyDescent="0.2">
      <c r="A21" s="28"/>
      <c r="C21" s="28"/>
      <c r="E21" s="28"/>
      <c r="G21" s="29"/>
      <c r="H21" s="28"/>
      <c r="J21" s="30"/>
      <c r="K21" s="21"/>
      <c r="L21" s="30">
        <v>100</v>
      </c>
      <c r="M21" s="21"/>
      <c r="N21" s="27">
        <v>26</v>
      </c>
      <c r="O21" s="21"/>
      <c r="P21" s="30"/>
    </row>
    <row r="22" spans="1:20" ht="14.25" thickTop="1" x14ac:dyDescent="0.15">
      <c r="J22" s="21"/>
      <c r="K22" s="21"/>
      <c r="L22" s="21"/>
      <c r="M22" s="21"/>
      <c r="N22" s="27">
        <v>25</v>
      </c>
      <c r="O22" s="21"/>
      <c r="P22" s="21"/>
    </row>
    <row r="23" spans="1:20" x14ac:dyDescent="0.15">
      <c r="J23" s="21"/>
      <c r="K23" s="21"/>
      <c r="L23" s="21"/>
      <c r="M23" s="21"/>
      <c r="N23" s="27">
        <v>24</v>
      </c>
      <c r="O23" s="21"/>
      <c r="P23" s="21"/>
    </row>
    <row r="24" spans="1:20" x14ac:dyDescent="0.15">
      <c r="J24" s="21"/>
      <c r="K24" s="21"/>
      <c r="L24" s="21"/>
      <c r="M24" s="21"/>
      <c r="N24" s="27">
        <v>23</v>
      </c>
      <c r="O24" s="21"/>
      <c r="P24" s="21"/>
      <c r="R24" t="str">
        <f>チーム②!B7&amp;"中学校"</f>
        <v>白山市立北辰中学校</v>
      </c>
      <c r="T24" t="str">
        <f>チーム②!B14</f>
        <v>河島 統志</v>
      </c>
    </row>
    <row r="25" spans="1:20" x14ac:dyDescent="0.15">
      <c r="J25" s="21"/>
      <c r="K25" s="21"/>
      <c r="L25" s="21"/>
      <c r="M25" s="21"/>
      <c r="N25" s="27">
        <v>22</v>
      </c>
      <c r="O25" s="21"/>
      <c r="P25" s="21"/>
      <c r="R25">
        <f>チーム②!K4</f>
        <v>1</v>
      </c>
      <c r="S25" t="str">
        <f>チーム②!L4</f>
        <v>GK</v>
      </c>
      <c r="T25" t="str">
        <f>チーム②!M4</f>
        <v>村本　遼</v>
      </c>
    </row>
    <row r="26" spans="1:20" x14ac:dyDescent="0.15">
      <c r="J26" s="21"/>
      <c r="K26" s="21"/>
      <c r="L26" s="21"/>
      <c r="M26" s="21"/>
      <c r="N26" s="27">
        <v>21</v>
      </c>
      <c r="O26" s="21"/>
      <c r="P26" s="21"/>
      <c r="R26">
        <f>チーム②!K5</f>
        <v>2</v>
      </c>
      <c r="S26" t="str">
        <f>チーム②!L5</f>
        <v>DF</v>
      </c>
      <c r="T26" t="str">
        <f>チーム②!M5</f>
        <v>奥田　脩十</v>
      </c>
    </row>
    <row r="27" spans="1:20" x14ac:dyDescent="0.15">
      <c r="J27" s="21"/>
      <c r="K27" s="21"/>
      <c r="L27" s="21"/>
      <c r="M27" s="21"/>
      <c r="N27" s="27">
        <v>20</v>
      </c>
      <c r="O27" s="21"/>
      <c r="P27" s="21"/>
      <c r="R27">
        <f>チーム②!K6</f>
        <v>3</v>
      </c>
      <c r="S27" t="str">
        <f>チーム②!L6</f>
        <v>DF</v>
      </c>
      <c r="T27" t="str">
        <f>チーム②!M6</f>
        <v>坂井　音哉</v>
      </c>
    </row>
    <row r="28" spans="1:20" x14ac:dyDescent="0.15">
      <c r="J28" s="21"/>
      <c r="K28" s="21"/>
      <c r="L28" s="21"/>
      <c r="M28" s="21"/>
      <c r="N28" s="27">
        <v>19</v>
      </c>
      <c r="O28" s="21"/>
      <c r="P28" s="21"/>
      <c r="R28">
        <f>チーム②!K7</f>
        <v>4</v>
      </c>
      <c r="S28" t="str">
        <f>チーム②!L7</f>
        <v>DF</v>
      </c>
      <c r="T28" t="str">
        <f>チーム②!M7</f>
        <v>山﨑　一輝</v>
      </c>
    </row>
    <row r="29" spans="1:20" x14ac:dyDescent="0.15">
      <c r="J29" s="21"/>
      <c r="K29" s="21"/>
      <c r="L29" s="21"/>
      <c r="M29" s="21"/>
      <c r="N29" s="27">
        <v>18</v>
      </c>
      <c r="O29" s="21"/>
      <c r="P29" s="21"/>
      <c r="R29">
        <f>チーム②!K8</f>
        <v>5</v>
      </c>
      <c r="S29" t="str">
        <f>チーム②!L8</f>
        <v>DF</v>
      </c>
      <c r="T29" t="str">
        <f>チーム②!M8</f>
        <v>金平　宏陽</v>
      </c>
    </row>
    <row r="30" spans="1:20" x14ac:dyDescent="0.15">
      <c r="J30" s="21"/>
      <c r="K30" s="21"/>
      <c r="L30" s="21"/>
      <c r="M30" s="21"/>
      <c r="N30" s="27">
        <v>17</v>
      </c>
      <c r="O30" s="21"/>
      <c r="P30" s="21"/>
      <c r="R30">
        <f>チーム②!K9</f>
        <v>6</v>
      </c>
      <c r="S30" t="str">
        <f>チーム②!L9</f>
        <v>MF</v>
      </c>
      <c r="T30" t="str">
        <f>チーム②!M9</f>
        <v>山本　将義</v>
      </c>
    </row>
    <row r="31" spans="1:20" x14ac:dyDescent="0.15">
      <c r="J31" s="21"/>
      <c r="K31" s="21"/>
      <c r="L31" s="21"/>
      <c r="M31" s="21"/>
      <c r="N31" s="27">
        <v>16</v>
      </c>
      <c r="O31" s="21"/>
      <c r="P31" s="21"/>
      <c r="R31">
        <f>チーム②!K10</f>
        <v>7</v>
      </c>
      <c r="S31" t="str">
        <f>チーム②!L10</f>
        <v>MF</v>
      </c>
      <c r="T31" t="str">
        <f>チーム②!M10</f>
        <v>末田　裕大</v>
      </c>
    </row>
    <row r="32" spans="1:20" x14ac:dyDescent="0.15">
      <c r="J32" s="21"/>
      <c r="K32" s="21"/>
      <c r="L32" s="21"/>
      <c r="M32" s="21"/>
      <c r="N32" s="27">
        <v>15</v>
      </c>
      <c r="O32" s="21"/>
      <c r="P32" s="21"/>
      <c r="R32">
        <f>チーム②!K11</f>
        <v>8</v>
      </c>
      <c r="S32" t="str">
        <f>チーム②!L11</f>
        <v>MF</v>
      </c>
      <c r="T32" t="str">
        <f>チーム②!M11</f>
        <v>炭田　健太郎</v>
      </c>
    </row>
    <row r="33" spans="10:20" x14ac:dyDescent="0.15">
      <c r="J33" s="21"/>
      <c r="K33" s="21"/>
      <c r="L33" s="21"/>
      <c r="M33" s="21"/>
      <c r="N33" s="27">
        <v>14</v>
      </c>
      <c r="O33" s="21"/>
      <c r="P33" s="21"/>
      <c r="R33">
        <f>チーム②!K12</f>
        <v>9</v>
      </c>
      <c r="S33" t="str">
        <f>チーム②!L12</f>
        <v>FW</v>
      </c>
      <c r="T33" t="str">
        <f>チーム②!M12</f>
        <v>上甲　健太</v>
      </c>
    </row>
    <row r="34" spans="10:20" x14ac:dyDescent="0.15">
      <c r="J34" s="21"/>
      <c r="K34" s="21"/>
      <c r="L34" s="21"/>
      <c r="M34" s="21"/>
      <c r="N34" s="27">
        <v>13</v>
      </c>
      <c r="O34" s="21"/>
      <c r="P34" s="21"/>
      <c r="R34">
        <f>チーム②!K13</f>
        <v>10</v>
      </c>
      <c r="S34" t="str">
        <f>チーム②!L13</f>
        <v>FW</v>
      </c>
      <c r="T34" t="str">
        <f>チーム②!M13</f>
        <v>林　怜史</v>
      </c>
    </row>
    <row r="35" spans="10:20" x14ac:dyDescent="0.15">
      <c r="J35" s="21"/>
      <c r="K35" s="21"/>
      <c r="L35" s="21"/>
      <c r="M35" s="21"/>
      <c r="N35" s="27">
        <v>12</v>
      </c>
      <c r="O35" s="21"/>
      <c r="P35" s="21"/>
      <c r="R35">
        <f>チーム②!K14</f>
        <v>11</v>
      </c>
      <c r="S35" t="str">
        <f>チーム②!L14</f>
        <v>MF</v>
      </c>
      <c r="T35" t="str">
        <f>チーム②!M14</f>
        <v>茂森　丈瑠</v>
      </c>
    </row>
    <row r="36" spans="10:20" x14ac:dyDescent="0.15">
      <c r="J36" s="21"/>
      <c r="K36" s="21"/>
      <c r="L36" s="21"/>
      <c r="M36" s="21"/>
      <c r="N36" s="27">
        <v>11</v>
      </c>
      <c r="O36" s="21"/>
      <c r="P36" s="21"/>
      <c r="R36">
        <f>チーム②!K15</f>
        <v>12</v>
      </c>
      <c r="S36" t="str">
        <f>チーム②!L15</f>
        <v>MF</v>
      </c>
      <c r="T36" t="str">
        <f>チーム②!M15</f>
        <v>中山　結都</v>
      </c>
    </row>
    <row r="37" spans="10:20" x14ac:dyDescent="0.15">
      <c r="J37" s="21"/>
      <c r="K37" s="21"/>
      <c r="L37" s="21"/>
      <c r="M37" s="21"/>
      <c r="N37" s="27">
        <v>10</v>
      </c>
      <c r="O37" s="21"/>
      <c r="P37" s="21"/>
      <c r="R37">
        <f>チーム②!K16</f>
        <v>13</v>
      </c>
      <c r="S37" t="str">
        <f>チーム②!L16</f>
        <v>DF</v>
      </c>
      <c r="T37" t="str">
        <f>チーム②!M16</f>
        <v>宮田　陽輝</v>
      </c>
    </row>
    <row r="38" spans="10:20" x14ac:dyDescent="0.15">
      <c r="J38" s="21"/>
      <c r="K38" s="21"/>
      <c r="L38" s="21"/>
      <c r="M38" s="21"/>
      <c r="N38" s="27">
        <v>9</v>
      </c>
      <c r="O38" s="21"/>
      <c r="P38" s="21"/>
      <c r="R38">
        <f>チーム②!K17</f>
        <v>14</v>
      </c>
      <c r="S38" t="str">
        <f>チーム②!L17</f>
        <v>DF</v>
      </c>
      <c r="T38" t="str">
        <f>チーム②!M17</f>
        <v>松尾　瑞紀</v>
      </c>
    </row>
    <row r="39" spans="10:20" x14ac:dyDescent="0.15">
      <c r="J39" s="21"/>
      <c r="K39" s="21"/>
      <c r="L39" s="21"/>
      <c r="M39" s="21"/>
      <c r="N39" s="27">
        <v>8</v>
      </c>
      <c r="O39" s="21"/>
      <c r="P39" s="21"/>
      <c r="R39">
        <f>チーム②!K18</f>
        <v>15</v>
      </c>
      <c r="S39" t="str">
        <f>チーム②!L18</f>
        <v>MF</v>
      </c>
      <c r="T39" t="str">
        <f>チーム②!M18</f>
        <v>横山　裕亮</v>
      </c>
    </row>
    <row r="40" spans="10:20" x14ac:dyDescent="0.15">
      <c r="J40" s="21"/>
      <c r="K40" s="21"/>
      <c r="L40" s="21"/>
      <c r="M40" s="21"/>
      <c r="N40" s="27">
        <v>7</v>
      </c>
      <c r="O40" s="21"/>
      <c r="P40" s="21"/>
      <c r="R40">
        <f>チーム②!K19</f>
        <v>16</v>
      </c>
      <c r="S40" t="str">
        <f>チーム②!L19</f>
        <v>MF</v>
      </c>
      <c r="T40" t="str">
        <f>チーム②!M19</f>
        <v>藤田　倖輝</v>
      </c>
    </row>
    <row r="41" spans="10:20" x14ac:dyDescent="0.15">
      <c r="J41" s="21"/>
      <c r="K41" s="21"/>
      <c r="L41" s="21"/>
      <c r="M41" s="21"/>
      <c r="N41" s="27">
        <v>6</v>
      </c>
      <c r="O41" s="21"/>
      <c r="P41" s="21"/>
      <c r="R41">
        <f>チーム②!K20</f>
        <v>17</v>
      </c>
      <c r="S41" t="str">
        <f>チーム②!L20</f>
        <v>MF</v>
      </c>
      <c r="T41" t="str">
        <f>チーム②!M20</f>
        <v>長坂　昇星</v>
      </c>
    </row>
    <row r="42" spans="10:20" x14ac:dyDescent="0.15">
      <c r="J42" s="21"/>
      <c r="K42" s="21"/>
      <c r="L42" s="21"/>
      <c r="M42" s="21"/>
      <c r="N42" s="27">
        <v>5</v>
      </c>
      <c r="O42" s="21"/>
      <c r="P42" s="21"/>
      <c r="R42">
        <f>チーム②!K21</f>
        <v>18</v>
      </c>
      <c r="S42" t="str">
        <f>チーム②!L21</f>
        <v>GK</v>
      </c>
      <c r="T42" t="str">
        <f>チーム②!M21</f>
        <v>北本　竜也</v>
      </c>
    </row>
    <row r="43" spans="10:20" x14ac:dyDescent="0.15">
      <c r="J43" s="21"/>
      <c r="K43" s="21"/>
      <c r="L43" s="21"/>
      <c r="M43" s="21"/>
      <c r="N43" s="27">
        <v>4</v>
      </c>
      <c r="O43" s="21"/>
      <c r="P43" s="21"/>
    </row>
    <row r="44" spans="10:20" x14ac:dyDescent="0.15">
      <c r="J44" s="21"/>
      <c r="K44" s="21"/>
      <c r="L44" s="21"/>
      <c r="M44" s="21"/>
      <c r="N44" s="27">
        <v>3</v>
      </c>
      <c r="O44" s="21"/>
      <c r="P44" s="21"/>
    </row>
    <row r="45" spans="10:20" x14ac:dyDescent="0.15">
      <c r="J45" s="21"/>
      <c r="K45" s="21"/>
      <c r="L45" s="21"/>
      <c r="M45" s="21"/>
      <c r="N45" s="27">
        <v>2</v>
      </c>
      <c r="O45" s="21"/>
      <c r="P45" s="21"/>
    </row>
    <row r="46" spans="10:20" x14ac:dyDescent="0.15">
      <c r="J46" s="21"/>
      <c r="K46" s="21"/>
      <c r="L46" s="21"/>
      <c r="M46" s="21"/>
      <c r="N46" s="27">
        <v>1</v>
      </c>
      <c r="O46" s="21"/>
      <c r="P46" s="21"/>
      <c r="R46" t="str">
        <f>チーム③!B7&amp;"中学校"</f>
        <v>小松市立南部中学校</v>
      </c>
      <c r="T46" t="str">
        <f>チーム③!B14</f>
        <v>大島　哲史</v>
      </c>
    </row>
    <row r="47" spans="10:20" x14ac:dyDescent="0.15">
      <c r="J47" s="21"/>
      <c r="K47" s="21"/>
      <c r="L47" s="21"/>
      <c r="M47" s="21"/>
      <c r="N47" s="27">
        <v>0</v>
      </c>
      <c r="O47" s="21"/>
      <c r="P47" s="21"/>
      <c r="R47">
        <f>チーム③!K4</f>
        <v>1</v>
      </c>
      <c r="S47" t="str">
        <f>チーム③!L4</f>
        <v>GK</v>
      </c>
      <c r="T47" t="str">
        <f>チーム③!M4</f>
        <v>宮西　大樹</v>
      </c>
    </row>
    <row r="48" spans="10:20" x14ac:dyDescent="0.15">
      <c r="J48" s="21"/>
      <c r="K48" s="21"/>
      <c r="L48" s="21"/>
      <c r="M48" s="21"/>
      <c r="N48" s="27">
        <v>-1</v>
      </c>
      <c r="O48" s="21"/>
      <c r="P48" s="21"/>
      <c r="R48">
        <f>チーム③!K5</f>
        <v>2</v>
      </c>
      <c r="S48" t="str">
        <f>チーム③!L5</f>
        <v>DF</v>
      </c>
      <c r="T48" t="str">
        <f>チーム③!M5</f>
        <v>島田　遥輝</v>
      </c>
    </row>
    <row r="49" spans="10:20" x14ac:dyDescent="0.15">
      <c r="J49" s="21"/>
      <c r="K49" s="21"/>
      <c r="L49" s="21"/>
      <c r="M49" s="21"/>
      <c r="N49" s="27">
        <v>-2</v>
      </c>
      <c r="O49" s="21"/>
      <c r="P49" s="21"/>
      <c r="R49">
        <f>チーム③!K6</f>
        <v>3</v>
      </c>
      <c r="S49" t="str">
        <f>チーム③!L6</f>
        <v>DF</v>
      </c>
      <c r="T49" t="str">
        <f>チーム③!M6</f>
        <v>下野　滉太</v>
      </c>
    </row>
    <row r="50" spans="10:20" x14ac:dyDescent="0.15">
      <c r="J50" s="21"/>
      <c r="K50" s="21"/>
      <c r="L50" s="21"/>
      <c r="M50" s="21"/>
      <c r="N50" s="27">
        <v>-3</v>
      </c>
      <c r="O50" s="21"/>
      <c r="P50" s="21"/>
      <c r="R50">
        <f>チーム③!K7</f>
        <v>4</v>
      </c>
      <c r="S50" t="str">
        <f>チーム③!L7</f>
        <v>DF</v>
      </c>
      <c r="T50" t="str">
        <f>チーム③!M7</f>
        <v>北村　灯梧</v>
      </c>
    </row>
    <row r="51" spans="10:20" x14ac:dyDescent="0.15">
      <c r="J51" s="21"/>
      <c r="K51" s="21"/>
      <c r="L51" s="21"/>
      <c r="M51" s="21"/>
      <c r="N51" s="27">
        <v>-4</v>
      </c>
      <c r="O51" s="21"/>
      <c r="P51" s="21"/>
      <c r="R51">
        <f>チーム③!K8</f>
        <v>5</v>
      </c>
      <c r="S51" t="str">
        <f>チーム③!L8</f>
        <v>DF</v>
      </c>
      <c r="T51" t="str">
        <f>チーム③!M8</f>
        <v>橋本　健吾</v>
      </c>
    </row>
    <row r="52" spans="10:20" x14ac:dyDescent="0.15">
      <c r="J52" s="21"/>
      <c r="K52" s="21"/>
      <c r="L52" s="21"/>
      <c r="M52" s="21"/>
      <c r="N52" s="27">
        <v>-5</v>
      </c>
      <c r="O52" s="21"/>
      <c r="P52" s="21"/>
      <c r="R52">
        <f>チーム③!K9</f>
        <v>6</v>
      </c>
      <c r="S52" t="str">
        <f>チーム③!L9</f>
        <v>MF</v>
      </c>
      <c r="T52" t="str">
        <f>チーム③!M9</f>
        <v>猪辺　稜斗</v>
      </c>
    </row>
    <row r="53" spans="10:20" x14ac:dyDescent="0.15">
      <c r="J53" s="21"/>
      <c r="K53" s="21"/>
      <c r="L53" s="21"/>
      <c r="M53" s="21"/>
      <c r="N53" s="27">
        <v>-6</v>
      </c>
      <c r="O53" s="21"/>
      <c r="P53" s="21"/>
      <c r="R53">
        <f>チーム③!K10</f>
        <v>7</v>
      </c>
      <c r="S53" t="str">
        <f>チーム③!L10</f>
        <v>MF</v>
      </c>
      <c r="T53" t="str">
        <f>チーム③!M10</f>
        <v>澤本　凌佑</v>
      </c>
    </row>
    <row r="54" spans="10:20" x14ac:dyDescent="0.15">
      <c r="J54" s="21"/>
      <c r="K54" s="21"/>
      <c r="L54" s="21"/>
      <c r="M54" s="21"/>
      <c r="N54" s="27">
        <v>-7</v>
      </c>
      <c r="O54" s="21"/>
      <c r="P54" s="21"/>
      <c r="R54">
        <f>チーム③!K11</f>
        <v>8</v>
      </c>
      <c r="S54" t="str">
        <f>チーム③!L11</f>
        <v>MF</v>
      </c>
      <c r="T54" t="str">
        <f>チーム③!M11</f>
        <v>北村　丞梧</v>
      </c>
    </row>
    <row r="55" spans="10:20" x14ac:dyDescent="0.15">
      <c r="J55" s="21"/>
      <c r="K55" s="21"/>
      <c r="L55" s="21"/>
      <c r="M55" s="21"/>
      <c r="N55" s="27">
        <v>-8</v>
      </c>
      <c r="O55" s="21"/>
      <c r="P55" s="21"/>
      <c r="R55">
        <f>チーム③!K12</f>
        <v>9</v>
      </c>
      <c r="S55" t="str">
        <f>チーム③!L12</f>
        <v>FW</v>
      </c>
      <c r="T55" t="str">
        <f>チーム③!M12</f>
        <v>西田　響</v>
      </c>
    </row>
    <row r="56" spans="10:20" x14ac:dyDescent="0.15">
      <c r="J56" s="21"/>
      <c r="K56" s="21"/>
      <c r="L56" s="21"/>
      <c r="M56" s="21"/>
      <c r="N56" s="27">
        <v>-9</v>
      </c>
      <c r="O56" s="21"/>
      <c r="P56" s="21"/>
      <c r="R56">
        <f>チーム③!K13</f>
        <v>10</v>
      </c>
      <c r="S56" t="str">
        <f>チーム③!L13</f>
        <v>MF</v>
      </c>
      <c r="T56" t="str">
        <f>チーム③!M13</f>
        <v>濱岡　駿太郎</v>
      </c>
    </row>
    <row r="57" spans="10:20" x14ac:dyDescent="0.15">
      <c r="J57" s="21"/>
      <c r="K57" s="21"/>
      <c r="L57" s="21"/>
      <c r="M57" s="21"/>
      <c r="N57" s="27">
        <v>-10</v>
      </c>
      <c r="O57" s="21"/>
      <c r="P57" s="21"/>
      <c r="R57">
        <f>チーム③!K14</f>
        <v>11</v>
      </c>
      <c r="S57" t="str">
        <f>チーム③!L14</f>
        <v>FW</v>
      </c>
      <c r="T57" t="str">
        <f>チーム③!M14</f>
        <v>農田　蓮</v>
      </c>
    </row>
    <row r="58" spans="10:20" x14ac:dyDescent="0.15">
      <c r="J58" s="21"/>
      <c r="K58" s="21"/>
      <c r="L58" s="21"/>
      <c r="M58" s="21"/>
      <c r="N58" s="27">
        <v>-11</v>
      </c>
      <c r="O58" s="21"/>
      <c r="P58" s="21"/>
      <c r="R58">
        <f>チーム③!K15</f>
        <v>12</v>
      </c>
      <c r="S58" t="str">
        <f>チーム③!L15</f>
        <v>DF</v>
      </c>
      <c r="T58" t="str">
        <f>チーム③!M15</f>
        <v>清水　悠生</v>
      </c>
    </row>
    <row r="59" spans="10:20" x14ac:dyDescent="0.15">
      <c r="J59" s="21"/>
      <c r="K59" s="21"/>
      <c r="L59" s="21"/>
      <c r="M59" s="21"/>
      <c r="N59" s="27">
        <v>-12</v>
      </c>
      <c r="O59" s="21"/>
      <c r="P59" s="21"/>
      <c r="R59">
        <f>チーム③!K16</f>
        <v>13</v>
      </c>
      <c r="S59" t="str">
        <f>チーム③!L16</f>
        <v>MF</v>
      </c>
      <c r="T59" t="str">
        <f>チーム③!M16</f>
        <v>戸田　亘</v>
      </c>
    </row>
    <row r="60" spans="10:20" x14ac:dyDescent="0.15">
      <c r="J60" s="21"/>
      <c r="K60" s="21"/>
      <c r="L60" s="21"/>
      <c r="M60" s="21"/>
      <c r="N60" s="27">
        <v>-13</v>
      </c>
      <c r="O60" s="21"/>
      <c r="P60" s="21"/>
      <c r="R60">
        <f>チーム③!K17</f>
        <v>14</v>
      </c>
      <c r="S60" t="str">
        <f>チーム③!L17</f>
        <v>FW</v>
      </c>
      <c r="T60" t="str">
        <f>チーム③!M17</f>
        <v>宮野　裕生</v>
      </c>
    </row>
    <row r="61" spans="10:20" x14ac:dyDescent="0.15">
      <c r="J61" s="21"/>
      <c r="K61" s="21"/>
      <c r="L61" s="21"/>
      <c r="M61" s="21"/>
      <c r="N61" s="27">
        <v>-14</v>
      </c>
      <c r="O61" s="21"/>
      <c r="P61" s="21"/>
      <c r="R61">
        <f>チーム③!K18</f>
        <v>15</v>
      </c>
      <c r="S61" t="str">
        <f>チーム③!L18</f>
        <v>FW</v>
      </c>
      <c r="T61" t="str">
        <f>チーム③!M18</f>
        <v>藤田　永遠</v>
      </c>
    </row>
    <row r="62" spans="10:20" x14ac:dyDescent="0.15">
      <c r="J62" s="21"/>
      <c r="K62" s="21"/>
      <c r="L62" s="21"/>
      <c r="M62" s="21"/>
      <c r="N62" s="27">
        <v>-15</v>
      </c>
      <c r="O62" s="21"/>
      <c r="P62" s="21"/>
      <c r="R62">
        <f>チーム③!K19</f>
        <v>16</v>
      </c>
      <c r="S62" t="str">
        <f>チーム③!L19</f>
        <v>DF</v>
      </c>
      <c r="T62" t="str">
        <f>チーム③!M19</f>
        <v>寺田　恵太朗</v>
      </c>
    </row>
    <row r="63" spans="10:20" x14ac:dyDescent="0.15">
      <c r="J63" s="21"/>
      <c r="K63" s="21"/>
      <c r="L63" s="21"/>
      <c r="M63" s="21"/>
      <c r="N63" s="27">
        <v>-16</v>
      </c>
      <c r="O63" s="21"/>
      <c r="P63" s="21"/>
      <c r="R63">
        <f>チーム③!K20</f>
        <v>17</v>
      </c>
      <c r="S63" t="str">
        <f>チーム③!L20</f>
        <v>MF</v>
      </c>
      <c r="T63" t="str">
        <f>チーム③!M20</f>
        <v>原田　飛翔</v>
      </c>
    </row>
    <row r="64" spans="10:20" x14ac:dyDescent="0.15">
      <c r="J64" s="21"/>
      <c r="K64" s="21"/>
      <c r="L64" s="21"/>
      <c r="M64" s="21"/>
      <c r="N64" s="27">
        <v>-17</v>
      </c>
      <c r="O64" s="21"/>
      <c r="P64" s="21"/>
      <c r="R64">
        <f>チーム③!K21</f>
        <v>18</v>
      </c>
      <c r="S64" t="str">
        <f>チーム③!L21</f>
        <v>GK</v>
      </c>
      <c r="T64" t="str">
        <f>チーム③!M21</f>
        <v>吉野　心晟</v>
      </c>
    </row>
    <row r="65" spans="10:20" x14ac:dyDescent="0.15">
      <c r="J65" s="21"/>
      <c r="K65" s="21"/>
      <c r="L65" s="21"/>
      <c r="M65" s="21"/>
      <c r="N65" s="27">
        <v>-18</v>
      </c>
      <c r="O65" s="21"/>
      <c r="P65" s="21"/>
    </row>
    <row r="66" spans="10:20" x14ac:dyDescent="0.15">
      <c r="J66" s="21"/>
      <c r="K66" s="21"/>
      <c r="L66" s="21"/>
      <c r="M66" s="21"/>
      <c r="N66" s="27">
        <v>-19</v>
      </c>
      <c r="O66" s="21"/>
      <c r="P66" s="21"/>
    </row>
    <row r="67" spans="10:20" ht="14.25" thickBot="1" x14ac:dyDescent="0.2">
      <c r="J67" s="21"/>
      <c r="K67" s="21"/>
      <c r="L67" s="21"/>
      <c r="M67" s="21"/>
      <c r="N67" s="30">
        <v>-20</v>
      </c>
      <c r="O67" s="21"/>
      <c r="P67" s="21"/>
    </row>
    <row r="68" spans="10:20" ht="14.25" thickTop="1" x14ac:dyDescent="0.15">
      <c r="R68" t="str">
        <f>チーム④!B7&amp;"中学校"</f>
        <v>金沢市立西南部中学校</v>
      </c>
      <c r="T68" t="str">
        <f>チーム④!B14</f>
        <v>千木　良介</v>
      </c>
    </row>
    <row r="69" spans="10:20" x14ac:dyDescent="0.15">
      <c r="R69">
        <f>チーム④!K4</f>
        <v>1</v>
      </c>
      <c r="S69" t="str">
        <f>チーム④!L4</f>
        <v>GK</v>
      </c>
      <c r="T69" t="str">
        <f>チーム④!M4</f>
        <v>松井　佑靜</v>
      </c>
    </row>
    <row r="70" spans="10:20" x14ac:dyDescent="0.15">
      <c r="R70">
        <f>チーム④!K5</f>
        <v>2</v>
      </c>
      <c r="S70" t="str">
        <f>チーム④!L5</f>
        <v>DF</v>
      </c>
      <c r="T70" t="str">
        <f>チーム④!M5</f>
        <v>松本　優士</v>
      </c>
    </row>
    <row r="71" spans="10:20" x14ac:dyDescent="0.15">
      <c r="R71">
        <f>チーム④!K6</f>
        <v>3</v>
      </c>
      <c r="S71" t="str">
        <f>チーム④!L6</f>
        <v>DF</v>
      </c>
      <c r="T71" t="str">
        <f>チーム④!M6</f>
        <v>諸田　恭佑</v>
      </c>
    </row>
    <row r="72" spans="10:20" x14ac:dyDescent="0.15">
      <c r="R72">
        <f>チーム④!K7</f>
        <v>4</v>
      </c>
      <c r="S72" t="str">
        <f>チーム④!L7</f>
        <v>DF</v>
      </c>
      <c r="T72" t="str">
        <f>チーム④!M7</f>
        <v>濱本　恒汰</v>
      </c>
    </row>
    <row r="73" spans="10:20" x14ac:dyDescent="0.15">
      <c r="R73">
        <f>チーム④!K8</f>
        <v>5</v>
      </c>
      <c r="S73" t="str">
        <f>チーム④!L8</f>
        <v>DF</v>
      </c>
      <c r="T73" t="str">
        <f>チーム④!M8</f>
        <v>陽本　健太</v>
      </c>
    </row>
    <row r="74" spans="10:20" x14ac:dyDescent="0.15">
      <c r="R74">
        <f>チーム④!K9</f>
        <v>6</v>
      </c>
      <c r="S74" t="str">
        <f>チーム④!L9</f>
        <v>MF</v>
      </c>
      <c r="T74" t="str">
        <f>チーム④!M9</f>
        <v>釣　輝昂</v>
      </c>
    </row>
    <row r="75" spans="10:20" x14ac:dyDescent="0.15">
      <c r="R75">
        <f>チーム④!K10</f>
        <v>7</v>
      </c>
      <c r="S75" t="str">
        <f>チーム④!L10</f>
        <v>MF</v>
      </c>
      <c r="T75" t="str">
        <f>チーム④!M10</f>
        <v>中農　響</v>
      </c>
    </row>
    <row r="76" spans="10:20" x14ac:dyDescent="0.15">
      <c r="R76">
        <f>チーム④!K11</f>
        <v>8</v>
      </c>
      <c r="S76" t="str">
        <f>チーム④!L11</f>
        <v>MF</v>
      </c>
      <c r="T76" t="str">
        <f>チーム④!M11</f>
        <v>松永　涼雅</v>
      </c>
    </row>
    <row r="77" spans="10:20" x14ac:dyDescent="0.15">
      <c r="R77">
        <f>チーム④!K12</f>
        <v>9</v>
      </c>
      <c r="S77" t="str">
        <f>チーム④!L12</f>
        <v>MF</v>
      </c>
      <c r="T77" t="str">
        <f>チーム④!M12</f>
        <v>上馬　大知</v>
      </c>
    </row>
    <row r="78" spans="10:20" x14ac:dyDescent="0.15">
      <c r="R78">
        <f>チーム④!K13</f>
        <v>10</v>
      </c>
      <c r="S78" t="str">
        <f>チーム④!L13</f>
        <v>MF</v>
      </c>
      <c r="T78" t="str">
        <f>チーム④!M13</f>
        <v>須﨑　由尊</v>
      </c>
    </row>
    <row r="79" spans="10:20" x14ac:dyDescent="0.15">
      <c r="R79">
        <f>チーム④!K14</f>
        <v>11</v>
      </c>
      <c r="S79" t="str">
        <f>チーム④!L14</f>
        <v>FW</v>
      </c>
      <c r="T79" t="str">
        <f>チーム④!M14</f>
        <v>杉山　真啓</v>
      </c>
    </row>
    <row r="80" spans="10:20" x14ac:dyDescent="0.15">
      <c r="R80">
        <f>チーム④!K15</f>
        <v>12</v>
      </c>
      <c r="S80" t="str">
        <f>チーム④!L15</f>
        <v>MF</v>
      </c>
      <c r="T80" t="str">
        <f>チーム④!M15</f>
        <v>村上　天馬</v>
      </c>
    </row>
    <row r="81" spans="18:20" x14ac:dyDescent="0.15">
      <c r="R81">
        <f>チーム④!K16</f>
        <v>13</v>
      </c>
      <c r="S81" t="str">
        <f>チーム④!L16</f>
        <v>FW</v>
      </c>
      <c r="T81" t="str">
        <f>チーム④!M16</f>
        <v>赤丸　太一</v>
      </c>
    </row>
    <row r="82" spans="18:20" x14ac:dyDescent="0.15">
      <c r="R82">
        <f>チーム④!K17</f>
        <v>14</v>
      </c>
      <c r="S82" t="str">
        <f>チーム④!L17</f>
        <v>MF</v>
      </c>
      <c r="T82" t="str">
        <f>チーム④!M17</f>
        <v>山﨑　壮</v>
      </c>
    </row>
    <row r="83" spans="18:20" x14ac:dyDescent="0.15">
      <c r="R83">
        <f>チーム④!K18</f>
        <v>15</v>
      </c>
      <c r="S83" t="str">
        <f>チーム④!L18</f>
        <v>DF</v>
      </c>
      <c r="T83" t="str">
        <f>チーム④!M18</f>
        <v>吉田　京矢</v>
      </c>
    </row>
    <row r="84" spans="18:20" x14ac:dyDescent="0.15">
      <c r="R84">
        <f>チーム④!K19</f>
        <v>16</v>
      </c>
      <c r="S84" t="str">
        <f>チーム④!L19</f>
        <v>GK</v>
      </c>
      <c r="T84" t="str">
        <f>チーム④!M19</f>
        <v>竹内　慎之助</v>
      </c>
    </row>
    <row r="85" spans="18:20" x14ac:dyDescent="0.15">
      <c r="R85">
        <f>チーム④!K20</f>
        <v>17</v>
      </c>
      <c r="S85" t="str">
        <f>チーム④!L20</f>
        <v>DF</v>
      </c>
      <c r="T85" t="str">
        <f>チーム④!M20</f>
        <v>小林　昂純</v>
      </c>
    </row>
    <row r="86" spans="18:20" x14ac:dyDescent="0.15">
      <c r="R86">
        <f>チーム④!K21</f>
        <v>18</v>
      </c>
      <c r="S86" t="str">
        <f>チーム④!L21</f>
        <v>DF</v>
      </c>
      <c r="T86" t="str">
        <f>チーム④!M21</f>
        <v>松井　大輝</v>
      </c>
    </row>
  </sheetData>
  <phoneticPr fontId="2"/>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5"/>
    <pageSetUpPr fitToPage="1"/>
  </sheetPr>
  <dimension ref="A1:BN82"/>
  <sheetViews>
    <sheetView zoomScale="115" zoomScaleNormal="115" workbookViewId="0">
      <selection activeCell="BA33" sqref="BA33"/>
    </sheetView>
  </sheetViews>
  <sheetFormatPr defaultColWidth="9" defaultRowHeight="14.25" x14ac:dyDescent="0.2"/>
  <cols>
    <col min="1" max="10" width="3" style="219" customWidth="1"/>
    <col min="11" max="11" width="2.375" style="219" customWidth="1"/>
    <col min="12" max="13" width="0.625" style="219" customWidth="1"/>
    <col min="14" max="14" width="2.375" style="219" customWidth="1"/>
    <col min="15" max="34" width="3" style="219" customWidth="1"/>
    <col min="35" max="35" width="2.875" style="219" customWidth="1"/>
    <col min="36" max="41" width="2.625" style="219" customWidth="1"/>
    <col min="42" max="43" width="5.375" style="219" hidden="1" customWidth="1"/>
    <col min="44" max="44" width="7.375" style="219" hidden="1" customWidth="1"/>
    <col min="45" max="45" width="13.375" style="219" hidden="1" customWidth="1"/>
    <col min="46" max="47" width="5.375" style="219" hidden="1" customWidth="1"/>
    <col min="48" max="48" width="5.625" style="219" hidden="1" customWidth="1"/>
    <col min="49" max="49" width="13.125" style="219" hidden="1" customWidth="1"/>
    <col min="50" max="50" width="9" style="219"/>
    <col min="51" max="51" width="12.375" style="58" customWidth="1"/>
    <col min="52" max="52" width="3.125" style="58" customWidth="1"/>
    <col min="53" max="53" width="12.375" style="58" customWidth="1"/>
    <col min="54" max="54" width="3.125" style="58" customWidth="1"/>
    <col min="55" max="55" width="12.375" style="58" customWidth="1"/>
    <col min="56" max="56" width="3.125" style="58" customWidth="1"/>
    <col min="57" max="58" width="12.375" style="58" customWidth="1"/>
    <col min="59" max="59" width="3.125" style="58" customWidth="1"/>
    <col min="60" max="60" width="12.375" style="58" customWidth="1"/>
    <col min="61" max="61" width="3.125" style="58" customWidth="1"/>
    <col min="62" max="62" width="12.375" style="58" customWidth="1"/>
    <col min="63" max="63" width="3.125" style="58" customWidth="1"/>
    <col min="64" max="64" width="12.375" style="58" customWidth="1"/>
    <col min="65" max="65" width="3.125" style="58" customWidth="1"/>
    <col min="66" max="66" width="12.375" style="58" customWidth="1"/>
    <col min="67" max="16384" width="9" style="219"/>
  </cols>
  <sheetData>
    <row r="1" spans="1:66" ht="12.75" customHeight="1" thickBot="1" x14ac:dyDescent="0.25">
      <c r="A1" s="773" t="s">
        <v>179</v>
      </c>
      <c r="B1" s="773"/>
      <c r="C1" s="773"/>
      <c r="D1" s="773"/>
      <c r="E1" s="773"/>
      <c r="F1" s="773"/>
      <c r="G1" s="773"/>
      <c r="H1" s="773"/>
      <c r="I1" s="773"/>
      <c r="J1" s="773"/>
      <c r="K1" s="773"/>
      <c r="L1" s="773"/>
      <c r="M1" s="773"/>
      <c r="N1" s="773"/>
      <c r="O1" s="773"/>
      <c r="P1" s="773"/>
      <c r="Q1" s="218"/>
      <c r="R1" s="218"/>
      <c r="S1" s="218"/>
      <c r="T1" s="218"/>
      <c r="U1" s="218"/>
      <c r="V1" s="218"/>
      <c r="W1" s="774" t="s">
        <v>180</v>
      </c>
      <c r="X1" s="774"/>
      <c r="Y1" s="774"/>
      <c r="Z1" s="774"/>
      <c r="AA1" s="774"/>
      <c r="AB1" s="774"/>
      <c r="AC1" s="774" t="s">
        <v>181</v>
      </c>
      <c r="AD1" s="774"/>
      <c r="AE1" s="774"/>
      <c r="AF1" s="774"/>
      <c r="AG1" s="774"/>
      <c r="AH1" s="774"/>
      <c r="AY1" s="58" t="s">
        <v>182</v>
      </c>
      <c r="BA1" s="58" t="s">
        <v>183</v>
      </c>
      <c r="BC1" s="58" t="s">
        <v>184</v>
      </c>
      <c r="BE1" s="58" t="s">
        <v>185</v>
      </c>
      <c r="BH1" s="220" t="s">
        <v>186</v>
      </c>
      <c r="BI1" s="220"/>
      <c r="BJ1" s="220" t="s">
        <v>187</v>
      </c>
      <c r="BK1" s="220"/>
      <c r="BL1" s="220" t="s">
        <v>188</v>
      </c>
      <c r="BM1" s="220"/>
      <c r="BN1" s="220" t="s">
        <v>189</v>
      </c>
    </row>
    <row r="2" spans="1:66" ht="12.75" customHeight="1" thickTop="1" x14ac:dyDescent="0.2">
      <c r="A2" s="785" t="str">
        <f ca="1">"第"&amp;YEAR(NOW())-1962&amp;"回 石川県中学校サッカー大会公式記録"</f>
        <v>第63回 石川県中学校サッカー大会公式記録</v>
      </c>
      <c r="B2" s="785"/>
      <c r="C2" s="785"/>
      <c r="D2" s="785"/>
      <c r="E2" s="785"/>
      <c r="F2" s="785"/>
      <c r="G2" s="785"/>
      <c r="H2" s="785"/>
      <c r="I2" s="785"/>
      <c r="J2" s="785"/>
      <c r="K2" s="785"/>
      <c r="L2" s="785"/>
      <c r="M2" s="785"/>
      <c r="N2" s="785"/>
      <c r="O2" s="785"/>
      <c r="P2" s="785"/>
      <c r="Q2" s="785"/>
      <c r="R2" s="785"/>
      <c r="S2" s="785"/>
      <c r="T2" s="785"/>
      <c r="U2" s="785"/>
      <c r="V2" s="221"/>
      <c r="W2" s="775" t="str">
        <f>IF(F7="","",F7)</f>
        <v/>
      </c>
      <c r="X2" s="775"/>
      <c r="Y2" s="775"/>
      <c r="Z2" s="775"/>
      <c r="AA2" s="775"/>
      <c r="AB2" s="775"/>
      <c r="AC2" s="775" t="str">
        <f>IF(F8="","",F8)</f>
        <v/>
      </c>
      <c r="AD2" s="775"/>
      <c r="AE2" s="775"/>
      <c r="AF2" s="775"/>
      <c r="AG2" s="775"/>
      <c r="AH2" s="775"/>
      <c r="AY2" s="222" t="s">
        <v>190</v>
      </c>
      <c r="BA2" s="222" t="s">
        <v>191</v>
      </c>
      <c r="BC2" s="222" t="s">
        <v>192</v>
      </c>
      <c r="BE2" s="223" t="s">
        <v>193</v>
      </c>
      <c r="BF2" s="222" t="s">
        <v>194</v>
      </c>
      <c r="BH2" s="224" t="s">
        <v>195</v>
      </c>
      <c r="BI2" s="220"/>
      <c r="BJ2" s="224">
        <v>5</v>
      </c>
      <c r="BK2" s="220"/>
      <c r="BL2" s="224">
        <v>45</v>
      </c>
      <c r="BM2" s="220"/>
      <c r="BN2" s="224" t="s">
        <v>196</v>
      </c>
    </row>
    <row r="3" spans="1:66" ht="12.75" customHeight="1" x14ac:dyDescent="0.2">
      <c r="A3" s="785"/>
      <c r="B3" s="785"/>
      <c r="C3" s="785"/>
      <c r="D3" s="785"/>
      <c r="E3" s="785"/>
      <c r="F3" s="785"/>
      <c r="G3" s="785"/>
      <c r="H3" s="785"/>
      <c r="I3" s="785"/>
      <c r="J3" s="785"/>
      <c r="K3" s="785"/>
      <c r="L3" s="785"/>
      <c r="M3" s="785"/>
      <c r="N3" s="785"/>
      <c r="O3" s="785"/>
      <c r="P3" s="785"/>
      <c r="Q3" s="785"/>
      <c r="R3" s="785"/>
      <c r="S3" s="785"/>
      <c r="T3" s="785"/>
      <c r="U3" s="785"/>
      <c r="V3" s="221"/>
      <c r="W3" s="776"/>
      <c r="X3" s="776"/>
      <c r="Y3" s="776"/>
      <c r="Z3" s="776"/>
      <c r="AA3" s="776"/>
      <c r="AB3" s="776"/>
      <c r="AC3" s="776"/>
      <c r="AD3" s="776"/>
      <c r="AE3" s="776"/>
      <c r="AF3" s="776"/>
      <c r="AG3" s="776"/>
      <c r="AH3" s="776"/>
      <c r="AY3" s="225" t="s">
        <v>197</v>
      </c>
      <c r="BA3" s="225" t="s">
        <v>198</v>
      </c>
      <c r="BC3" s="225" t="s">
        <v>199</v>
      </c>
      <c r="BE3" s="226" t="s">
        <v>200</v>
      </c>
      <c r="BF3" s="225" t="s">
        <v>201</v>
      </c>
      <c r="BH3" s="227" t="s">
        <v>202</v>
      </c>
      <c r="BI3" s="220"/>
      <c r="BJ3" s="227">
        <v>10</v>
      </c>
      <c r="BK3" s="220"/>
      <c r="BL3" s="227">
        <v>44</v>
      </c>
      <c r="BM3" s="220"/>
      <c r="BN3" s="227" t="s">
        <v>203</v>
      </c>
    </row>
    <row r="4" spans="1:66" ht="12.75" customHeight="1" x14ac:dyDescent="0.2">
      <c r="A4" s="777" t="s">
        <v>204</v>
      </c>
      <c r="B4" s="777"/>
      <c r="C4" s="777"/>
      <c r="D4" s="777"/>
      <c r="E4" s="777"/>
      <c r="F4" s="777"/>
      <c r="G4" s="777"/>
      <c r="H4" s="777"/>
      <c r="I4" s="777"/>
      <c r="J4" s="777"/>
      <c r="K4" s="777"/>
      <c r="L4" s="777"/>
      <c r="M4" s="777"/>
      <c r="N4" s="777"/>
      <c r="O4" s="777"/>
      <c r="P4" s="777"/>
      <c r="Q4" s="777"/>
      <c r="R4" s="777"/>
      <c r="S4" s="777"/>
      <c r="T4" s="777"/>
      <c r="U4" s="777"/>
      <c r="V4" s="777"/>
      <c r="W4" s="777"/>
      <c r="X4" s="777"/>
      <c r="Y4" s="777"/>
      <c r="Z4" s="777"/>
      <c r="AA4" s="777"/>
      <c r="AB4" s="777"/>
      <c r="AC4" s="777"/>
      <c r="AD4" s="777"/>
      <c r="AE4" s="777"/>
      <c r="AF4" s="777"/>
      <c r="AG4" s="777"/>
      <c r="AH4" s="777"/>
      <c r="AY4" s="225" t="s">
        <v>205</v>
      </c>
      <c r="BA4" s="225" t="s">
        <v>206</v>
      </c>
      <c r="BC4" s="225" t="s">
        <v>207</v>
      </c>
      <c r="BE4" s="226"/>
      <c r="BF4" s="225"/>
      <c r="BH4" s="227" t="s">
        <v>208</v>
      </c>
      <c r="BI4" s="220"/>
      <c r="BJ4" s="227">
        <v>15</v>
      </c>
      <c r="BK4" s="220"/>
      <c r="BL4" s="227">
        <v>43</v>
      </c>
      <c r="BM4" s="220"/>
      <c r="BN4" s="227" t="s">
        <v>209</v>
      </c>
    </row>
    <row r="5" spans="1:66" ht="12.75" customHeight="1" x14ac:dyDescent="0.2">
      <c r="A5" s="778" t="s">
        <v>210</v>
      </c>
      <c r="B5" s="779"/>
      <c r="C5" s="779"/>
      <c r="D5" s="779"/>
      <c r="E5" s="780">
        <f ca="1">マッチ第3!C9</f>
        <v>45857</v>
      </c>
      <c r="F5" s="780"/>
      <c r="G5" s="780"/>
      <c r="H5" s="781"/>
      <c r="I5" s="782">
        <f>マッチ第3!G9</f>
        <v>0.5625</v>
      </c>
      <c r="J5" s="783"/>
      <c r="K5" s="779" t="s">
        <v>211</v>
      </c>
      <c r="L5" s="779"/>
      <c r="M5" s="779"/>
      <c r="N5" s="779"/>
      <c r="O5" s="779" t="s">
        <v>212</v>
      </c>
      <c r="P5" s="779"/>
      <c r="Q5" s="779"/>
      <c r="R5" s="779"/>
      <c r="S5" s="779"/>
      <c r="T5" s="779"/>
      <c r="U5" s="779" t="s">
        <v>213</v>
      </c>
      <c r="V5" s="779"/>
      <c r="W5" s="779" t="str">
        <f>マッチ第3!C18</f>
        <v>スカイパーク Bコート</v>
      </c>
      <c r="X5" s="779"/>
      <c r="Y5" s="779"/>
      <c r="Z5" s="779"/>
      <c r="AA5" s="779"/>
      <c r="AB5" s="779"/>
      <c r="AC5" s="779"/>
      <c r="AD5" s="779"/>
      <c r="AE5" s="779"/>
      <c r="AF5" s="779"/>
      <c r="AG5" s="779"/>
      <c r="AH5" s="784"/>
      <c r="AY5" s="225" t="s">
        <v>214</v>
      </c>
      <c r="BA5" s="225" t="s">
        <v>215</v>
      </c>
      <c r="BC5" s="225" t="s">
        <v>216</v>
      </c>
      <c r="BE5" s="226"/>
      <c r="BF5" s="225"/>
      <c r="BH5" s="227" t="s">
        <v>217</v>
      </c>
      <c r="BI5" s="220"/>
      <c r="BJ5" s="227">
        <v>20</v>
      </c>
      <c r="BK5" s="220"/>
      <c r="BL5" s="227">
        <v>42</v>
      </c>
      <c r="BM5" s="220"/>
      <c r="BN5" s="227" t="s">
        <v>128</v>
      </c>
    </row>
    <row r="6" spans="1:66" ht="12.75" customHeight="1" x14ac:dyDescent="0.2">
      <c r="A6" s="792" t="s">
        <v>218</v>
      </c>
      <c r="B6" s="790"/>
      <c r="C6" s="786"/>
      <c r="D6" s="787"/>
      <c r="E6" s="787"/>
      <c r="F6" s="787"/>
      <c r="G6" s="787"/>
      <c r="H6" s="787"/>
      <c r="I6" s="787"/>
      <c r="J6" s="787"/>
      <c r="K6" s="787"/>
      <c r="L6" s="788"/>
      <c r="M6" s="789"/>
      <c r="N6" s="790" t="s">
        <v>219</v>
      </c>
      <c r="O6" s="790"/>
      <c r="P6" s="793"/>
      <c r="Q6" s="794"/>
      <c r="R6" s="790" t="s">
        <v>220</v>
      </c>
      <c r="S6" s="790"/>
      <c r="T6" s="795"/>
      <c r="U6" s="796"/>
      <c r="V6" s="790" t="s">
        <v>221</v>
      </c>
      <c r="W6" s="790"/>
      <c r="X6" s="790"/>
      <c r="Y6" s="790"/>
      <c r="Z6" s="790"/>
      <c r="AA6" s="790" t="s">
        <v>222</v>
      </c>
      <c r="AB6" s="790"/>
      <c r="AC6" s="790"/>
      <c r="AD6" s="790"/>
      <c r="AE6" s="790"/>
      <c r="AF6" s="790" t="s">
        <v>223</v>
      </c>
      <c r="AG6" s="790"/>
      <c r="AH6" s="791"/>
      <c r="AY6" s="225" t="s">
        <v>224</v>
      </c>
      <c r="BA6" s="225" t="s">
        <v>207</v>
      </c>
      <c r="BC6" s="225" t="s">
        <v>225</v>
      </c>
      <c r="BE6" s="226"/>
      <c r="BF6" s="225"/>
      <c r="BH6" s="227" t="s">
        <v>226</v>
      </c>
      <c r="BI6" s="220"/>
      <c r="BJ6" s="227">
        <v>25</v>
      </c>
      <c r="BK6" s="220"/>
      <c r="BL6" s="227">
        <v>41</v>
      </c>
      <c r="BM6" s="220"/>
      <c r="BN6" s="227"/>
    </row>
    <row r="7" spans="1:66" ht="12.75" customHeight="1" x14ac:dyDescent="0.2">
      <c r="A7" s="792" t="s">
        <v>180</v>
      </c>
      <c r="B7" s="790"/>
      <c r="C7" s="790"/>
      <c r="D7" s="790"/>
      <c r="E7" s="790"/>
      <c r="F7" s="790"/>
      <c r="G7" s="790"/>
      <c r="H7" s="790"/>
      <c r="I7" s="790"/>
      <c r="J7" s="790"/>
      <c r="K7" s="790" t="s">
        <v>227</v>
      </c>
      <c r="L7" s="790"/>
      <c r="M7" s="790"/>
      <c r="N7" s="790"/>
      <c r="O7" s="790"/>
      <c r="P7" s="790"/>
      <c r="Q7" s="790"/>
      <c r="R7" s="790"/>
      <c r="S7" s="790"/>
      <c r="T7" s="790" t="s">
        <v>228</v>
      </c>
      <c r="U7" s="790"/>
      <c r="V7" s="790"/>
      <c r="W7" s="790"/>
      <c r="X7" s="790"/>
      <c r="Y7" s="790"/>
      <c r="Z7" s="790"/>
      <c r="AA7" s="228" t="s">
        <v>229</v>
      </c>
      <c r="AB7" s="790"/>
      <c r="AC7" s="790"/>
      <c r="AD7" s="790"/>
      <c r="AE7" s="790"/>
      <c r="AF7" s="804"/>
      <c r="AG7" s="804"/>
      <c r="AH7" s="805"/>
      <c r="AY7" s="225" t="s">
        <v>230</v>
      </c>
      <c r="BA7" s="225" t="s">
        <v>199</v>
      </c>
      <c r="BC7" s="225" t="s">
        <v>231</v>
      </c>
      <c r="BE7" s="226"/>
      <c r="BF7" s="225"/>
      <c r="BH7" s="227" t="s">
        <v>232</v>
      </c>
      <c r="BI7" s="220"/>
      <c r="BJ7" s="227">
        <v>30</v>
      </c>
      <c r="BK7" s="220"/>
      <c r="BL7" s="227">
        <v>40</v>
      </c>
      <c r="BM7" s="220"/>
      <c r="BN7" s="227"/>
    </row>
    <row r="8" spans="1:66" ht="12.75" customHeight="1" x14ac:dyDescent="0.2">
      <c r="A8" s="809" t="s">
        <v>181</v>
      </c>
      <c r="B8" s="808"/>
      <c r="C8" s="808"/>
      <c r="D8" s="808"/>
      <c r="E8" s="808"/>
      <c r="F8" s="790"/>
      <c r="G8" s="790"/>
      <c r="H8" s="790"/>
      <c r="I8" s="790"/>
      <c r="J8" s="790"/>
      <c r="K8" s="808" t="s">
        <v>233</v>
      </c>
      <c r="L8" s="808"/>
      <c r="M8" s="808"/>
      <c r="N8" s="808"/>
      <c r="O8" s="790"/>
      <c r="P8" s="790"/>
      <c r="Q8" s="790"/>
      <c r="R8" s="790"/>
      <c r="S8" s="790"/>
      <c r="T8" s="808" t="s">
        <v>234</v>
      </c>
      <c r="U8" s="808"/>
      <c r="V8" s="790"/>
      <c r="W8" s="790"/>
      <c r="X8" s="790"/>
      <c r="Y8" s="790"/>
      <c r="Z8" s="790"/>
      <c r="AA8" s="229" t="s">
        <v>235</v>
      </c>
      <c r="AB8" s="808"/>
      <c r="AC8" s="808"/>
      <c r="AD8" s="808"/>
      <c r="AE8" s="808"/>
      <c r="AF8" s="806"/>
      <c r="AG8" s="806"/>
      <c r="AH8" s="807"/>
      <c r="AY8" s="225" t="s">
        <v>236</v>
      </c>
      <c r="BA8" s="225" t="s">
        <v>237</v>
      </c>
      <c r="BC8" s="225" t="s">
        <v>238</v>
      </c>
      <c r="BE8" s="226"/>
      <c r="BF8" s="225"/>
      <c r="BH8" s="227"/>
      <c r="BI8" s="220"/>
      <c r="BJ8" s="227">
        <v>35</v>
      </c>
      <c r="BK8" s="220"/>
      <c r="BL8" s="227">
        <v>39</v>
      </c>
      <c r="BM8" s="220"/>
      <c r="BN8" s="227"/>
    </row>
    <row r="9" spans="1:66" ht="15" customHeight="1" x14ac:dyDescent="0.2">
      <c r="A9" s="810" t="str">
        <f>IF(ISERROR(FIND("立",AQ17)),"",LEFT(AQ17,FIND("立",AQ17)))</f>
        <v/>
      </c>
      <c r="B9" s="811"/>
      <c r="C9" s="811"/>
      <c r="D9" s="811"/>
      <c r="E9" s="811"/>
      <c r="F9" s="230"/>
      <c r="G9" s="230"/>
      <c r="H9" s="230"/>
      <c r="I9" s="231"/>
      <c r="J9" s="963"/>
      <c r="K9" s="954"/>
      <c r="L9" s="954"/>
      <c r="M9" s="954"/>
      <c r="N9" s="954"/>
      <c r="O9" s="799"/>
      <c r="P9" s="800"/>
      <c r="Q9" s="801" t="s">
        <v>239</v>
      </c>
      <c r="R9" s="802"/>
      <c r="S9" s="802"/>
      <c r="T9" s="803"/>
      <c r="U9" s="952"/>
      <c r="V9" s="953"/>
      <c r="W9" s="954"/>
      <c r="X9" s="954"/>
      <c r="Y9" s="955"/>
      <c r="Z9" s="810" t="str">
        <f>IF(ISERROR(FIND("立",AU17)),"",LEFT(AU17,FIND("立",AU17)))</f>
        <v/>
      </c>
      <c r="AA9" s="811"/>
      <c r="AB9" s="811"/>
      <c r="AC9" s="811"/>
      <c r="AD9" s="811"/>
      <c r="AE9" s="230"/>
      <c r="AF9" s="230"/>
      <c r="AG9" s="230"/>
      <c r="AH9" s="231"/>
      <c r="AY9" s="225" t="s">
        <v>240</v>
      </c>
      <c r="BA9" s="225" t="s">
        <v>241</v>
      </c>
      <c r="BC9" s="225"/>
      <c r="BE9" s="226"/>
      <c r="BF9" s="225"/>
      <c r="BH9" s="227"/>
      <c r="BI9" s="220"/>
      <c r="BJ9" s="227">
        <v>40</v>
      </c>
      <c r="BK9" s="220"/>
      <c r="BL9" s="227">
        <v>38</v>
      </c>
      <c r="BM9" s="220"/>
      <c r="BN9" s="227"/>
    </row>
    <row r="10" spans="1:66" ht="12.75" hidden="1" customHeight="1" x14ac:dyDescent="0.2">
      <c r="A10" s="232" t="e">
        <f>#REF!</f>
        <v>#REF!</v>
      </c>
      <c r="B10" s="233" t="e">
        <f>Z10</f>
        <v>#REF!</v>
      </c>
      <c r="C10" s="221"/>
      <c r="D10" s="221"/>
      <c r="E10" s="221"/>
      <c r="F10" s="221"/>
      <c r="G10" s="221"/>
      <c r="H10" s="221"/>
      <c r="I10" s="234"/>
      <c r="J10" s="964"/>
      <c r="K10" s="956"/>
      <c r="L10" s="956"/>
      <c r="M10" s="956"/>
      <c r="N10" s="956"/>
      <c r="O10" s="814"/>
      <c r="P10" s="815"/>
      <c r="Q10" s="235"/>
      <c r="R10" s="236"/>
      <c r="S10" s="236"/>
      <c r="T10" s="237"/>
      <c r="U10" s="812"/>
      <c r="V10" s="813"/>
      <c r="W10" s="956"/>
      <c r="X10" s="956"/>
      <c r="Y10" s="957"/>
      <c r="Z10" s="232" t="e">
        <f>#REF!</f>
        <v>#REF!</v>
      </c>
      <c r="AA10" s="221"/>
      <c r="AB10" s="221"/>
      <c r="AC10" s="221"/>
      <c r="AD10" s="221"/>
      <c r="AE10" s="221"/>
      <c r="AF10" s="221"/>
      <c r="AG10" s="221"/>
      <c r="AH10" s="234"/>
      <c r="AY10" s="225" t="s">
        <v>242</v>
      </c>
      <c r="BA10" s="225"/>
      <c r="BC10" s="225"/>
      <c r="BE10" s="226"/>
      <c r="BF10" s="225"/>
      <c r="BH10" s="227"/>
      <c r="BI10" s="220"/>
      <c r="BJ10" s="227">
        <v>45</v>
      </c>
      <c r="BK10" s="220"/>
      <c r="BL10" s="227">
        <v>37</v>
      </c>
      <c r="BM10" s="220"/>
      <c r="BN10" s="227"/>
    </row>
    <row r="11" spans="1:66" ht="15" customHeight="1" x14ac:dyDescent="0.2">
      <c r="A11" s="946" t="str">
        <f>IF(ISERROR(FIND("立",AQ17)),AQ17,MID(AQ17,FIND("立",AQ17)+1,10))</f>
        <v/>
      </c>
      <c r="B11" s="947"/>
      <c r="C11" s="947"/>
      <c r="D11" s="947"/>
      <c r="E11" s="947"/>
      <c r="F11" s="947"/>
      <c r="G11" s="947"/>
      <c r="H11" s="947"/>
      <c r="I11" s="948"/>
      <c r="J11" s="964"/>
      <c r="K11" s="956"/>
      <c r="L11" s="956"/>
      <c r="M11" s="956"/>
      <c r="N11" s="956"/>
      <c r="O11" s="960"/>
      <c r="P11" s="961"/>
      <c r="Q11" s="966" t="s">
        <v>243</v>
      </c>
      <c r="R11" s="834"/>
      <c r="S11" s="834"/>
      <c r="T11" s="967"/>
      <c r="U11" s="797"/>
      <c r="V11" s="798"/>
      <c r="W11" s="956"/>
      <c r="X11" s="956"/>
      <c r="Y11" s="957"/>
      <c r="Z11" s="946" t="str">
        <f>IF(ISERROR(FIND("立",AU17)),AU17,MID(AU17,FIND("立",AU17)+1,10))</f>
        <v/>
      </c>
      <c r="AA11" s="949"/>
      <c r="AB11" s="949"/>
      <c r="AC11" s="949"/>
      <c r="AD11" s="949"/>
      <c r="AE11" s="949"/>
      <c r="AF11" s="949"/>
      <c r="AG11" s="949"/>
      <c r="AH11" s="950"/>
      <c r="AY11" s="225" t="s">
        <v>244</v>
      </c>
      <c r="BA11" s="225"/>
      <c r="BC11" s="225"/>
      <c r="BE11" s="226"/>
      <c r="BF11" s="225"/>
      <c r="BH11" s="227"/>
      <c r="BI11" s="220"/>
      <c r="BJ11" s="227">
        <v>50</v>
      </c>
      <c r="BK11" s="220"/>
      <c r="BL11" s="227">
        <v>36</v>
      </c>
      <c r="BM11" s="220"/>
      <c r="BN11" s="227"/>
    </row>
    <row r="12" spans="1:66" ht="15" customHeight="1" x14ac:dyDescent="0.2">
      <c r="A12" s="946"/>
      <c r="B12" s="947"/>
      <c r="C12" s="947"/>
      <c r="D12" s="947"/>
      <c r="E12" s="947"/>
      <c r="F12" s="947"/>
      <c r="G12" s="947"/>
      <c r="H12" s="947"/>
      <c r="I12" s="948"/>
      <c r="J12" s="964"/>
      <c r="K12" s="956"/>
      <c r="L12" s="956"/>
      <c r="M12" s="956"/>
      <c r="N12" s="956"/>
      <c r="O12" s="799"/>
      <c r="P12" s="800"/>
      <c r="Q12" s="801" t="s">
        <v>155</v>
      </c>
      <c r="R12" s="802"/>
      <c r="S12" s="802"/>
      <c r="T12" s="803"/>
      <c r="U12" s="952"/>
      <c r="V12" s="953"/>
      <c r="W12" s="956"/>
      <c r="X12" s="956"/>
      <c r="Y12" s="957"/>
      <c r="Z12" s="951"/>
      <c r="AA12" s="949"/>
      <c r="AB12" s="949"/>
      <c r="AC12" s="949"/>
      <c r="AD12" s="949"/>
      <c r="AE12" s="949"/>
      <c r="AF12" s="949"/>
      <c r="AG12" s="949"/>
      <c r="AH12" s="950"/>
      <c r="AY12" s="225" t="s">
        <v>245</v>
      </c>
      <c r="BA12" s="225"/>
      <c r="BC12" s="225"/>
      <c r="BE12" s="226"/>
      <c r="BF12" s="225"/>
      <c r="BH12" s="227"/>
      <c r="BI12" s="220"/>
      <c r="BJ12" s="227">
        <v>55</v>
      </c>
      <c r="BK12" s="220"/>
      <c r="BL12" s="227">
        <v>35</v>
      </c>
      <c r="BM12" s="220"/>
      <c r="BN12" s="227"/>
    </row>
    <row r="13" spans="1:66" ht="15" customHeight="1" x14ac:dyDescent="0.2">
      <c r="A13" s="942" t="str">
        <f>AQ18</f>
        <v/>
      </c>
      <c r="B13" s="943"/>
      <c r="C13" s="943"/>
      <c r="D13" s="943"/>
      <c r="E13" s="943"/>
      <c r="F13" s="943"/>
      <c r="G13" s="943"/>
      <c r="H13" s="944"/>
      <c r="I13" s="945"/>
      <c r="J13" s="964"/>
      <c r="K13" s="956"/>
      <c r="L13" s="956"/>
      <c r="M13" s="956"/>
      <c r="N13" s="956"/>
      <c r="O13" s="960"/>
      <c r="P13" s="961"/>
      <c r="Q13" s="895" t="s">
        <v>156</v>
      </c>
      <c r="R13" s="962"/>
      <c r="S13" s="962"/>
      <c r="T13" s="870"/>
      <c r="U13" s="797"/>
      <c r="V13" s="798"/>
      <c r="W13" s="956"/>
      <c r="X13" s="956"/>
      <c r="Y13" s="957"/>
      <c r="Z13" s="942" t="str">
        <f>AU18</f>
        <v/>
      </c>
      <c r="AA13" s="943"/>
      <c r="AB13" s="943"/>
      <c r="AC13" s="943"/>
      <c r="AD13" s="943"/>
      <c r="AE13" s="943"/>
      <c r="AF13" s="943"/>
      <c r="AG13" s="944"/>
      <c r="AH13" s="945"/>
      <c r="AY13" s="225" t="s">
        <v>246</v>
      </c>
      <c r="BA13" s="225"/>
      <c r="BC13" s="225"/>
      <c r="BE13" s="226"/>
      <c r="BF13" s="225"/>
      <c r="BH13" s="227"/>
      <c r="BI13" s="220"/>
      <c r="BJ13" s="227">
        <v>60</v>
      </c>
      <c r="BK13" s="220"/>
      <c r="BL13" s="227">
        <v>34</v>
      </c>
      <c r="BM13" s="220"/>
      <c r="BN13" s="227"/>
    </row>
    <row r="14" spans="1:66" ht="15" customHeight="1" x14ac:dyDescent="0.2">
      <c r="A14" s="232"/>
      <c r="B14" s="221"/>
      <c r="C14" s="221"/>
      <c r="D14" s="221"/>
      <c r="E14" s="221"/>
      <c r="F14" s="221"/>
      <c r="I14" s="238"/>
      <c r="J14" s="964"/>
      <c r="K14" s="956"/>
      <c r="L14" s="956"/>
      <c r="M14" s="956"/>
      <c r="N14" s="956"/>
      <c r="O14" s="799"/>
      <c r="P14" s="800"/>
      <c r="Q14" s="801"/>
      <c r="R14" s="802"/>
      <c r="S14" s="802"/>
      <c r="T14" s="803"/>
      <c r="U14" s="952"/>
      <c r="V14" s="953"/>
      <c r="W14" s="956"/>
      <c r="X14" s="956"/>
      <c r="Y14" s="957"/>
      <c r="Z14" s="221"/>
      <c r="AA14" s="864"/>
      <c r="AB14" s="864"/>
      <c r="AC14" s="221"/>
      <c r="AD14" s="221"/>
      <c r="AE14" s="221"/>
      <c r="AF14" s="221"/>
      <c r="AG14" s="221"/>
      <c r="AH14" s="238"/>
      <c r="AY14" s="225" t="s">
        <v>247</v>
      </c>
      <c r="BA14" s="225"/>
      <c r="BC14" s="225"/>
      <c r="BE14" s="226"/>
      <c r="BF14" s="225"/>
      <c r="BH14" s="227"/>
      <c r="BI14" s="220"/>
      <c r="BJ14" s="227">
        <v>65</v>
      </c>
      <c r="BK14" s="220"/>
      <c r="BL14" s="227">
        <v>33</v>
      </c>
      <c r="BM14" s="220"/>
      <c r="BN14" s="227"/>
    </row>
    <row r="15" spans="1:66" ht="15" customHeight="1" x14ac:dyDescent="0.2">
      <c r="A15" s="232"/>
      <c r="B15" s="221"/>
      <c r="C15" s="221"/>
      <c r="D15" s="221"/>
      <c r="E15" s="221"/>
      <c r="F15" s="221"/>
      <c r="G15" s="864" t="s">
        <v>248</v>
      </c>
      <c r="H15" s="864"/>
      <c r="I15" s="238"/>
      <c r="J15" s="965"/>
      <c r="K15" s="958"/>
      <c r="L15" s="958"/>
      <c r="M15" s="958"/>
      <c r="N15" s="958"/>
      <c r="O15" s="960"/>
      <c r="P15" s="961"/>
      <c r="Q15" s="895"/>
      <c r="R15" s="962"/>
      <c r="S15" s="962"/>
      <c r="T15" s="870"/>
      <c r="U15" s="797"/>
      <c r="V15" s="798"/>
      <c r="W15" s="958"/>
      <c r="X15" s="958"/>
      <c r="Y15" s="959"/>
      <c r="Z15" s="221"/>
      <c r="AA15" s="864" t="s">
        <v>248</v>
      </c>
      <c r="AB15" s="864"/>
      <c r="AC15" s="221"/>
      <c r="AD15" s="221"/>
      <c r="AE15" s="221"/>
      <c r="AF15" s="221"/>
      <c r="AG15" s="221"/>
      <c r="AH15" s="238"/>
      <c r="AY15" s="225" t="s">
        <v>249</v>
      </c>
      <c r="BA15" s="225"/>
      <c r="BC15" s="225"/>
      <c r="BE15" s="226"/>
      <c r="BF15" s="225"/>
      <c r="BH15" s="227"/>
      <c r="BI15" s="220"/>
      <c r="BJ15" s="227">
        <v>70</v>
      </c>
      <c r="BK15" s="220"/>
      <c r="BL15" s="227">
        <v>32</v>
      </c>
      <c r="BM15" s="220"/>
      <c r="BN15" s="227"/>
    </row>
    <row r="16" spans="1:66" ht="12.75" customHeight="1" x14ac:dyDescent="0.2">
      <c r="A16" s="239"/>
      <c r="B16" s="240"/>
      <c r="C16" s="240"/>
      <c r="D16" s="240"/>
      <c r="E16" s="240"/>
      <c r="F16" s="240"/>
      <c r="G16" s="240"/>
      <c r="H16" s="240"/>
      <c r="I16" s="241"/>
      <c r="J16" s="816"/>
      <c r="K16" s="817"/>
      <c r="L16" s="817"/>
      <c r="M16" s="817"/>
      <c r="N16" s="817"/>
      <c r="O16" s="818" t="e">
        <f>IF(#REF!="","",#REF!)</f>
        <v>#REF!</v>
      </c>
      <c r="P16" s="819"/>
      <c r="Q16" s="820" t="e">
        <f>IF(O16="","","PK")</f>
        <v>#REF!</v>
      </c>
      <c r="R16" s="817"/>
      <c r="S16" s="817"/>
      <c r="T16" s="821"/>
      <c r="U16" s="822" t="e">
        <f>IF(#REF!="","",#REF!)</f>
        <v>#REF!</v>
      </c>
      <c r="V16" s="818"/>
      <c r="W16" s="817"/>
      <c r="X16" s="817"/>
      <c r="Y16" s="823"/>
      <c r="Z16" s="239"/>
      <c r="AA16" s="240"/>
      <c r="AB16" s="240"/>
      <c r="AC16" s="240"/>
      <c r="AD16" s="240"/>
      <c r="AE16" s="240"/>
      <c r="AF16" s="240"/>
      <c r="AG16" s="240"/>
      <c r="AH16" s="241"/>
      <c r="AY16" s="225" t="s">
        <v>250</v>
      </c>
      <c r="BA16" s="225"/>
      <c r="BC16" s="225"/>
      <c r="BE16" s="226"/>
      <c r="BF16" s="225"/>
      <c r="BH16" s="227"/>
      <c r="BI16" s="220"/>
      <c r="BJ16" s="227">
        <v>75</v>
      </c>
      <c r="BK16" s="220"/>
      <c r="BL16" s="227">
        <v>31</v>
      </c>
      <c r="BM16" s="220"/>
      <c r="BN16" s="227"/>
    </row>
    <row r="17" spans="1:66" ht="12.75" customHeight="1" x14ac:dyDescent="0.2">
      <c r="A17" s="824" t="s">
        <v>251</v>
      </c>
      <c r="B17" s="826" t="s">
        <v>252</v>
      </c>
      <c r="C17" s="827"/>
      <c r="D17" s="803" t="s">
        <v>253</v>
      </c>
      <c r="E17" s="830"/>
      <c r="F17" s="830"/>
      <c r="G17" s="830"/>
      <c r="H17" s="827"/>
      <c r="I17" s="831" t="s">
        <v>254</v>
      </c>
      <c r="J17" s="824" t="s">
        <v>255</v>
      </c>
      <c r="K17" s="802"/>
      <c r="L17" s="802"/>
      <c r="M17" s="802"/>
      <c r="N17" s="802"/>
      <c r="O17" s="802"/>
      <c r="P17" s="802"/>
      <c r="Q17" s="831" t="s">
        <v>256</v>
      </c>
      <c r="R17" s="842" t="s">
        <v>257</v>
      </c>
      <c r="S17" s="831" t="s">
        <v>257</v>
      </c>
      <c r="T17" s="831" t="s">
        <v>256</v>
      </c>
      <c r="U17" s="802" t="s">
        <v>255</v>
      </c>
      <c r="V17" s="802"/>
      <c r="W17" s="802"/>
      <c r="X17" s="802"/>
      <c r="Y17" s="837"/>
      <c r="Z17" s="831" t="s">
        <v>254</v>
      </c>
      <c r="AA17" s="824" t="s">
        <v>253</v>
      </c>
      <c r="AB17" s="802"/>
      <c r="AC17" s="802"/>
      <c r="AD17" s="802"/>
      <c r="AE17" s="837"/>
      <c r="AF17" s="824" t="s">
        <v>252</v>
      </c>
      <c r="AG17" s="837"/>
      <c r="AH17" s="837" t="s">
        <v>251</v>
      </c>
      <c r="AQ17" s="219" t="str">
        <f>マッチ第3!E10</f>
        <v/>
      </c>
      <c r="AU17" s="219" t="str">
        <f>マッチ第3!I10</f>
        <v/>
      </c>
      <c r="AY17" s="225" t="s">
        <v>258</v>
      </c>
      <c r="BA17" s="225"/>
      <c r="BC17" s="225"/>
      <c r="BE17" s="226"/>
      <c r="BF17" s="225"/>
      <c r="BH17" s="227"/>
      <c r="BI17" s="220"/>
      <c r="BJ17" s="227">
        <v>80</v>
      </c>
      <c r="BK17" s="220"/>
      <c r="BL17" s="227">
        <v>30</v>
      </c>
      <c r="BM17" s="220"/>
      <c r="BN17" s="227"/>
    </row>
    <row r="18" spans="1:66" ht="12.75" customHeight="1" x14ac:dyDescent="0.2">
      <c r="A18" s="825"/>
      <c r="B18" s="828"/>
      <c r="C18" s="829"/>
      <c r="D18" s="242"/>
      <c r="E18" s="243"/>
      <c r="F18" s="244" t="s">
        <v>259</v>
      </c>
      <c r="G18" s="245" t="s">
        <v>260</v>
      </c>
      <c r="H18" s="246" t="s">
        <v>261</v>
      </c>
      <c r="I18" s="832"/>
      <c r="J18" s="833"/>
      <c r="K18" s="834"/>
      <c r="L18" s="834"/>
      <c r="M18" s="834"/>
      <c r="N18" s="834"/>
      <c r="O18" s="834"/>
      <c r="P18" s="834"/>
      <c r="Q18" s="832"/>
      <c r="R18" s="843"/>
      <c r="S18" s="832"/>
      <c r="T18" s="832"/>
      <c r="U18" s="834"/>
      <c r="V18" s="834"/>
      <c r="W18" s="834"/>
      <c r="X18" s="834"/>
      <c r="Y18" s="844"/>
      <c r="Z18" s="832"/>
      <c r="AA18" s="247" t="s">
        <v>261</v>
      </c>
      <c r="AB18" s="247" t="s">
        <v>260</v>
      </c>
      <c r="AC18" s="245" t="s">
        <v>259</v>
      </c>
      <c r="AD18" s="244"/>
      <c r="AE18" s="246"/>
      <c r="AF18" s="825"/>
      <c r="AG18" s="838"/>
      <c r="AH18" s="838"/>
      <c r="AQ18" s="219" t="str">
        <f>IF('県体(12)'!BC24="","","("&amp;VLOOKUP('県体(12)'!BC24,県体学校名!$C$4:$I$15,2,FALSE)&amp;")")</f>
        <v/>
      </c>
      <c r="AR18" s="248" t="s">
        <v>262</v>
      </c>
      <c r="AS18" s="249" t="e">
        <f>VLOOKUP(AQ17,データ!$R$2:$T$86,3,FALSE)</f>
        <v>#N/A</v>
      </c>
      <c r="AU18" s="219" t="str">
        <f>IF('県体(12)'!BI24="","","("&amp;VLOOKUP('県体(12)'!BI24,県体学校名!$C$4:$I$15,2,FALSE)&amp;")")</f>
        <v/>
      </c>
      <c r="AV18" s="248" t="s">
        <v>262</v>
      </c>
      <c r="AW18" s="249" t="e">
        <f>VLOOKUP(AU17,データ!$R$2:$T$86,3,FALSE)</f>
        <v>#N/A</v>
      </c>
      <c r="AY18" s="225" t="s">
        <v>263</v>
      </c>
      <c r="BA18" s="225"/>
      <c r="BC18" s="225"/>
      <c r="BE18" s="226"/>
      <c r="BF18" s="225"/>
      <c r="BH18" s="227"/>
      <c r="BI18" s="220"/>
      <c r="BJ18" s="227">
        <v>85</v>
      </c>
      <c r="BK18" s="220"/>
      <c r="BL18" s="227">
        <v>29</v>
      </c>
      <c r="BM18" s="220"/>
      <c r="BN18" s="227"/>
    </row>
    <row r="19" spans="1:66" ht="12.75" customHeight="1" x14ac:dyDescent="0.2">
      <c r="A19" s="250"/>
      <c r="B19" s="251"/>
      <c r="C19" s="252"/>
      <c r="D19" s="253"/>
      <c r="E19" s="254"/>
      <c r="F19" s="251"/>
      <c r="G19" s="252"/>
      <c r="H19" s="255" t="str">
        <f t="shared" ref="H19:H33" si="0">IF(F19+G19=0,"",F19+G19)</f>
        <v/>
      </c>
      <c r="I19" s="250" t="e">
        <f t="shared" ref="I19:I36" si="1">IF(OR($A$10="",COUNTIF($AI$49:$AI$59,$A$10&amp;Q19&amp;J19)=0),"",COUNTIF($AI$49:$AI$59,$A$10&amp;Q19&amp;J19))</f>
        <v>#REF!</v>
      </c>
      <c r="J19" s="839" t="str">
        <f>IF(Q19="","",VLOOKUP(Q19,$AQ$19:$AS$36,3,FALSE))</f>
        <v/>
      </c>
      <c r="K19" s="840"/>
      <c r="L19" s="840"/>
      <c r="M19" s="840"/>
      <c r="N19" s="840"/>
      <c r="O19" s="840"/>
      <c r="P19" s="841"/>
      <c r="Q19" s="250"/>
      <c r="R19" s="250" t="str">
        <f t="shared" ref="R19:R36" si="2">IF(Q19="","",VLOOKUP(Q19,$AQ$19:$AS$36,2,FALSE))</f>
        <v/>
      </c>
      <c r="S19" s="256" t="str">
        <f t="shared" ref="S19:S36" si="3">IF(T19="","",VLOOKUP(T19,$AU$19:$AW$36,2,FALSE))</f>
        <v/>
      </c>
      <c r="T19" s="250"/>
      <c r="U19" s="839" t="str">
        <f t="shared" ref="U19:U36" si="4">IF(T19="","",VLOOKUP(T19,$AU$19:$AW$36,3,FALSE))</f>
        <v/>
      </c>
      <c r="V19" s="840"/>
      <c r="W19" s="840"/>
      <c r="X19" s="840"/>
      <c r="Y19" s="841"/>
      <c r="Z19" s="255" t="e">
        <f t="shared" ref="Z19:Z36" si="5">IF(OR($Z$10="",COUNTIF($AI$49:$AI$59,$Z$10&amp;T19&amp;U19)=0),"",COUNTIF($AI$49:$AI$59,$Z$10&amp;T19&amp;U19))</f>
        <v>#REF!</v>
      </c>
      <c r="AA19" s="250" t="str">
        <f t="shared" ref="AA19:AA36" si="6">IF(AB19+AC19=0,"",AB19+AC19)</f>
        <v/>
      </c>
      <c r="AB19" s="250"/>
      <c r="AC19" s="252"/>
      <c r="AD19" s="251"/>
      <c r="AE19" s="255"/>
      <c r="AF19" s="250"/>
      <c r="AG19" s="252"/>
      <c r="AH19" s="255"/>
      <c r="AP19" s="219">
        <v>1</v>
      </c>
      <c r="AQ19" s="249" t="e">
        <f>INDEX(データ!$R$2:$T$86,MATCH(AQ$17,データ!$R$2:$R$86,0)+AP19,AQ$37-1)</f>
        <v>#N/A</v>
      </c>
      <c r="AR19" s="249" t="e">
        <f>INDEX(データ!$R$2:$T$86,MATCH(AQ$17,データ!$R$2:$R$86,0)+AP19,AR$37-1)</f>
        <v>#N/A</v>
      </c>
      <c r="AS19" s="249" t="e">
        <f>INDEX(データ!$R$2:$T$86,MATCH(AQ$17,データ!$R$2:$R$86,0)+AP19,AS$37-1)</f>
        <v>#N/A</v>
      </c>
      <c r="AT19" s="219">
        <v>1</v>
      </c>
      <c r="AU19" s="249" t="e">
        <f>INDEX(データ!$R$2:$T$86,MATCH(AU$17,データ!$R$2:$R$86,0)+AT19,AU$37-1)</f>
        <v>#N/A</v>
      </c>
      <c r="AV19" s="249" t="e">
        <f>INDEX(データ!$R$2:$T$86,MATCH(AU$17,データ!$R$2:$R$86,0)+AT19,AV$37-1)</f>
        <v>#N/A</v>
      </c>
      <c r="AW19" s="249" t="e">
        <f>INDEX(データ!$R$2:$T$86,MATCH(AU$17,データ!$R$2:$R$86,0)+AT19,AW$37-1)</f>
        <v>#N/A</v>
      </c>
      <c r="AY19" s="225" t="s">
        <v>264</v>
      </c>
      <c r="BA19" s="225"/>
      <c r="BC19" s="225"/>
      <c r="BE19" s="226"/>
      <c r="BF19" s="225"/>
      <c r="BH19" s="227"/>
      <c r="BI19" s="220"/>
      <c r="BJ19" s="227">
        <v>90</v>
      </c>
      <c r="BK19" s="220"/>
      <c r="BL19" s="227">
        <v>28</v>
      </c>
      <c r="BM19" s="220"/>
      <c r="BN19" s="227"/>
    </row>
    <row r="20" spans="1:66" ht="12.75" customHeight="1" x14ac:dyDescent="0.2">
      <c r="A20" s="257"/>
      <c r="B20" s="258"/>
      <c r="C20" s="259"/>
      <c r="D20" s="260"/>
      <c r="E20" s="261"/>
      <c r="F20" s="258"/>
      <c r="G20" s="259"/>
      <c r="H20" s="262" t="str">
        <f t="shared" si="0"/>
        <v/>
      </c>
      <c r="I20" s="257" t="e">
        <f t="shared" si="1"/>
        <v>#REF!</v>
      </c>
      <c r="J20" s="835" t="str">
        <f t="shared" ref="J20:J36" si="7">IF(Q20="","",VLOOKUP(Q20,$AQ$19:$AS$36,3,FALSE))</f>
        <v/>
      </c>
      <c r="K20" s="787"/>
      <c r="L20" s="787"/>
      <c r="M20" s="787"/>
      <c r="N20" s="787"/>
      <c r="O20" s="787"/>
      <c r="P20" s="836"/>
      <c r="Q20" s="257"/>
      <c r="R20" s="257" t="str">
        <f t="shared" si="2"/>
        <v/>
      </c>
      <c r="S20" s="263" t="str">
        <f t="shared" si="3"/>
        <v/>
      </c>
      <c r="T20" s="257"/>
      <c r="U20" s="835" t="str">
        <f t="shared" si="4"/>
        <v/>
      </c>
      <c r="V20" s="787"/>
      <c r="W20" s="787"/>
      <c r="X20" s="787"/>
      <c r="Y20" s="836"/>
      <c r="Z20" s="262" t="e">
        <f t="shared" si="5"/>
        <v>#REF!</v>
      </c>
      <c r="AA20" s="257" t="str">
        <f t="shared" si="6"/>
        <v/>
      </c>
      <c r="AB20" s="257"/>
      <c r="AC20" s="259"/>
      <c r="AD20" s="258"/>
      <c r="AE20" s="262"/>
      <c r="AF20" s="257"/>
      <c r="AG20" s="259"/>
      <c r="AH20" s="262"/>
      <c r="AP20" s="219">
        <v>2</v>
      </c>
      <c r="AQ20" s="249" t="e">
        <f>INDEX(データ!$R$2:$T$86,MATCH(AQ$17,データ!$R$2:$R$86,0)+AP20,AQ$37-1)</f>
        <v>#N/A</v>
      </c>
      <c r="AR20" s="249" t="e">
        <f>INDEX(データ!$R$2:$T$86,MATCH(AQ$17,データ!$R$2:$R$86,0)+AP20,AR$37-1)</f>
        <v>#N/A</v>
      </c>
      <c r="AS20" s="249" t="e">
        <f>INDEX(データ!$R$2:$T$86,MATCH(AQ$17,データ!$R$2:$R$86,0)+AP20,AS$37-1)</f>
        <v>#N/A</v>
      </c>
      <c r="AT20" s="219">
        <v>2</v>
      </c>
      <c r="AU20" s="249" t="e">
        <f>INDEX(データ!$R$2:$T$86,MATCH(AU$17,データ!$R$2:$R$86,0)+AT20,AU$37-1)</f>
        <v>#N/A</v>
      </c>
      <c r="AV20" s="249" t="e">
        <f>INDEX(データ!$R$2:$T$86,MATCH(AU$17,データ!$R$2:$R$86,0)+AT20,AV$37-1)</f>
        <v>#N/A</v>
      </c>
      <c r="AW20" s="249" t="e">
        <f>INDEX(データ!$R$2:$T$86,MATCH(AU$17,データ!$R$2:$R$86,0)+AT20,AW$37-1)</f>
        <v>#N/A</v>
      </c>
      <c r="AY20" s="225"/>
      <c r="BA20" s="225"/>
      <c r="BC20" s="225"/>
      <c r="BE20" s="226"/>
      <c r="BF20" s="225"/>
      <c r="BH20" s="227"/>
      <c r="BI20" s="220"/>
      <c r="BJ20" s="227">
        <v>95</v>
      </c>
      <c r="BK20" s="220"/>
      <c r="BL20" s="227">
        <v>27</v>
      </c>
      <c r="BM20" s="220"/>
      <c r="BN20" s="227"/>
    </row>
    <row r="21" spans="1:66" ht="12.75" customHeight="1" thickBot="1" x14ac:dyDescent="0.25">
      <c r="A21" s="257"/>
      <c r="B21" s="258" t="s">
        <v>204</v>
      </c>
      <c r="C21" s="259"/>
      <c r="D21" s="260"/>
      <c r="E21" s="261"/>
      <c r="F21" s="258"/>
      <c r="G21" s="259"/>
      <c r="H21" s="262" t="str">
        <f t="shared" si="0"/>
        <v/>
      </c>
      <c r="I21" s="257" t="e">
        <f t="shared" si="1"/>
        <v>#REF!</v>
      </c>
      <c r="J21" s="835" t="str">
        <f t="shared" si="7"/>
        <v/>
      </c>
      <c r="K21" s="787"/>
      <c r="L21" s="787"/>
      <c r="M21" s="787"/>
      <c r="N21" s="787"/>
      <c r="O21" s="787"/>
      <c r="P21" s="836"/>
      <c r="Q21" s="257"/>
      <c r="R21" s="257" t="str">
        <f t="shared" si="2"/>
        <v/>
      </c>
      <c r="S21" s="263" t="str">
        <f t="shared" si="3"/>
        <v/>
      </c>
      <c r="T21" s="257"/>
      <c r="U21" s="835" t="str">
        <f t="shared" si="4"/>
        <v/>
      </c>
      <c r="V21" s="787"/>
      <c r="W21" s="787"/>
      <c r="X21" s="787"/>
      <c r="Y21" s="836"/>
      <c r="Z21" s="262" t="e">
        <f t="shared" si="5"/>
        <v>#REF!</v>
      </c>
      <c r="AA21" s="257" t="str">
        <f t="shared" si="6"/>
        <v/>
      </c>
      <c r="AB21" s="257"/>
      <c r="AC21" s="259"/>
      <c r="AD21" s="258"/>
      <c r="AE21" s="262"/>
      <c r="AF21" s="257"/>
      <c r="AG21" s="259"/>
      <c r="AH21" s="262"/>
      <c r="AP21" s="219">
        <v>3</v>
      </c>
      <c r="AQ21" s="249" t="e">
        <f>INDEX(データ!$R$2:$T$86,MATCH(AQ$17,データ!$R$2:$R$86,0)+AP21,AQ$37-1)</f>
        <v>#N/A</v>
      </c>
      <c r="AR21" s="249" t="e">
        <f>INDEX(データ!$R$2:$T$86,MATCH(AQ$17,データ!$R$2:$R$86,0)+AP21,AR$37-1)</f>
        <v>#N/A</v>
      </c>
      <c r="AS21" s="249" t="e">
        <f>INDEX(データ!$R$2:$T$86,MATCH(AQ$17,データ!$R$2:$R$86,0)+AP21,AS$37-1)</f>
        <v>#N/A</v>
      </c>
      <c r="AT21" s="219">
        <v>3</v>
      </c>
      <c r="AU21" s="249" t="e">
        <f>INDEX(データ!$R$2:$T$86,MATCH(AU$17,データ!$R$2:$R$86,0)+AT21,AU$37-1)</f>
        <v>#N/A</v>
      </c>
      <c r="AV21" s="249" t="e">
        <f>INDEX(データ!$R$2:$T$86,MATCH(AU$17,データ!$R$2:$R$86,0)+AT21,AV$37-1)</f>
        <v>#N/A</v>
      </c>
      <c r="AW21" s="249" t="e">
        <f>INDEX(データ!$R$2:$T$86,MATCH(AU$17,データ!$R$2:$R$86,0)+AT21,AW$37-1)</f>
        <v>#N/A</v>
      </c>
      <c r="AY21" s="264"/>
      <c r="BA21" s="264"/>
      <c r="BC21" s="264"/>
      <c r="BE21" s="265"/>
      <c r="BF21" s="264"/>
      <c r="BH21" s="266"/>
      <c r="BI21" s="220"/>
      <c r="BJ21" s="266">
        <v>100</v>
      </c>
      <c r="BK21" s="220"/>
      <c r="BL21" s="227">
        <v>26</v>
      </c>
      <c r="BM21" s="220"/>
      <c r="BN21" s="266"/>
    </row>
    <row r="22" spans="1:66" ht="12.75" customHeight="1" thickTop="1" x14ac:dyDescent="0.2">
      <c r="A22" s="257"/>
      <c r="B22" s="258"/>
      <c r="C22" s="259"/>
      <c r="D22" s="260"/>
      <c r="E22" s="261"/>
      <c r="F22" s="258"/>
      <c r="G22" s="259"/>
      <c r="H22" s="262" t="str">
        <f t="shared" si="0"/>
        <v/>
      </c>
      <c r="I22" s="257" t="e">
        <f t="shared" si="1"/>
        <v>#REF!</v>
      </c>
      <c r="J22" s="835" t="str">
        <f t="shared" si="7"/>
        <v/>
      </c>
      <c r="K22" s="787"/>
      <c r="L22" s="787"/>
      <c r="M22" s="787"/>
      <c r="N22" s="787"/>
      <c r="O22" s="787"/>
      <c r="P22" s="836"/>
      <c r="Q22" s="257"/>
      <c r="R22" s="257" t="str">
        <f t="shared" si="2"/>
        <v/>
      </c>
      <c r="S22" s="263" t="str">
        <f t="shared" si="3"/>
        <v/>
      </c>
      <c r="T22" s="257"/>
      <c r="U22" s="835" t="str">
        <f t="shared" si="4"/>
        <v/>
      </c>
      <c r="V22" s="787"/>
      <c r="W22" s="787"/>
      <c r="X22" s="787"/>
      <c r="Y22" s="836"/>
      <c r="Z22" s="262" t="e">
        <f t="shared" si="5"/>
        <v>#REF!</v>
      </c>
      <c r="AA22" s="257" t="str">
        <f t="shared" si="6"/>
        <v/>
      </c>
      <c r="AB22" s="257"/>
      <c r="AC22" s="259"/>
      <c r="AD22" s="258"/>
      <c r="AE22" s="262"/>
      <c r="AF22" s="257"/>
      <c r="AG22" s="259"/>
      <c r="AH22" s="262"/>
      <c r="AP22" s="219">
        <v>4</v>
      </c>
      <c r="AQ22" s="249" t="e">
        <f>INDEX(データ!$R$2:$T$86,MATCH(AQ$17,データ!$R$2:$R$86,0)+AP22,AQ$37-1)</f>
        <v>#N/A</v>
      </c>
      <c r="AR22" s="249" t="e">
        <f>INDEX(データ!$R$2:$T$86,MATCH(AQ$17,データ!$R$2:$R$86,0)+AP22,AR$37-1)</f>
        <v>#N/A</v>
      </c>
      <c r="AS22" s="249" t="e">
        <f>INDEX(データ!$R$2:$T$86,MATCH(AQ$17,データ!$R$2:$R$86,0)+AP22,AS$37-1)</f>
        <v>#N/A</v>
      </c>
      <c r="AT22" s="219">
        <v>4</v>
      </c>
      <c r="AU22" s="249" t="e">
        <f>INDEX(データ!$R$2:$T$86,MATCH(AU$17,データ!$R$2:$R$86,0)+AT22,AU$37-1)</f>
        <v>#N/A</v>
      </c>
      <c r="AV22" s="249" t="e">
        <f>INDEX(データ!$R$2:$T$86,MATCH(AU$17,データ!$R$2:$R$86,0)+AT22,AV$37-1)</f>
        <v>#N/A</v>
      </c>
      <c r="AW22" s="249" t="e">
        <f>INDEX(データ!$R$2:$T$86,MATCH(AU$17,データ!$R$2:$R$86,0)+AT22,AW$37-1)</f>
        <v>#N/A</v>
      </c>
      <c r="BH22" s="220"/>
      <c r="BI22" s="220"/>
      <c r="BJ22" s="220"/>
      <c r="BK22" s="220"/>
      <c r="BL22" s="227">
        <v>25</v>
      </c>
      <c r="BM22" s="220"/>
      <c r="BN22" s="220"/>
    </row>
    <row r="23" spans="1:66" ht="12.75" customHeight="1" x14ac:dyDescent="0.2">
      <c r="A23" s="257"/>
      <c r="B23" s="258"/>
      <c r="C23" s="259"/>
      <c r="D23" s="260"/>
      <c r="E23" s="261"/>
      <c r="F23" s="258"/>
      <c r="G23" s="259"/>
      <c r="H23" s="262" t="str">
        <f t="shared" si="0"/>
        <v/>
      </c>
      <c r="I23" s="257" t="e">
        <f t="shared" si="1"/>
        <v>#REF!</v>
      </c>
      <c r="J23" s="835" t="str">
        <f t="shared" si="7"/>
        <v/>
      </c>
      <c r="K23" s="787"/>
      <c r="L23" s="787"/>
      <c r="M23" s="787"/>
      <c r="N23" s="787"/>
      <c r="O23" s="787"/>
      <c r="P23" s="836"/>
      <c r="Q23" s="257"/>
      <c r="R23" s="257" t="str">
        <f t="shared" si="2"/>
        <v/>
      </c>
      <c r="S23" s="263" t="str">
        <f t="shared" si="3"/>
        <v/>
      </c>
      <c r="T23" s="257"/>
      <c r="U23" s="835" t="str">
        <f t="shared" si="4"/>
        <v/>
      </c>
      <c r="V23" s="787"/>
      <c r="W23" s="787"/>
      <c r="X23" s="787"/>
      <c r="Y23" s="836"/>
      <c r="Z23" s="262" t="e">
        <f t="shared" si="5"/>
        <v>#REF!</v>
      </c>
      <c r="AA23" s="257" t="str">
        <f t="shared" si="6"/>
        <v/>
      </c>
      <c r="AB23" s="257"/>
      <c r="AC23" s="259"/>
      <c r="AD23" s="258"/>
      <c r="AE23" s="262"/>
      <c r="AF23" s="257"/>
      <c r="AG23" s="259"/>
      <c r="AH23" s="262"/>
      <c r="AP23" s="219">
        <v>5</v>
      </c>
      <c r="AQ23" s="249" t="e">
        <f>INDEX(データ!$R$2:$T$86,MATCH(AQ$17,データ!$R$2:$R$86,0)+AP23,AQ$37-1)</f>
        <v>#N/A</v>
      </c>
      <c r="AR23" s="249" t="e">
        <f>INDEX(データ!$R$2:$T$86,MATCH(AQ$17,データ!$R$2:$R$86,0)+AP23,AR$37-1)</f>
        <v>#N/A</v>
      </c>
      <c r="AS23" s="249" t="e">
        <f>INDEX(データ!$R$2:$T$86,MATCH(AQ$17,データ!$R$2:$R$86,0)+AP23,AS$37-1)</f>
        <v>#N/A</v>
      </c>
      <c r="AT23" s="219">
        <v>5</v>
      </c>
      <c r="AU23" s="249" t="e">
        <f>INDEX(データ!$R$2:$T$86,MATCH(AU$17,データ!$R$2:$R$86,0)+AT23,AU$37-1)</f>
        <v>#N/A</v>
      </c>
      <c r="AV23" s="249" t="e">
        <f>INDEX(データ!$R$2:$T$86,MATCH(AU$17,データ!$R$2:$R$86,0)+AT23,AV$37-1)</f>
        <v>#N/A</v>
      </c>
      <c r="AW23" s="249" t="e">
        <f>INDEX(データ!$R$2:$T$86,MATCH(AU$17,データ!$R$2:$R$86,0)+AT23,AW$37-1)</f>
        <v>#N/A</v>
      </c>
      <c r="BH23" s="220"/>
      <c r="BI23" s="220"/>
      <c r="BJ23" s="220"/>
      <c r="BK23" s="220"/>
      <c r="BL23" s="227">
        <v>24</v>
      </c>
      <c r="BM23" s="220"/>
      <c r="BN23" s="220"/>
    </row>
    <row r="24" spans="1:66" ht="12.75" customHeight="1" x14ac:dyDescent="0.2">
      <c r="A24" s="257"/>
      <c r="B24" s="258"/>
      <c r="C24" s="259"/>
      <c r="D24" s="260"/>
      <c r="E24" s="261"/>
      <c r="F24" s="258"/>
      <c r="G24" s="259"/>
      <c r="H24" s="262" t="str">
        <f t="shared" si="0"/>
        <v/>
      </c>
      <c r="I24" s="257" t="e">
        <f t="shared" si="1"/>
        <v>#REF!</v>
      </c>
      <c r="J24" s="835" t="str">
        <f t="shared" si="7"/>
        <v/>
      </c>
      <c r="K24" s="787"/>
      <c r="L24" s="787"/>
      <c r="M24" s="787"/>
      <c r="N24" s="787"/>
      <c r="O24" s="787"/>
      <c r="P24" s="836"/>
      <c r="Q24" s="257"/>
      <c r="R24" s="257" t="str">
        <f t="shared" si="2"/>
        <v/>
      </c>
      <c r="S24" s="263" t="str">
        <f t="shared" si="3"/>
        <v/>
      </c>
      <c r="T24" s="257"/>
      <c r="U24" s="835" t="str">
        <f t="shared" si="4"/>
        <v/>
      </c>
      <c r="V24" s="787"/>
      <c r="W24" s="787"/>
      <c r="X24" s="787"/>
      <c r="Y24" s="836"/>
      <c r="Z24" s="262" t="e">
        <f t="shared" si="5"/>
        <v>#REF!</v>
      </c>
      <c r="AA24" s="257" t="str">
        <f t="shared" si="6"/>
        <v/>
      </c>
      <c r="AB24" s="257"/>
      <c r="AC24" s="259"/>
      <c r="AD24" s="258"/>
      <c r="AE24" s="262"/>
      <c r="AF24" s="257"/>
      <c r="AG24" s="259"/>
      <c r="AH24" s="262"/>
      <c r="AP24" s="219">
        <v>6</v>
      </c>
      <c r="AQ24" s="249" t="e">
        <f>INDEX(データ!$R$2:$T$86,MATCH(AQ$17,データ!$R$2:$R$86,0)+AP24,AQ$37-1)</f>
        <v>#N/A</v>
      </c>
      <c r="AR24" s="249" t="e">
        <f>INDEX(データ!$R$2:$T$86,MATCH(AQ$17,データ!$R$2:$R$86,0)+AP24,AR$37-1)</f>
        <v>#N/A</v>
      </c>
      <c r="AS24" s="249" t="e">
        <f>INDEX(データ!$R$2:$T$86,MATCH(AQ$17,データ!$R$2:$R$86,0)+AP24,AS$37-1)</f>
        <v>#N/A</v>
      </c>
      <c r="AT24" s="219">
        <v>6</v>
      </c>
      <c r="AU24" s="249" t="e">
        <f>INDEX(データ!$R$2:$T$86,MATCH(AU$17,データ!$R$2:$R$86,0)+AT24,AU$37-1)</f>
        <v>#N/A</v>
      </c>
      <c r="AV24" s="249" t="e">
        <f>INDEX(データ!$R$2:$T$86,MATCH(AU$17,データ!$R$2:$R$86,0)+AT24,AV$37-1)</f>
        <v>#N/A</v>
      </c>
      <c r="AW24" s="249" t="e">
        <f>INDEX(データ!$R$2:$T$86,MATCH(AU$17,データ!$R$2:$R$86,0)+AT24,AW$37-1)</f>
        <v>#N/A</v>
      </c>
      <c r="BH24" s="220"/>
      <c r="BI24" s="220"/>
      <c r="BJ24" s="220"/>
      <c r="BK24" s="220"/>
      <c r="BL24" s="227">
        <v>23</v>
      </c>
      <c r="BM24" s="220"/>
      <c r="BN24" s="220"/>
    </row>
    <row r="25" spans="1:66" ht="12.75" customHeight="1" x14ac:dyDescent="0.2">
      <c r="A25" s="257"/>
      <c r="B25" s="258"/>
      <c r="C25" s="259"/>
      <c r="D25" s="260"/>
      <c r="E25" s="261"/>
      <c r="F25" s="258"/>
      <c r="G25" s="259"/>
      <c r="H25" s="262" t="str">
        <f t="shared" si="0"/>
        <v/>
      </c>
      <c r="I25" s="257" t="e">
        <f t="shared" si="1"/>
        <v>#REF!</v>
      </c>
      <c r="J25" s="835" t="str">
        <f t="shared" si="7"/>
        <v/>
      </c>
      <c r="K25" s="787"/>
      <c r="L25" s="787"/>
      <c r="M25" s="787"/>
      <c r="N25" s="787"/>
      <c r="O25" s="787"/>
      <c r="P25" s="836"/>
      <c r="Q25" s="257"/>
      <c r="R25" s="257" t="str">
        <f t="shared" si="2"/>
        <v/>
      </c>
      <c r="S25" s="263" t="str">
        <f t="shared" si="3"/>
        <v/>
      </c>
      <c r="T25" s="257"/>
      <c r="U25" s="835" t="str">
        <f t="shared" si="4"/>
        <v/>
      </c>
      <c r="V25" s="787"/>
      <c r="W25" s="787"/>
      <c r="X25" s="787"/>
      <c r="Y25" s="836"/>
      <c r="Z25" s="262" t="e">
        <f t="shared" si="5"/>
        <v>#REF!</v>
      </c>
      <c r="AA25" s="257" t="str">
        <f t="shared" si="6"/>
        <v/>
      </c>
      <c r="AB25" s="257"/>
      <c r="AC25" s="259"/>
      <c r="AD25" s="258"/>
      <c r="AE25" s="262"/>
      <c r="AF25" s="257"/>
      <c r="AG25" s="259"/>
      <c r="AH25" s="262"/>
      <c r="AP25" s="219">
        <v>7</v>
      </c>
      <c r="AQ25" s="249" t="e">
        <f>INDEX(データ!$R$2:$T$86,MATCH(AQ$17,データ!$R$2:$R$86,0)+AP25,AQ$37-1)</f>
        <v>#N/A</v>
      </c>
      <c r="AR25" s="249" t="e">
        <f>INDEX(データ!$R$2:$T$86,MATCH(AQ$17,データ!$R$2:$R$86,0)+AP25,AR$37-1)</f>
        <v>#N/A</v>
      </c>
      <c r="AS25" s="249" t="e">
        <f>INDEX(データ!$R$2:$T$86,MATCH(AQ$17,データ!$R$2:$R$86,0)+AP25,AS$37-1)</f>
        <v>#N/A</v>
      </c>
      <c r="AT25" s="219">
        <v>7</v>
      </c>
      <c r="AU25" s="249" t="e">
        <f>INDEX(データ!$R$2:$T$86,MATCH(AU$17,データ!$R$2:$R$86,0)+AT25,AU$37-1)</f>
        <v>#N/A</v>
      </c>
      <c r="AV25" s="249" t="e">
        <f>INDEX(データ!$R$2:$T$86,MATCH(AU$17,データ!$R$2:$R$86,0)+AT25,AV$37-1)</f>
        <v>#N/A</v>
      </c>
      <c r="AW25" s="249" t="e">
        <f>INDEX(データ!$R$2:$T$86,MATCH(AU$17,データ!$R$2:$R$86,0)+AT25,AW$37-1)</f>
        <v>#N/A</v>
      </c>
      <c r="BH25" s="220"/>
      <c r="BI25" s="220"/>
      <c r="BJ25" s="220"/>
      <c r="BK25" s="220"/>
      <c r="BL25" s="227">
        <v>22</v>
      </c>
      <c r="BM25" s="220"/>
      <c r="BN25" s="220"/>
    </row>
    <row r="26" spans="1:66" ht="12.75" customHeight="1" x14ac:dyDescent="0.2">
      <c r="A26" s="257"/>
      <c r="B26" s="258"/>
      <c r="C26" s="259"/>
      <c r="D26" s="260"/>
      <c r="E26" s="261"/>
      <c r="F26" s="258"/>
      <c r="G26" s="259"/>
      <c r="H26" s="262" t="str">
        <f t="shared" si="0"/>
        <v/>
      </c>
      <c r="I26" s="257" t="e">
        <f t="shared" si="1"/>
        <v>#REF!</v>
      </c>
      <c r="J26" s="835" t="str">
        <f t="shared" si="7"/>
        <v/>
      </c>
      <c r="K26" s="787"/>
      <c r="L26" s="787"/>
      <c r="M26" s="787"/>
      <c r="N26" s="787"/>
      <c r="O26" s="787"/>
      <c r="P26" s="836"/>
      <c r="Q26" s="257"/>
      <c r="R26" s="257" t="str">
        <f t="shared" si="2"/>
        <v/>
      </c>
      <c r="S26" s="263" t="str">
        <f t="shared" si="3"/>
        <v/>
      </c>
      <c r="T26" s="257"/>
      <c r="U26" s="835" t="str">
        <f t="shared" si="4"/>
        <v/>
      </c>
      <c r="V26" s="787"/>
      <c r="W26" s="787"/>
      <c r="X26" s="787"/>
      <c r="Y26" s="836"/>
      <c r="Z26" s="262" t="e">
        <f t="shared" si="5"/>
        <v>#REF!</v>
      </c>
      <c r="AA26" s="257" t="str">
        <f t="shared" si="6"/>
        <v/>
      </c>
      <c r="AB26" s="257"/>
      <c r="AC26" s="259"/>
      <c r="AD26" s="258"/>
      <c r="AE26" s="262"/>
      <c r="AF26" s="257"/>
      <c r="AG26" s="259"/>
      <c r="AH26" s="262"/>
      <c r="AP26" s="219">
        <v>8</v>
      </c>
      <c r="AQ26" s="249" t="e">
        <f>INDEX(データ!$R$2:$T$86,MATCH(AQ$17,データ!$R$2:$R$86,0)+AP26,AQ$37-1)</f>
        <v>#N/A</v>
      </c>
      <c r="AR26" s="249" t="e">
        <f>INDEX(データ!$R$2:$T$86,MATCH(AQ$17,データ!$R$2:$R$86,0)+AP26,AR$37-1)</f>
        <v>#N/A</v>
      </c>
      <c r="AS26" s="249" t="e">
        <f>INDEX(データ!$R$2:$T$86,MATCH(AQ$17,データ!$R$2:$R$86,0)+AP26,AS$37-1)</f>
        <v>#N/A</v>
      </c>
      <c r="AT26" s="219">
        <v>8</v>
      </c>
      <c r="AU26" s="249" t="e">
        <f>INDEX(データ!$R$2:$T$86,MATCH(AU$17,データ!$R$2:$R$86,0)+AT26,AU$37-1)</f>
        <v>#N/A</v>
      </c>
      <c r="AV26" s="249" t="e">
        <f>INDEX(データ!$R$2:$T$86,MATCH(AU$17,データ!$R$2:$R$86,0)+AT26,AV$37-1)</f>
        <v>#N/A</v>
      </c>
      <c r="AW26" s="249" t="e">
        <f>INDEX(データ!$R$2:$T$86,MATCH(AU$17,データ!$R$2:$R$86,0)+AT26,AW$37-1)</f>
        <v>#N/A</v>
      </c>
      <c r="BH26" s="220"/>
      <c r="BI26" s="220"/>
      <c r="BJ26" s="220"/>
      <c r="BK26" s="220"/>
      <c r="BL26" s="227">
        <v>21</v>
      </c>
      <c r="BM26" s="220"/>
      <c r="BN26" s="220"/>
    </row>
    <row r="27" spans="1:66" ht="12.75" customHeight="1" x14ac:dyDescent="0.2">
      <c r="A27" s="257"/>
      <c r="B27" s="258"/>
      <c r="C27" s="259"/>
      <c r="D27" s="260"/>
      <c r="E27" s="261"/>
      <c r="F27" s="258"/>
      <c r="G27" s="259"/>
      <c r="H27" s="262" t="str">
        <f t="shared" si="0"/>
        <v/>
      </c>
      <c r="I27" s="257" t="e">
        <f t="shared" si="1"/>
        <v>#REF!</v>
      </c>
      <c r="J27" s="835" t="str">
        <f t="shared" si="7"/>
        <v/>
      </c>
      <c r="K27" s="787"/>
      <c r="L27" s="787"/>
      <c r="M27" s="787"/>
      <c r="N27" s="787"/>
      <c r="O27" s="787"/>
      <c r="P27" s="836"/>
      <c r="Q27" s="257"/>
      <c r="R27" s="257" t="str">
        <f t="shared" si="2"/>
        <v/>
      </c>
      <c r="S27" s="263" t="str">
        <f t="shared" si="3"/>
        <v/>
      </c>
      <c r="T27" s="257"/>
      <c r="U27" s="835" t="str">
        <f t="shared" si="4"/>
        <v/>
      </c>
      <c r="V27" s="787"/>
      <c r="W27" s="787"/>
      <c r="X27" s="787"/>
      <c r="Y27" s="836"/>
      <c r="Z27" s="262" t="e">
        <f t="shared" si="5"/>
        <v>#REF!</v>
      </c>
      <c r="AA27" s="257" t="str">
        <f t="shared" si="6"/>
        <v/>
      </c>
      <c r="AB27" s="257"/>
      <c r="AC27" s="259"/>
      <c r="AD27" s="258"/>
      <c r="AE27" s="262"/>
      <c r="AF27" s="257"/>
      <c r="AG27" s="259"/>
      <c r="AH27" s="262"/>
      <c r="AP27" s="219">
        <v>9</v>
      </c>
      <c r="AQ27" s="249" t="e">
        <f>INDEX(データ!$R$2:$T$86,MATCH(AQ$17,データ!$R$2:$R$86,0)+AP27,AQ$37-1)</f>
        <v>#N/A</v>
      </c>
      <c r="AR27" s="249" t="e">
        <f>INDEX(データ!$R$2:$T$86,MATCH(AQ$17,データ!$R$2:$R$86,0)+AP27,AR$37-1)</f>
        <v>#N/A</v>
      </c>
      <c r="AS27" s="249" t="e">
        <f>INDEX(データ!$R$2:$T$86,MATCH(AQ$17,データ!$R$2:$R$86,0)+AP27,AS$37-1)</f>
        <v>#N/A</v>
      </c>
      <c r="AT27" s="219">
        <v>9</v>
      </c>
      <c r="AU27" s="249" t="e">
        <f>INDEX(データ!$R$2:$T$86,MATCH(AU$17,データ!$R$2:$R$86,0)+AT27,AU$37-1)</f>
        <v>#N/A</v>
      </c>
      <c r="AV27" s="249" t="e">
        <f>INDEX(データ!$R$2:$T$86,MATCH(AU$17,データ!$R$2:$R$86,0)+AT27,AV$37-1)</f>
        <v>#N/A</v>
      </c>
      <c r="AW27" s="249" t="e">
        <f>INDEX(データ!$R$2:$T$86,MATCH(AU$17,データ!$R$2:$R$86,0)+AT27,AW$37-1)</f>
        <v>#N/A</v>
      </c>
      <c r="BH27" s="220"/>
      <c r="BI27" s="220"/>
      <c r="BJ27" s="220"/>
      <c r="BK27" s="220"/>
      <c r="BL27" s="227">
        <v>20</v>
      </c>
      <c r="BM27" s="220"/>
      <c r="BN27" s="220"/>
    </row>
    <row r="28" spans="1:66" ht="12.75" customHeight="1" x14ac:dyDescent="0.2">
      <c r="A28" s="257"/>
      <c r="B28" s="258"/>
      <c r="C28" s="259"/>
      <c r="D28" s="260"/>
      <c r="E28" s="261"/>
      <c r="F28" s="258"/>
      <c r="G28" s="259"/>
      <c r="H28" s="262" t="str">
        <f t="shared" si="0"/>
        <v/>
      </c>
      <c r="I28" s="257" t="e">
        <f t="shared" si="1"/>
        <v>#REF!</v>
      </c>
      <c r="J28" s="835" t="str">
        <f t="shared" si="7"/>
        <v/>
      </c>
      <c r="K28" s="787"/>
      <c r="L28" s="787"/>
      <c r="M28" s="787"/>
      <c r="N28" s="787"/>
      <c r="O28" s="787"/>
      <c r="P28" s="836"/>
      <c r="Q28" s="257"/>
      <c r="R28" s="257" t="str">
        <f t="shared" si="2"/>
        <v/>
      </c>
      <c r="S28" s="263" t="str">
        <f t="shared" si="3"/>
        <v/>
      </c>
      <c r="T28" s="257"/>
      <c r="U28" s="835" t="str">
        <f t="shared" si="4"/>
        <v/>
      </c>
      <c r="V28" s="787"/>
      <c r="W28" s="787"/>
      <c r="X28" s="787"/>
      <c r="Y28" s="836"/>
      <c r="Z28" s="262" t="e">
        <f t="shared" si="5"/>
        <v>#REF!</v>
      </c>
      <c r="AA28" s="257" t="str">
        <f t="shared" si="6"/>
        <v/>
      </c>
      <c r="AB28" s="257"/>
      <c r="AC28" s="259"/>
      <c r="AD28" s="258"/>
      <c r="AE28" s="262"/>
      <c r="AF28" s="257"/>
      <c r="AG28" s="259"/>
      <c r="AH28" s="262"/>
      <c r="AP28" s="219">
        <v>10</v>
      </c>
      <c r="AQ28" s="249" t="e">
        <f>INDEX(データ!$R$2:$T$86,MATCH(AQ$17,データ!$R$2:$R$86,0)+AP28,AQ$37-1)</f>
        <v>#N/A</v>
      </c>
      <c r="AR28" s="249" t="e">
        <f>INDEX(データ!$R$2:$T$86,MATCH(AQ$17,データ!$R$2:$R$86,0)+AP28,AR$37-1)</f>
        <v>#N/A</v>
      </c>
      <c r="AS28" s="249" t="e">
        <f>INDEX(データ!$R$2:$T$86,MATCH(AQ$17,データ!$R$2:$R$86,0)+AP28,AS$37-1)</f>
        <v>#N/A</v>
      </c>
      <c r="AT28" s="219">
        <v>10</v>
      </c>
      <c r="AU28" s="249" t="e">
        <f>INDEX(データ!$R$2:$T$86,MATCH(AU$17,データ!$R$2:$R$86,0)+AT28,AU$37-1)</f>
        <v>#N/A</v>
      </c>
      <c r="AV28" s="249" t="e">
        <f>INDEX(データ!$R$2:$T$86,MATCH(AU$17,データ!$R$2:$R$86,0)+AT28,AV$37-1)</f>
        <v>#N/A</v>
      </c>
      <c r="AW28" s="249" t="e">
        <f>INDEX(データ!$R$2:$T$86,MATCH(AU$17,データ!$R$2:$R$86,0)+AT28,AW$37-1)</f>
        <v>#N/A</v>
      </c>
      <c r="BH28" s="220"/>
      <c r="BI28" s="220"/>
      <c r="BJ28" s="220"/>
      <c r="BK28" s="220"/>
      <c r="BL28" s="227">
        <v>19</v>
      </c>
      <c r="BM28" s="220"/>
      <c r="BN28" s="220"/>
    </row>
    <row r="29" spans="1:66" ht="12.75" customHeight="1" x14ac:dyDescent="0.2">
      <c r="A29" s="267"/>
      <c r="B29" s="268"/>
      <c r="C29" s="269"/>
      <c r="D29" s="270"/>
      <c r="E29" s="271"/>
      <c r="F29" s="268"/>
      <c r="G29" s="269"/>
      <c r="H29" s="272" t="str">
        <f t="shared" si="0"/>
        <v/>
      </c>
      <c r="I29" s="247" t="e">
        <f t="shared" si="1"/>
        <v>#REF!</v>
      </c>
      <c r="J29" s="845" t="str">
        <f t="shared" si="7"/>
        <v/>
      </c>
      <c r="K29" s="846"/>
      <c r="L29" s="846"/>
      <c r="M29" s="846"/>
      <c r="N29" s="846"/>
      <c r="O29" s="846"/>
      <c r="P29" s="847"/>
      <c r="Q29" s="247"/>
      <c r="R29" s="247" t="str">
        <f t="shared" si="2"/>
        <v/>
      </c>
      <c r="S29" s="273" t="str">
        <f t="shared" si="3"/>
        <v/>
      </c>
      <c r="T29" s="247"/>
      <c r="U29" s="845" t="str">
        <f t="shared" si="4"/>
        <v/>
      </c>
      <c r="V29" s="846"/>
      <c r="W29" s="846"/>
      <c r="X29" s="846"/>
      <c r="Y29" s="847"/>
      <c r="Z29" s="246" t="e">
        <f t="shared" si="5"/>
        <v>#REF!</v>
      </c>
      <c r="AA29" s="267" t="str">
        <f t="shared" si="6"/>
        <v/>
      </c>
      <c r="AB29" s="267"/>
      <c r="AC29" s="269"/>
      <c r="AD29" s="268"/>
      <c r="AE29" s="272"/>
      <c r="AF29" s="267"/>
      <c r="AG29" s="269"/>
      <c r="AH29" s="272"/>
      <c r="AP29" s="219">
        <v>11</v>
      </c>
      <c r="AQ29" s="249" t="e">
        <f>INDEX(データ!$R$2:$T$86,MATCH(AQ$17,データ!$R$2:$R$86,0)+AP29,AQ$37-1)</f>
        <v>#N/A</v>
      </c>
      <c r="AR29" s="249" t="e">
        <f>INDEX(データ!$R$2:$T$86,MATCH(AQ$17,データ!$R$2:$R$86,0)+AP29,AR$37-1)</f>
        <v>#N/A</v>
      </c>
      <c r="AS29" s="249" t="e">
        <f>INDEX(データ!$R$2:$T$86,MATCH(AQ$17,データ!$R$2:$R$86,0)+AP29,AS$37-1)</f>
        <v>#N/A</v>
      </c>
      <c r="AT29" s="219">
        <v>11</v>
      </c>
      <c r="AU29" s="249" t="e">
        <f>INDEX(データ!$R$2:$T$86,MATCH(AU$17,データ!$R$2:$R$86,0)+AT29,AU$37-1)</f>
        <v>#N/A</v>
      </c>
      <c r="AV29" s="249" t="e">
        <f>INDEX(データ!$R$2:$T$86,MATCH(AU$17,データ!$R$2:$R$86,0)+AT29,AV$37-1)</f>
        <v>#N/A</v>
      </c>
      <c r="AW29" s="249" t="e">
        <f>INDEX(データ!$R$2:$T$86,MATCH(AU$17,データ!$R$2:$R$86,0)+AT29,AW$37-1)</f>
        <v>#N/A</v>
      </c>
      <c r="BH29" s="220"/>
      <c r="BI29" s="220"/>
      <c r="BJ29" s="220"/>
      <c r="BK29" s="220"/>
      <c r="BL29" s="227">
        <v>18</v>
      </c>
      <c r="BM29" s="220"/>
      <c r="BN29" s="220"/>
    </row>
    <row r="30" spans="1:66" ht="12.75" customHeight="1" x14ac:dyDescent="0.2">
      <c r="A30" s="250"/>
      <c r="B30" s="251"/>
      <c r="C30" s="252"/>
      <c r="D30" s="253"/>
      <c r="E30" s="254"/>
      <c r="F30" s="251"/>
      <c r="G30" s="252"/>
      <c r="H30" s="255" t="str">
        <f t="shared" si="0"/>
        <v/>
      </c>
      <c r="I30" s="250" t="e">
        <f t="shared" si="1"/>
        <v>#REF!</v>
      </c>
      <c r="J30" s="839" t="str">
        <f t="shared" si="7"/>
        <v/>
      </c>
      <c r="K30" s="840"/>
      <c r="L30" s="840"/>
      <c r="M30" s="840"/>
      <c r="N30" s="840"/>
      <c r="O30" s="840"/>
      <c r="P30" s="841"/>
      <c r="Q30" s="255"/>
      <c r="R30" s="250" t="str">
        <f t="shared" si="2"/>
        <v/>
      </c>
      <c r="S30" s="256" t="str">
        <f t="shared" si="3"/>
        <v/>
      </c>
      <c r="T30" s="255"/>
      <c r="U30" s="839" t="str">
        <f t="shared" si="4"/>
        <v/>
      </c>
      <c r="V30" s="840"/>
      <c r="W30" s="840"/>
      <c r="X30" s="840"/>
      <c r="Y30" s="841"/>
      <c r="Z30" s="255" t="e">
        <f t="shared" si="5"/>
        <v>#REF!</v>
      </c>
      <c r="AA30" s="250" t="str">
        <f t="shared" si="6"/>
        <v/>
      </c>
      <c r="AB30" s="250"/>
      <c r="AC30" s="252"/>
      <c r="AD30" s="251"/>
      <c r="AE30" s="255"/>
      <c r="AF30" s="250"/>
      <c r="AG30" s="252"/>
      <c r="AH30" s="255"/>
      <c r="AP30" s="219">
        <v>12</v>
      </c>
      <c r="AQ30" s="249" t="e">
        <f>INDEX(データ!$R$2:$T$86,MATCH(AQ$17,データ!$R$2:$R$86,0)+AP30,AQ$37-1)</f>
        <v>#N/A</v>
      </c>
      <c r="AR30" s="249" t="e">
        <f>INDEX(データ!$R$2:$T$86,MATCH(AQ$17,データ!$R$2:$R$86,0)+AP30,AR$37-1)</f>
        <v>#N/A</v>
      </c>
      <c r="AS30" s="249" t="e">
        <f>INDEX(データ!$R$2:$T$86,MATCH(AQ$17,データ!$R$2:$R$86,0)+AP30,AS$37-1)</f>
        <v>#N/A</v>
      </c>
      <c r="AT30" s="219">
        <v>12</v>
      </c>
      <c r="AU30" s="249" t="e">
        <f>INDEX(データ!$R$2:$T$86,MATCH(AU$17,データ!$R$2:$R$86,0)+AT30,AU$37-1)</f>
        <v>#N/A</v>
      </c>
      <c r="AV30" s="249" t="e">
        <f>INDEX(データ!$R$2:$T$86,MATCH(AU$17,データ!$R$2:$R$86,0)+AT30,AV$37-1)</f>
        <v>#N/A</v>
      </c>
      <c r="AW30" s="249" t="e">
        <f>INDEX(データ!$R$2:$T$86,MATCH(AU$17,データ!$R$2:$R$86,0)+AT30,AW$37-1)</f>
        <v>#N/A</v>
      </c>
      <c r="BH30" s="220"/>
      <c r="BI30" s="220"/>
      <c r="BJ30" s="220"/>
      <c r="BK30" s="220"/>
      <c r="BL30" s="227">
        <v>17</v>
      </c>
      <c r="BM30" s="220"/>
      <c r="BN30" s="220"/>
    </row>
    <row r="31" spans="1:66" ht="12.75" customHeight="1" x14ac:dyDescent="0.2">
      <c r="A31" s="257"/>
      <c r="B31" s="258"/>
      <c r="C31" s="259"/>
      <c r="D31" s="260"/>
      <c r="E31" s="261"/>
      <c r="F31" s="258"/>
      <c r="G31" s="259"/>
      <c r="H31" s="262" t="str">
        <f t="shared" si="0"/>
        <v/>
      </c>
      <c r="I31" s="257" t="e">
        <f t="shared" si="1"/>
        <v>#REF!</v>
      </c>
      <c r="J31" s="835" t="str">
        <f t="shared" si="7"/>
        <v/>
      </c>
      <c r="K31" s="787"/>
      <c r="L31" s="787"/>
      <c r="M31" s="787"/>
      <c r="N31" s="787"/>
      <c r="O31" s="787"/>
      <c r="P31" s="836"/>
      <c r="Q31" s="262"/>
      <c r="R31" s="257" t="str">
        <f t="shared" si="2"/>
        <v/>
      </c>
      <c r="S31" s="263" t="str">
        <f t="shared" si="3"/>
        <v/>
      </c>
      <c r="T31" s="262"/>
      <c r="U31" s="835" t="str">
        <f t="shared" si="4"/>
        <v/>
      </c>
      <c r="V31" s="787"/>
      <c r="W31" s="787"/>
      <c r="X31" s="787"/>
      <c r="Y31" s="836"/>
      <c r="Z31" s="262" t="e">
        <f t="shared" si="5"/>
        <v>#REF!</v>
      </c>
      <c r="AA31" s="257" t="str">
        <f t="shared" si="6"/>
        <v/>
      </c>
      <c r="AB31" s="257"/>
      <c r="AC31" s="259"/>
      <c r="AD31" s="258"/>
      <c r="AE31" s="262"/>
      <c r="AF31" s="257"/>
      <c r="AG31" s="259"/>
      <c r="AH31" s="262"/>
      <c r="AP31" s="219">
        <v>13</v>
      </c>
      <c r="AQ31" s="249" t="e">
        <f>INDEX(データ!$R$2:$T$86,MATCH(AQ$17,データ!$R$2:$R$86,0)+AP31,AQ$37-1)</f>
        <v>#N/A</v>
      </c>
      <c r="AR31" s="249" t="e">
        <f>INDEX(データ!$R$2:$T$86,MATCH(AQ$17,データ!$R$2:$R$86,0)+AP31,AR$37-1)</f>
        <v>#N/A</v>
      </c>
      <c r="AS31" s="249" t="e">
        <f>INDEX(データ!$R$2:$T$86,MATCH(AQ$17,データ!$R$2:$R$86,0)+AP31,AS$37-1)</f>
        <v>#N/A</v>
      </c>
      <c r="AT31" s="219">
        <v>13</v>
      </c>
      <c r="AU31" s="249" t="e">
        <f>INDEX(データ!$R$2:$T$86,MATCH(AU$17,データ!$R$2:$R$86,0)+AT31,AU$37-1)</f>
        <v>#N/A</v>
      </c>
      <c r="AV31" s="249" t="e">
        <f>INDEX(データ!$R$2:$T$86,MATCH(AU$17,データ!$R$2:$R$86,0)+AT31,AV$37-1)</f>
        <v>#N/A</v>
      </c>
      <c r="AW31" s="249" t="e">
        <f>INDEX(データ!$R$2:$T$86,MATCH(AU$17,データ!$R$2:$R$86,0)+AT31,AW$37-1)</f>
        <v>#N/A</v>
      </c>
      <c r="BH31" s="220"/>
      <c r="BI31" s="220"/>
      <c r="BJ31" s="220"/>
      <c r="BK31" s="220"/>
      <c r="BL31" s="227">
        <v>16</v>
      </c>
      <c r="BM31" s="220"/>
      <c r="BN31" s="220"/>
    </row>
    <row r="32" spans="1:66" ht="12.75" customHeight="1" x14ac:dyDescent="0.2">
      <c r="A32" s="257"/>
      <c r="B32" s="258"/>
      <c r="C32" s="259"/>
      <c r="D32" s="260"/>
      <c r="E32" s="261"/>
      <c r="F32" s="258"/>
      <c r="G32" s="259"/>
      <c r="H32" s="262" t="str">
        <f t="shared" si="0"/>
        <v/>
      </c>
      <c r="I32" s="257" t="e">
        <f t="shared" si="1"/>
        <v>#REF!</v>
      </c>
      <c r="J32" s="835" t="str">
        <f t="shared" si="7"/>
        <v/>
      </c>
      <c r="K32" s="787"/>
      <c r="L32" s="787"/>
      <c r="M32" s="787"/>
      <c r="N32" s="787"/>
      <c r="O32" s="787"/>
      <c r="P32" s="836"/>
      <c r="Q32" s="262"/>
      <c r="R32" s="257" t="str">
        <f t="shared" si="2"/>
        <v/>
      </c>
      <c r="S32" s="263" t="str">
        <f t="shared" si="3"/>
        <v/>
      </c>
      <c r="T32" s="262"/>
      <c r="U32" s="835" t="str">
        <f t="shared" si="4"/>
        <v/>
      </c>
      <c r="V32" s="787"/>
      <c r="W32" s="787"/>
      <c r="X32" s="787"/>
      <c r="Y32" s="836"/>
      <c r="Z32" s="262" t="e">
        <f t="shared" si="5"/>
        <v>#REF!</v>
      </c>
      <c r="AA32" s="257" t="str">
        <f t="shared" si="6"/>
        <v/>
      </c>
      <c r="AB32" s="257"/>
      <c r="AC32" s="259"/>
      <c r="AD32" s="258"/>
      <c r="AE32" s="262"/>
      <c r="AF32" s="257"/>
      <c r="AG32" s="259"/>
      <c r="AH32" s="262"/>
      <c r="AP32" s="219">
        <v>14</v>
      </c>
      <c r="AQ32" s="249" t="e">
        <f>INDEX(データ!$R$2:$T$86,MATCH(AQ$17,データ!$R$2:$R$86,0)+AP32,AQ$37-1)</f>
        <v>#N/A</v>
      </c>
      <c r="AR32" s="249" t="e">
        <f>INDEX(データ!$R$2:$T$86,MATCH(AQ$17,データ!$R$2:$R$86,0)+AP32,AR$37-1)</f>
        <v>#N/A</v>
      </c>
      <c r="AS32" s="249" t="e">
        <f>INDEX(データ!$R$2:$T$86,MATCH(AQ$17,データ!$R$2:$R$86,0)+AP32,AS$37-1)</f>
        <v>#N/A</v>
      </c>
      <c r="AT32" s="219">
        <v>14</v>
      </c>
      <c r="AU32" s="249" t="e">
        <f>INDEX(データ!$R$2:$T$86,MATCH(AU$17,データ!$R$2:$R$86,0)+AT32,AU$37-1)</f>
        <v>#N/A</v>
      </c>
      <c r="AV32" s="249" t="e">
        <f>INDEX(データ!$R$2:$T$86,MATCH(AU$17,データ!$R$2:$R$86,0)+AT32,AV$37-1)</f>
        <v>#N/A</v>
      </c>
      <c r="AW32" s="249" t="e">
        <f>INDEX(データ!$R$2:$T$86,MATCH(AU$17,データ!$R$2:$R$86,0)+AT32,AW$37-1)</f>
        <v>#N/A</v>
      </c>
      <c r="BH32" s="220"/>
      <c r="BI32" s="220"/>
      <c r="BJ32" s="220"/>
      <c r="BK32" s="220"/>
      <c r="BL32" s="227">
        <v>15</v>
      </c>
      <c r="BM32" s="220"/>
      <c r="BN32" s="220"/>
    </row>
    <row r="33" spans="1:66" ht="12.75" customHeight="1" x14ac:dyDescent="0.2">
      <c r="A33" s="257"/>
      <c r="B33" s="258"/>
      <c r="C33" s="259"/>
      <c r="D33" s="260"/>
      <c r="E33" s="261"/>
      <c r="F33" s="258"/>
      <c r="G33" s="259"/>
      <c r="H33" s="262" t="str">
        <f t="shared" si="0"/>
        <v/>
      </c>
      <c r="I33" s="257" t="e">
        <f t="shared" si="1"/>
        <v>#REF!</v>
      </c>
      <c r="J33" s="835" t="str">
        <f t="shared" si="7"/>
        <v/>
      </c>
      <c r="K33" s="787"/>
      <c r="L33" s="787"/>
      <c r="M33" s="787"/>
      <c r="N33" s="787"/>
      <c r="O33" s="787"/>
      <c r="P33" s="836"/>
      <c r="Q33" s="274"/>
      <c r="R33" s="257" t="str">
        <f t="shared" si="2"/>
        <v/>
      </c>
      <c r="S33" s="263" t="str">
        <f t="shared" si="3"/>
        <v/>
      </c>
      <c r="T33" s="274"/>
      <c r="U33" s="835" t="str">
        <f t="shared" si="4"/>
        <v/>
      </c>
      <c r="V33" s="787"/>
      <c r="W33" s="787"/>
      <c r="X33" s="787"/>
      <c r="Y33" s="836"/>
      <c r="Z33" s="262" t="e">
        <f t="shared" si="5"/>
        <v>#REF!</v>
      </c>
      <c r="AA33" s="257" t="str">
        <f t="shared" si="6"/>
        <v/>
      </c>
      <c r="AB33" s="257"/>
      <c r="AC33" s="259"/>
      <c r="AD33" s="258"/>
      <c r="AE33" s="262"/>
      <c r="AF33" s="257"/>
      <c r="AG33" s="259"/>
      <c r="AH33" s="262"/>
      <c r="AP33" s="219">
        <v>15</v>
      </c>
      <c r="AQ33" s="249" t="e">
        <f>INDEX(データ!$R$2:$T$86,MATCH(AQ$17,データ!$R$2:$R$86,0)+AP33,AQ$37-1)</f>
        <v>#N/A</v>
      </c>
      <c r="AR33" s="249" t="e">
        <f>INDEX(データ!$R$2:$T$86,MATCH(AQ$17,データ!$R$2:$R$86,0)+AP33,AR$37-1)</f>
        <v>#N/A</v>
      </c>
      <c r="AS33" s="249" t="e">
        <f>INDEX(データ!$R$2:$T$86,MATCH(AQ$17,データ!$R$2:$R$86,0)+AP33,AS$37-1)</f>
        <v>#N/A</v>
      </c>
      <c r="AT33" s="219">
        <v>15</v>
      </c>
      <c r="AU33" s="249" t="e">
        <f>INDEX(データ!$R$2:$T$86,MATCH(AU$17,データ!$R$2:$R$86,0)+AT33,AU$37-1)</f>
        <v>#N/A</v>
      </c>
      <c r="AV33" s="249" t="e">
        <f>INDEX(データ!$R$2:$T$86,MATCH(AU$17,データ!$R$2:$R$86,0)+AT33,AV$37-1)</f>
        <v>#N/A</v>
      </c>
      <c r="AW33" s="249" t="e">
        <f>INDEX(データ!$R$2:$T$86,MATCH(AU$17,データ!$R$2:$R$86,0)+AT33,AW$37-1)</f>
        <v>#N/A</v>
      </c>
      <c r="BH33" s="220"/>
      <c r="BI33" s="220"/>
      <c r="BJ33" s="220"/>
      <c r="BK33" s="220"/>
      <c r="BL33" s="227">
        <v>14</v>
      </c>
      <c r="BM33" s="220"/>
      <c r="BN33" s="220"/>
    </row>
    <row r="34" spans="1:66" ht="12.75" customHeight="1" x14ac:dyDescent="0.2">
      <c r="A34" s="257"/>
      <c r="B34" s="258"/>
      <c r="C34" s="259"/>
      <c r="D34" s="260"/>
      <c r="E34" s="261"/>
      <c r="F34" s="258"/>
      <c r="G34" s="259"/>
      <c r="H34" s="262"/>
      <c r="I34" s="257" t="e">
        <f t="shared" si="1"/>
        <v>#REF!</v>
      </c>
      <c r="J34" s="835" t="str">
        <f t="shared" si="7"/>
        <v/>
      </c>
      <c r="K34" s="787"/>
      <c r="L34" s="787"/>
      <c r="M34" s="787"/>
      <c r="N34" s="787"/>
      <c r="O34" s="787"/>
      <c r="P34" s="836"/>
      <c r="Q34" s="263"/>
      <c r="R34" s="257" t="str">
        <f t="shared" si="2"/>
        <v/>
      </c>
      <c r="S34" s="263" t="str">
        <f t="shared" si="3"/>
        <v/>
      </c>
      <c r="T34" s="263"/>
      <c r="U34" s="835" t="str">
        <f t="shared" si="4"/>
        <v/>
      </c>
      <c r="V34" s="787"/>
      <c r="W34" s="787"/>
      <c r="X34" s="787"/>
      <c r="Y34" s="836"/>
      <c r="Z34" s="262" t="e">
        <f t="shared" si="5"/>
        <v>#REF!</v>
      </c>
      <c r="AA34" s="257" t="str">
        <f t="shared" si="6"/>
        <v/>
      </c>
      <c r="AB34" s="257"/>
      <c r="AC34" s="259"/>
      <c r="AD34" s="258"/>
      <c r="AE34" s="262"/>
      <c r="AF34" s="257"/>
      <c r="AG34" s="259"/>
      <c r="AH34" s="262"/>
      <c r="AP34" s="219">
        <v>16</v>
      </c>
      <c r="AQ34" s="249" t="e">
        <f>INDEX(データ!$R$2:$T$86,MATCH(AQ$17,データ!$R$2:$R$86,0)+AP34,AQ$37-1)</f>
        <v>#N/A</v>
      </c>
      <c r="AR34" s="249" t="e">
        <f>INDEX(データ!$R$2:$T$86,MATCH(AQ$17,データ!$R$2:$R$86,0)+AP34,AR$37-1)</f>
        <v>#N/A</v>
      </c>
      <c r="AS34" s="249" t="e">
        <f>INDEX(データ!$R$2:$T$86,MATCH(AQ$17,データ!$R$2:$R$86,0)+AP34,AS$37-1)</f>
        <v>#N/A</v>
      </c>
      <c r="AT34" s="219">
        <v>16</v>
      </c>
      <c r="AU34" s="249" t="e">
        <f>INDEX(データ!$R$2:$T$86,MATCH(AU$17,データ!$R$2:$R$86,0)+AT34,AU$37-1)</f>
        <v>#N/A</v>
      </c>
      <c r="AV34" s="249" t="e">
        <f>INDEX(データ!$R$2:$T$86,MATCH(AU$17,データ!$R$2:$R$86,0)+AT34,AV$37-1)</f>
        <v>#N/A</v>
      </c>
      <c r="AW34" s="249" t="e">
        <f>INDEX(データ!$R$2:$T$86,MATCH(AU$17,データ!$R$2:$R$86,0)+AT34,AW$37-1)</f>
        <v>#N/A</v>
      </c>
      <c r="BH34" s="220"/>
      <c r="BI34" s="220"/>
      <c r="BJ34" s="220"/>
      <c r="BK34" s="220"/>
      <c r="BL34" s="227">
        <v>13</v>
      </c>
      <c r="BM34" s="220"/>
      <c r="BN34" s="220"/>
    </row>
    <row r="35" spans="1:66" ht="12.75" customHeight="1" x14ac:dyDescent="0.2">
      <c r="A35" s="257"/>
      <c r="B35" s="258"/>
      <c r="C35" s="259"/>
      <c r="D35" s="260"/>
      <c r="E35" s="261"/>
      <c r="F35" s="258"/>
      <c r="G35" s="259"/>
      <c r="H35" s="262" t="str">
        <f>IF(F35+G35=0,"",F35+G35)</f>
        <v/>
      </c>
      <c r="I35" s="257" t="e">
        <f t="shared" si="1"/>
        <v>#REF!</v>
      </c>
      <c r="J35" s="835" t="str">
        <f t="shared" si="7"/>
        <v/>
      </c>
      <c r="K35" s="787"/>
      <c r="L35" s="787"/>
      <c r="M35" s="787"/>
      <c r="N35" s="787"/>
      <c r="O35" s="787"/>
      <c r="P35" s="836"/>
      <c r="Q35" s="262"/>
      <c r="R35" s="257" t="str">
        <f t="shared" si="2"/>
        <v/>
      </c>
      <c r="S35" s="263" t="str">
        <f t="shared" si="3"/>
        <v/>
      </c>
      <c r="T35" s="262"/>
      <c r="U35" s="835" t="str">
        <f t="shared" si="4"/>
        <v/>
      </c>
      <c r="V35" s="787"/>
      <c r="W35" s="787"/>
      <c r="X35" s="787"/>
      <c r="Y35" s="836"/>
      <c r="Z35" s="262" t="e">
        <f t="shared" si="5"/>
        <v>#REF!</v>
      </c>
      <c r="AA35" s="257" t="str">
        <f t="shared" si="6"/>
        <v/>
      </c>
      <c r="AB35" s="257"/>
      <c r="AC35" s="259"/>
      <c r="AD35" s="258"/>
      <c r="AE35" s="262"/>
      <c r="AF35" s="257"/>
      <c r="AG35" s="259"/>
      <c r="AH35" s="262"/>
      <c r="AP35" s="219">
        <v>17</v>
      </c>
      <c r="AQ35" s="249" t="e">
        <f>INDEX(データ!$R$2:$T$86,MATCH(AQ$17,データ!$R$2:$R$86,0)+AP35,AQ$37-1)</f>
        <v>#N/A</v>
      </c>
      <c r="AR35" s="249" t="e">
        <f>INDEX(データ!$R$2:$T$86,MATCH(AQ$17,データ!$R$2:$R$86,0)+AP35,AR$37-1)</f>
        <v>#N/A</v>
      </c>
      <c r="AS35" s="249" t="e">
        <f>INDEX(データ!$R$2:$T$86,MATCH(AQ$17,データ!$R$2:$R$86,0)+AP35,AS$37-1)</f>
        <v>#N/A</v>
      </c>
      <c r="AT35" s="219">
        <v>17</v>
      </c>
      <c r="AU35" s="249" t="e">
        <f>INDEX(データ!$R$2:$T$86,MATCH(AU$17,データ!$R$2:$R$86,0)+AT35,AU$37-1)</f>
        <v>#N/A</v>
      </c>
      <c r="AV35" s="249" t="e">
        <f>INDEX(データ!$R$2:$T$86,MATCH(AU$17,データ!$R$2:$R$86,0)+AT35,AV$37-1)</f>
        <v>#N/A</v>
      </c>
      <c r="AW35" s="249" t="e">
        <f>INDEX(データ!$R$2:$T$86,MATCH(AU$17,データ!$R$2:$R$86,0)+AT35,AW$37-1)</f>
        <v>#N/A</v>
      </c>
      <c r="BH35" s="220"/>
      <c r="BI35" s="220"/>
      <c r="BJ35" s="220"/>
      <c r="BK35" s="220"/>
      <c r="BL35" s="227">
        <v>12</v>
      </c>
      <c r="BM35" s="220"/>
      <c r="BN35" s="220"/>
    </row>
    <row r="36" spans="1:66" ht="12.75" customHeight="1" x14ac:dyDescent="0.2">
      <c r="A36" s="247"/>
      <c r="B36" s="244"/>
      <c r="C36" s="245"/>
      <c r="D36" s="242"/>
      <c r="E36" s="243"/>
      <c r="F36" s="244"/>
      <c r="G36" s="245"/>
      <c r="H36" s="246" t="str">
        <f>IF(F36+G36=0,"",F36+G36)</f>
        <v/>
      </c>
      <c r="I36" s="247" t="e">
        <f t="shared" si="1"/>
        <v>#REF!</v>
      </c>
      <c r="J36" s="845" t="str">
        <f t="shared" si="7"/>
        <v/>
      </c>
      <c r="K36" s="846"/>
      <c r="L36" s="846"/>
      <c r="M36" s="846"/>
      <c r="N36" s="846"/>
      <c r="O36" s="846"/>
      <c r="P36" s="847"/>
      <c r="Q36" s="275"/>
      <c r="R36" s="247" t="str">
        <f t="shared" si="2"/>
        <v/>
      </c>
      <c r="S36" s="273" t="str">
        <f t="shared" si="3"/>
        <v/>
      </c>
      <c r="T36" s="275"/>
      <c r="U36" s="845" t="str">
        <f t="shared" si="4"/>
        <v/>
      </c>
      <c r="V36" s="846"/>
      <c r="W36" s="846"/>
      <c r="X36" s="846"/>
      <c r="Y36" s="847"/>
      <c r="Z36" s="246" t="e">
        <f t="shared" si="5"/>
        <v>#REF!</v>
      </c>
      <c r="AA36" s="247" t="str">
        <f t="shared" si="6"/>
        <v/>
      </c>
      <c r="AB36" s="247"/>
      <c r="AC36" s="245"/>
      <c r="AD36" s="244"/>
      <c r="AE36" s="246"/>
      <c r="AF36" s="247"/>
      <c r="AG36" s="245"/>
      <c r="AH36" s="246"/>
      <c r="AP36" s="219">
        <v>18</v>
      </c>
      <c r="AQ36" s="249" t="e">
        <f>INDEX(データ!$R$2:$T$86,MATCH(AQ$17,データ!$R$2:$R$86,0)+AP36,AQ$37-1)</f>
        <v>#N/A</v>
      </c>
      <c r="AR36" s="249" t="e">
        <f>INDEX(データ!$R$2:$T$86,MATCH(AQ$17,データ!$R$2:$R$86,0)+AP36,AR$37-1)</f>
        <v>#N/A</v>
      </c>
      <c r="AS36" s="249" t="e">
        <f>INDEX(データ!$R$2:$T$86,MATCH(AQ$17,データ!$R$2:$R$86,0)+AP36,AS$37-1)</f>
        <v>#N/A</v>
      </c>
      <c r="AT36" s="219">
        <v>18</v>
      </c>
      <c r="AU36" s="249" t="e">
        <f>INDEX(データ!$R$2:$T$86,MATCH(AU$17,データ!$R$2:$R$86,0)+AT36,AU$37-1)</f>
        <v>#N/A</v>
      </c>
      <c r="AV36" s="249" t="e">
        <f>INDEX(データ!$R$2:$T$86,MATCH(AU$17,データ!$R$2:$R$86,0)+AT36,AV$37-1)</f>
        <v>#N/A</v>
      </c>
      <c r="AW36" s="249" t="e">
        <f>INDEX(データ!$R$2:$T$86,MATCH(AU$17,データ!$R$2:$R$86,0)+AT36,AW$37-1)</f>
        <v>#N/A</v>
      </c>
      <c r="BH36" s="220"/>
      <c r="BI36" s="220"/>
      <c r="BJ36" s="220"/>
      <c r="BK36" s="220"/>
      <c r="BL36" s="227">
        <v>11</v>
      </c>
      <c r="BM36" s="220"/>
      <c r="BN36" s="220"/>
    </row>
    <row r="37" spans="1:66" ht="12.75" customHeight="1" x14ac:dyDescent="0.2">
      <c r="A37" s="859" t="s">
        <v>265</v>
      </c>
      <c r="B37" s="860"/>
      <c r="C37" s="852" t="s">
        <v>266</v>
      </c>
      <c r="D37" s="853"/>
      <c r="E37" s="853"/>
      <c r="F37" s="854"/>
      <c r="G37" s="817" t="s">
        <v>267</v>
      </c>
      <c r="H37" s="817"/>
      <c r="I37" s="861"/>
      <c r="J37" s="862"/>
      <c r="K37" s="863" t="s">
        <v>268</v>
      </c>
      <c r="L37" s="864"/>
      <c r="M37" s="864"/>
      <c r="N37" s="864"/>
      <c r="O37" s="864"/>
      <c r="P37" s="864"/>
      <c r="Q37" s="864"/>
      <c r="R37" s="865"/>
      <c r="S37" s="863" t="s">
        <v>268</v>
      </c>
      <c r="T37" s="864"/>
      <c r="U37" s="864"/>
      <c r="V37" s="864"/>
      <c r="W37" s="864"/>
      <c r="X37" s="865"/>
      <c r="Y37" s="848" t="s">
        <v>265</v>
      </c>
      <c r="Z37" s="849"/>
      <c r="AA37" s="852" t="s">
        <v>266</v>
      </c>
      <c r="AB37" s="853"/>
      <c r="AC37" s="853"/>
      <c r="AD37" s="854"/>
      <c r="AE37" s="817" t="s">
        <v>267</v>
      </c>
      <c r="AF37" s="817"/>
      <c r="AG37" s="817"/>
      <c r="AH37" s="823"/>
      <c r="AQ37" s="219">
        <v>2</v>
      </c>
      <c r="AR37" s="219">
        <v>3</v>
      </c>
      <c r="AS37" s="219">
        <v>4</v>
      </c>
      <c r="AU37" s="219">
        <v>2</v>
      </c>
      <c r="AV37" s="219">
        <v>3</v>
      </c>
      <c r="AW37" s="219">
        <v>4</v>
      </c>
      <c r="BH37" s="220"/>
      <c r="BI37" s="220"/>
      <c r="BJ37" s="220"/>
      <c r="BK37" s="220"/>
      <c r="BL37" s="227">
        <v>10</v>
      </c>
      <c r="BM37" s="220"/>
      <c r="BN37" s="220"/>
    </row>
    <row r="38" spans="1:66" ht="12.75" customHeight="1" x14ac:dyDescent="0.2">
      <c r="A38" s="868"/>
      <c r="B38" s="858"/>
      <c r="C38" s="276"/>
      <c r="D38" s="779" t="str">
        <f t="shared" ref="D38:D47" si="8">IF(C38="","",INDEX($J$19:$P$36,MATCH(C38,$Q$19:$Q$36,0),1))</f>
        <v/>
      </c>
      <c r="E38" s="779"/>
      <c r="F38" s="784"/>
      <c r="G38" s="277"/>
      <c r="H38" s="850" t="str">
        <f t="shared" ref="H38:H47" si="9">IF(G38="","",INDEX($J$19:$P$36,MATCH(G38,$Q$19:$Q$36,0),1))</f>
        <v/>
      </c>
      <c r="I38" s="850"/>
      <c r="J38" s="869"/>
      <c r="K38" s="828" t="e">
        <f>AS18</f>
        <v>#N/A</v>
      </c>
      <c r="L38" s="870"/>
      <c r="M38" s="870"/>
      <c r="N38" s="855"/>
      <c r="O38" s="855"/>
      <c r="P38" s="855"/>
      <c r="Q38" s="855"/>
      <c r="R38" s="856"/>
      <c r="S38" s="828" t="e">
        <f>AW18</f>
        <v>#N/A</v>
      </c>
      <c r="T38" s="855"/>
      <c r="U38" s="855"/>
      <c r="V38" s="855"/>
      <c r="W38" s="855"/>
      <c r="X38" s="856"/>
      <c r="Y38" s="857"/>
      <c r="Z38" s="858"/>
      <c r="AA38" s="276"/>
      <c r="AB38" s="850" t="str">
        <f t="shared" ref="AB38:AB47" si="10">IF(AA38="","",INDEX($U$19:$Y$36,MATCH(AA38,$T$19:$T$36,0),1))</f>
        <v/>
      </c>
      <c r="AC38" s="850"/>
      <c r="AD38" s="851"/>
      <c r="AE38" s="277"/>
      <c r="AF38" s="850" t="str">
        <f t="shared" ref="AF38:AF47" si="11">IF(AE38="","",INDEX($U$19:$Y$36,MATCH(AE38,$T$19:$T$36,0),1))</f>
        <v/>
      </c>
      <c r="AG38" s="850"/>
      <c r="AH38" s="851"/>
      <c r="AQ38" s="219" t="s">
        <v>256</v>
      </c>
      <c r="AR38" s="219" t="s">
        <v>257</v>
      </c>
      <c r="AS38" s="219" t="s">
        <v>269</v>
      </c>
      <c r="AU38" s="219" t="s">
        <v>256</v>
      </c>
      <c r="AV38" s="219" t="s">
        <v>257</v>
      </c>
      <c r="AW38" s="219" t="s">
        <v>269</v>
      </c>
      <c r="BH38" s="220"/>
      <c r="BI38" s="220"/>
      <c r="BJ38" s="220"/>
      <c r="BK38" s="220"/>
      <c r="BL38" s="227">
        <v>9</v>
      </c>
      <c r="BM38" s="220"/>
      <c r="BN38" s="220"/>
    </row>
    <row r="39" spans="1:66" ht="12.75" customHeight="1" x14ac:dyDescent="0.2">
      <c r="A39" s="871"/>
      <c r="B39" s="872"/>
      <c r="C39" s="258"/>
      <c r="D39" s="850" t="str">
        <f t="shared" si="8"/>
        <v/>
      </c>
      <c r="E39" s="850"/>
      <c r="F39" s="851"/>
      <c r="G39" s="260"/>
      <c r="H39" s="850" t="str">
        <f t="shared" si="9"/>
        <v/>
      </c>
      <c r="I39" s="850"/>
      <c r="J39" s="869"/>
      <c r="K39" s="876"/>
      <c r="L39" s="877"/>
      <c r="M39" s="880"/>
      <c r="N39" s="881"/>
      <c r="O39" s="866" t="s">
        <v>154</v>
      </c>
      <c r="P39" s="874" t="s">
        <v>153</v>
      </c>
      <c r="Q39" s="826" t="s">
        <v>270</v>
      </c>
      <c r="R39" s="830"/>
      <c r="S39" s="830"/>
      <c r="T39" s="827"/>
      <c r="U39" s="866" t="s">
        <v>153</v>
      </c>
      <c r="V39" s="874" t="s">
        <v>154</v>
      </c>
      <c r="W39" s="885"/>
      <c r="X39" s="887"/>
      <c r="Y39" s="873"/>
      <c r="Z39" s="872"/>
      <c r="AA39" s="258"/>
      <c r="AB39" s="790" t="str">
        <f t="shared" si="10"/>
        <v/>
      </c>
      <c r="AC39" s="790"/>
      <c r="AD39" s="791"/>
      <c r="AE39" s="260"/>
      <c r="AF39" s="790" t="str">
        <f t="shared" si="11"/>
        <v/>
      </c>
      <c r="AG39" s="790"/>
      <c r="AH39" s="791"/>
      <c r="BH39" s="220"/>
      <c r="BI39" s="220"/>
      <c r="BJ39" s="220"/>
      <c r="BK39" s="220"/>
      <c r="BL39" s="227">
        <v>8</v>
      </c>
      <c r="BM39" s="220"/>
      <c r="BN39" s="220"/>
    </row>
    <row r="40" spans="1:66" ht="12.75" customHeight="1" x14ac:dyDescent="0.2">
      <c r="A40" s="871"/>
      <c r="B40" s="872"/>
      <c r="C40" s="258"/>
      <c r="D40" s="850" t="str">
        <f t="shared" si="8"/>
        <v/>
      </c>
      <c r="E40" s="850"/>
      <c r="F40" s="851"/>
      <c r="G40" s="260"/>
      <c r="H40" s="850" t="str">
        <f t="shared" si="9"/>
        <v/>
      </c>
      <c r="I40" s="850"/>
      <c r="J40" s="869"/>
      <c r="K40" s="878"/>
      <c r="L40" s="879"/>
      <c r="M40" s="882"/>
      <c r="N40" s="883"/>
      <c r="O40" s="867"/>
      <c r="P40" s="875"/>
      <c r="Q40" s="828"/>
      <c r="R40" s="884"/>
      <c r="S40" s="884"/>
      <c r="T40" s="829"/>
      <c r="U40" s="867"/>
      <c r="V40" s="875"/>
      <c r="W40" s="886"/>
      <c r="X40" s="888"/>
      <c r="Y40" s="873"/>
      <c r="Z40" s="872"/>
      <c r="AA40" s="258"/>
      <c r="AB40" s="790" t="str">
        <f t="shared" si="10"/>
        <v/>
      </c>
      <c r="AC40" s="790"/>
      <c r="AD40" s="791"/>
      <c r="AE40" s="260"/>
      <c r="AF40" s="790" t="str">
        <f t="shared" si="11"/>
        <v/>
      </c>
      <c r="AG40" s="790"/>
      <c r="AH40" s="791"/>
      <c r="BH40" s="220"/>
      <c r="BI40" s="220"/>
      <c r="BJ40" s="220"/>
      <c r="BK40" s="220"/>
      <c r="BL40" s="227">
        <v>7</v>
      </c>
      <c r="BM40" s="220"/>
      <c r="BN40" s="220"/>
    </row>
    <row r="41" spans="1:66" ht="12.75" customHeight="1" x14ac:dyDescent="0.2">
      <c r="A41" s="871"/>
      <c r="B41" s="872"/>
      <c r="C41" s="258"/>
      <c r="D41" s="850" t="str">
        <f t="shared" si="8"/>
        <v/>
      </c>
      <c r="E41" s="850"/>
      <c r="F41" s="851"/>
      <c r="G41" s="260"/>
      <c r="H41" s="850" t="str">
        <f t="shared" si="9"/>
        <v/>
      </c>
      <c r="I41" s="850"/>
      <c r="J41" s="869"/>
      <c r="K41" s="824" t="str">
        <f>IF(SUM(D19:D36)=0,"",SUM(D19:D36))</f>
        <v/>
      </c>
      <c r="L41" s="803"/>
      <c r="M41" s="801" t="str">
        <f>IF(SUM(E19:E36)=0,"",SUM(E19:E36))</f>
        <v/>
      </c>
      <c r="N41" s="893"/>
      <c r="O41" s="277"/>
      <c r="P41" s="278"/>
      <c r="Q41" s="279" t="str">
        <f>IF(SUM(K41:P41)=0,"",SUM(K41:P41))</f>
        <v/>
      </c>
      <c r="R41" s="894" t="s">
        <v>253</v>
      </c>
      <c r="S41" s="894"/>
      <c r="T41" s="280" t="str">
        <f>IF(SUM(U41:X41)=0,"",SUM(U41:X41))</f>
        <v/>
      </c>
      <c r="U41" s="277"/>
      <c r="V41" s="278"/>
      <c r="W41" s="251" t="str">
        <f>IF(SUM(AD19:AD36)=0,"",SUM(AD19:AD36))</f>
        <v/>
      </c>
      <c r="X41" s="252" t="str">
        <f>IF(SUM(AE19:AE36)=0,"",SUM(AE19:AE36))</f>
        <v/>
      </c>
      <c r="Y41" s="873"/>
      <c r="Z41" s="872"/>
      <c r="AA41" s="258"/>
      <c r="AB41" s="790" t="str">
        <f t="shared" si="10"/>
        <v/>
      </c>
      <c r="AC41" s="790"/>
      <c r="AD41" s="791"/>
      <c r="AE41" s="260"/>
      <c r="AF41" s="790" t="str">
        <f t="shared" si="11"/>
        <v/>
      </c>
      <c r="AG41" s="790"/>
      <c r="AH41" s="791"/>
      <c r="BH41" s="220"/>
      <c r="BI41" s="220"/>
      <c r="BJ41" s="220"/>
      <c r="BK41" s="220"/>
      <c r="BL41" s="227">
        <v>6</v>
      </c>
      <c r="BM41" s="220"/>
      <c r="BN41" s="220"/>
    </row>
    <row r="42" spans="1:66" ht="12.75" customHeight="1" x14ac:dyDescent="0.2">
      <c r="A42" s="871"/>
      <c r="B42" s="872"/>
      <c r="C42" s="258"/>
      <c r="D42" s="850" t="str">
        <f t="shared" si="8"/>
        <v/>
      </c>
      <c r="E42" s="850"/>
      <c r="F42" s="851"/>
      <c r="G42" s="260"/>
      <c r="H42" s="850" t="str">
        <f t="shared" si="9"/>
        <v/>
      </c>
      <c r="I42" s="850"/>
      <c r="J42" s="869"/>
      <c r="K42" s="889"/>
      <c r="L42" s="890"/>
      <c r="M42" s="872"/>
      <c r="N42" s="891"/>
      <c r="O42" s="260"/>
      <c r="P42" s="261"/>
      <c r="Q42" s="281" t="str">
        <f t="shared" ref="Q42:Q47" si="12">IF(O42+P42=0,"",O42+P42)</f>
        <v/>
      </c>
      <c r="R42" s="892" t="s">
        <v>271</v>
      </c>
      <c r="S42" s="892"/>
      <c r="T42" s="282" t="str">
        <f t="shared" ref="T42:T47" si="13">IF(U42+V42=0,"",U42+V42)</f>
        <v/>
      </c>
      <c r="U42" s="260"/>
      <c r="V42" s="261"/>
      <c r="W42" s="258"/>
      <c r="X42" s="259"/>
      <c r="Y42" s="873"/>
      <c r="Z42" s="872"/>
      <c r="AA42" s="258"/>
      <c r="AB42" s="790" t="str">
        <f t="shared" si="10"/>
        <v/>
      </c>
      <c r="AC42" s="790"/>
      <c r="AD42" s="791"/>
      <c r="AE42" s="260"/>
      <c r="AF42" s="790" t="str">
        <f t="shared" si="11"/>
        <v/>
      </c>
      <c r="AG42" s="790"/>
      <c r="AH42" s="791"/>
      <c r="BH42" s="220"/>
      <c r="BI42" s="220"/>
      <c r="BJ42" s="220"/>
      <c r="BK42" s="220"/>
      <c r="BL42" s="227">
        <v>5</v>
      </c>
      <c r="BM42" s="220"/>
      <c r="BN42" s="220"/>
    </row>
    <row r="43" spans="1:66" ht="12.75" customHeight="1" x14ac:dyDescent="0.2">
      <c r="A43" s="871" t="s">
        <v>204</v>
      </c>
      <c r="B43" s="872"/>
      <c r="C43" s="258"/>
      <c r="D43" s="850" t="str">
        <f t="shared" si="8"/>
        <v/>
      </c>
      <c r="E43" s="850"/>
      <c r="F43" s="851"/>
      <c r="G43" s="260"/>
      <c r="H43" s="850" t="str">
        <f t="shared" si="9"/>
        <v/>
      </c>
      <c r="I43" s="850"/>
      <c r="J43" s="869"/>
      <c r="K43" s="889"/>
      <c r="L43" s="890"/>
      <c r="M43" s="872"/>
      <c r="N43" s="891"/>
      <c r="O43" s="260"/>
      <c r="P43" s="261"/>
      <c r="Q43" s="281" t="str">
        <f t="shared" si="12"/>
        <v/>
      </c>
      <c r="R43" s="892" t="s">
        <v>272</v>
      </c>
      <c r="S43" s="892"/>
      <c r="T43" s="282" t="str">
        <f t="shared" si="13"/>
        <v/>
      </c>
      <c r="U43" s="260"/>
      <c r="V43" s="261"/>
      <c r="W43" s="258"/>
      <c r="X43" s="259"/>
      <c r="Y43" s="873"/>
      <c r="Z43" s="872"/>
      <c r="AA43" s="258"/>
      <c r="AB43" s="790" t="str">
        <f t="shared" si="10"/>
        <v/>
      </c>
      <c r="AC43" s="790"/>
      <c r="AD43" s="791"/>
      <c r="AE43" s="260"/>
      <c r="AF43" s="790" t="str">
        <f t="shared" si="11"/>
        <v/>
      </c>
      <c r="AG43" s="790"/>
      <c r="AH43" s="791"/>
      <c r="BH43" s="220"/>
      <c r="BI43" s="220"/>
      <c r="BJ43" s="220"/>
      <c r="BK43" s="220"/>
      <c r="BL43" s="227">
        <v>4</v>
      </c>
      <c r="BM43" s="220"/>
      <c r="BN43" s="220"/>
    </row>
    <row r="44" spans="1:66" ht="12.75" customHeight="1" x14ac:dyDescent="0.2">
      <c r="A44" s="871" t="s">
        <v>204</v>
      </c>
      <c r="B44" s="872"/>
      <c r="C44" s="258"/>
      <c r="D44" s="850" t="str">
        <f t="shared" si="8"/>
        <v/>
      </c>
      <c r="E44" s="850"/>
      <c r="F44" s="851"/>
      <c r="G44" s="260"/>
      <c r="H44" s="850" t="str">
        <f t="shared" si="9"/>
        <v/>
      </c>
      <c r="I44" s="850"/>
      <c r="J44" s="869"/>
      <c r="K44" s="889"/>
      <c r="L44" s="890"/>
      <c r="M44" s="872"/>
      <c r="N44" s="891"/>
      <c r="O44" s="260"/>
      <c r="P44" s="261"/>
      <c r="Q44" s="281" t="str">
        <f t="shared" si="12"/>
        <v/>
      </c>
      <c r="R44" s="892" t="s">
        <v>273</v>
      </c>
      <c r="S44" s="892"/>
      <c r="T44" s="282" t="str">
        <f t="shared" si="13"/>
        <v/>
      </c>
      <c r="U44" s="260"/>
      <c r="V44" s="261"/>
      <c r="W44" s="258"/>
      <c r="X44" s="259"/>
      <c r="Y44" s="873"/>
      <c r="Z44" s="872"/>
      <c r="AA44" s="258"/>
      <c r="AB44" s="790" t="str">
        <f t="shared" si="10"/>
        <v/>
      </c>
      <c r="AC44" s="790"/>
      <c r="AD44" s="791"/>
      <c r="AE44" s="260"/>
      <c r="AF44" s="790" t="str">
        <f t="shared" si="11"/>
        <v/>
      </c>
      <c r="AG44" s="790"/>
      <c r="AH44" s="791"/>
      <c r="BH44" s="220"/>
      <c r="BI44" s="220"/>
      <c r="BJ44" s="220"/>
      <c r="BK44" s="220"/>
      <c r="BL44" s="227">
        <v>3</v>
      </c>
      <c r="BM44" s="220"/>
      <c r="BN44" s="220"/>
    </row>
    <row r="45" spans="1:66" ht="12.75" customHeight="1" x14ac:dyDescent="0.2">
      <c r="A45" s="871" t="s">
        <v>204</v>
      </c>
      <c r="B45" s="872"/>
      <c r="C45" s="258"/>
      <c r="D45" s="850" t="str">
        <f t="shared" si="8"/>
        <v/>
      </c>
      <c r="E45" s="850"/>
      <c r="F45" s="851"/>
      <c r="G45" s="260"/>
      <c r="H45" s="850" t="str">
        <f t="shared" si="9"/>
        <v/>
      </c>
      <c r="I45" s="850"/>
      <c r="J45" s="869"/>
      <c r="K45" s="889"/>
      <c r="L45" s="890"/>
      <c r="M45" s="872"/>
      <c r="N45" s="891"/>
      <c r="O45" s="260"/>
      <c r="P45" s="261"/>
      <c r="Q45" s="281" t="str">
        <f t="shared" si="12"/>
        <v/>
      </c>
      <c r="R45" s="892" t="s">
        <v>274</v>
      </c>
      <c r="S45" s="892"/>
      <c r="T45" s="282" t="str">
        <f t="shared" si="13"/>
        <v/>
      </c>
      <c r="U45" s="260"/>
      <c r="V45" s="261"/>
      <c r="W45" s="258"/>
      <c r="X45" s="259"/>
      <c r="Y45" s="873"/>
      <c r="Z45" s="872"/>
      <c r="AA45" s="258"/>
      <c r="AB45" s="790" t="str">
        <f t="shared" si="10"/>
        <v/>
      </c>
      <c r="AC45" s="790"/>
      <c r="AD45" s="791"/>
      <c r="AE45" s="260"/>
      <c r="AF45" s="790" t="str">
        <f t="shared" si="11"/>
        <v/>
      </c>
      <c r="AG45" s="790"/>
      <c r="AH45" s="791"/>
      <c r="BH45" s="220"/>
      <c r="BI45" s="220"/>
      <c r="BJ45" s="220"/>
      <c r="BK45" s="220"/>
      <c r="BL45" s="227">
        <v>2</v>
      </c>
      <c r="BM45" s="220"/>
      <c r="BN45" s="220"/>
    </row>
    <row r="46" spans="1:66" ht="12.75" customHeight="1" x14ac:dyDescent="0.2">
      <c r="A46" s="871" t="s">
        <v>204</v>
      </c>
      <c r="B46" s="872"/>
      <c r="C46" s="258"/>
      <c r="D46" s="850" t="str">
        <f t="shared" si="8"/>
        <v/>
      </c>
      <c r="E46" s="850"/>
      <c r="F46" s="851"/>
      <c r="G46" s="260"/>
      <c r="H46" s="850" t="str">
        <f t="shared" si="9"/>
        <v/>
      </c>
      <c r="I46" s="850"/>
      <c r="J46" s="869"/>
      <c r="K46" s="889"/>
      <c r="L46" s="890"/>
      <c r="M46" s="872"/>
      <c r="N46" s="891"/>
      <c r="O46" s="260"/>
      <c r="P46" s="261"/>
      <c r="Q46" s="281" t="str">
        <f t="shared" si="12"/>
        <v/>
      </c>
      <c r="R46" s="892" t="s">
        <v>275</v>
      </c>
      <c r="S46" s="892"/>
      <c r="T46" s="282" t="str">
        <f t="shared" si="13"/>
        <v/>
      </c>
      <c r="U46" s="260"/>
      <c r="V46" s="261"/>
      <c r="W46" s="258"/>
      <c r="X46" s="259"/>
      <c r="Y46" s="873"/>
      <c r="Z46" s="872"/>
      <c r="AA46" s="258"/>
      <c r="AB46" s="790" t="str">
        <f t="shared" si="10"/>
        <v/>
      </c>
      <c r="AC46" s="790"/>
      <c r="AD46" s="791"/>
      <c r="AE46" s="260"/>
      <c r="AF46" s="790" t="str">
        <f t="shared" si="11"/>
        <v/>
      </c>
      <c r="AG46" s="790"/>
      <c r="AH46" s="791"/>
      <c r="BH46" s="220"/>
      <c r="BI46" s="220"/>
      <c r="BJ46" s="220"/>
      <c r="BK46" s="220"/>
      <c r="BL46" s="227">
        <v>1</v>
      </c>
      <c r="BM46" s="220"/>
      <c r="BN46" s="220"/>
    </row>
    <row r="47" spans="1:66" ht="12.75" customHeight="1" x14ac:dyDescent="0.2">
      <c r="A47" s="828"/>
      <c r="B47" s="895"/>
      <c r="C47" s="244"/>
      <c r="D47" s="896" t="str">
        <f t="shared" si="8"/>
        <v/>
      </c>
      <c r="E47" s="896"/>
      <c r="F47" s="897"/>
      <c r="G47" s="242"/>
      <c r="H47" s="850" t="str">
        <f t="shared" si="9"/>
        <v/>
      </c>
      <c r="I47" s="850"/>
      <c r="J47" s="869"/>
      <c r="K47" s="825"/>
      <c r="L47" s="898"/>
      <c r="M47" s="895"/>
      <c r="N47" s="899"/>
      <c r="O47" s="242"/>
      <c r="P47" s="243"/>
      <c r="Q47" s="283" t="str">
        <f t="shared" si="12"/>
        <v/>
      </c>
      <c r="R47" s="884" t="s">
        <v>276</v>
      </c>
      <c r="S47" s="884"/>
      <c r="T47" s="284" t="str">
        <f t="shared" si="13"/>
        <v/>
      </c>
      <c r="U47" s="242"/>
      <c r="V47" s="243"/>
      <c r="W47" s="244"/>
      <c r="X47" s="245"/>
      <c r="Y47" s="870"/>
      <c r="Z47" s="895"/>
      <c r="AA47" s="244"/>
      <c r="AB47" s="808" t="str">
        <f t="shared" si="10"/>
        <v/>
      </c>
      <c r="AC47" s="808"/>
      <c r="AD47" s="900"/>
      <c r="AE47" s="242"/>
      <c r="AF47" s="808" t="str">
        <f t="shared" si="11"/>
        <v/>
      </c>
      <c r="AG47" s="808"/>
      <c r="AH47" s="900"/>
      <c r="BH47" s="220"/>
      <c r="BI47" s="220"/>
      <c r="BJ47" s="220"/>
      <c r="BK47" s="220"/>
      <c r="BL47" s="227">
        <v>0</v>
      </c>
      <c r="BM47" s="220"/>
      <c r="BN47" s="220"/>
    </row>
    <row r="48" spans="1:66" ht="12.75" customHeight="1" x14ac:dyDescent="0.2">
      <c r="A48" s="904" t="s">
        <v>277</v>
      </c>
      <c r="B48" s="905"/>
      <c r="C48" s="906" t="s">
        <v>278</v>
      </c>
      <c r="D48" s="907"/>
      <c r="E48" s="908"/>
      <c r="F48" s="285" t="s">
        <v>279</v>
      </c>
      <c r="G48" s="909" t="s">
        <v>280</v>
      </c>
      <c r="H48" s="907"/>
      <c r="I48" s="907"/>
      <c r="J48" s="908"/>
      <c r="K48" s="906" t="s">
        <v>281</v>
      </c>
      <c r="L48" s="907"/>
      <c r="M48" s="907"/>
      <c r="N48" s="908"/>
      <c r="O48" s="906" t="s">
        <v>282</v>
      </c>
      <c r="P48" s="907"/>
      <c r="Q48" s="907"/>
      <c r="R48" s="907"/>
      <c r="S48" s="907"/>
      <c r="T48" s="907"/>
      <c r="U48" s="907"/>
      <c r="V48" s="907"/>
      <c r="W48" s="907"/>
      <c r="X48" s="907"/>
      <c r="Y48" s="907"/>
      <c r="Z48" s="907"/>
      <c r="AA48" s="907"/>
      <c r="AB48" s="907"/>
      <c r="AC48" s="907"/>
      <c r="AD48" s="907"/>
      <c r="AE48" s="907"/>
      <c r="AF48" s="907"/>
      <c r="AG48" s="907"/>
      <c r="AH48" s="908"/>
      <c r="BH48" s="220"/>
      <c r="BI48" s="220"/>
      <c r="BJ48" s="220"/>
      <c r="BK48" s="220"/>
      <c r="BL48" s="227">
        <v>-1</v>
      </c>
      <c r="BM48" s="220"/>
      <c r="BN48" s="220"/>
    </row>
    <row r="49" spans="1:66" ht="12.75" customHeight="1" x14ac:dyDescent="0.2">
      <c r="A49" s="889"/>
      <c r="B49" s="903"/>
      <c r="C49" s="839"/>
      <c r="D49" s="840"/>
      <c r="E49" s="841"/>
      <c r="F49" s="250"/>
      <c r="G49" s="901" t="str">
        <f>IF(C49="","",IF(F49="","オウンゴール",IF(C49=$A$10,INDEX($J$19:$P$36,MATCH(F49,$Q$19:$Q$36,0),1),INDEX($U$19:$Y$36,MATCH(F49,$T$19:$T$36,0),1))))</f>
        <v/>
      </c>
      <c r="H49" s="840"/>
      <c r="I49" s="840"/>
      <c r="J49" s="841"/>
      <c r="K49" s="286" t="str">
        <f>IF(C49="","",IF(C49=$A$10,1,0))</f>
        <v/>
      </c>
      <c r="L49" s="902" t="str">
        <f t="shared" ref="L49:L59" si="14">IF(C49="","","-")</f>
        <v/>
      </c>
      <c r="M49" s="902"/>
      <c r="N49" s="287" t="str">
        <f>IF(C49="","",IF(C49=$Z$10,1,0))</f>
        <v/>
      </c>
      <c r="O49" s="826"/>
      <c r="P49" s="830"/>
      <c r="Q49" s="830"/>
      <c r="R49" s="830"/>
      <c r="S49" s="830"/>
      <c r="T49" s="830"/>
      <c r="U49" s="830"/>
      <c r="V49" s="830"/>
      <c r="W49" s="830"/>
      <c r="X49" s="830"/>
      <c r="Y49" s="830"/>
      <c r="Z49" s="830"/>
      <c r="AA49" s="830"/>
      <c r="AB49" s="830"/>
      <c r="AC49" s="830"/>
      <c r="AD49" s="830"/>
      <c r="AE49" s="830"/>
      <c r="AF49" s="830"/>
      <c r="AG49" s="830"/>
      <c r="AH49" s="827"/>
      <c r="AI49" s="219" t="str">
        <f t="shared" ref="AI49:AI59" si="15">IF(C49="","",C49&amp;F49&amp;G49)</f>
        <v/>
      </c>
      <c r="BH49" s="220"/>
      <c r="BI49" s="220"/>
      <c r="BJ49" s="220"/>
      <c r="BK49" s="220"/>
      <c r="BL49" s="227">
        <v>-2</v>
      </c>
      <c r="BM49" s="220"/>
      <c r="BN49" s="220"/>
    </row>
    <row r="50" spans="1:66" ht="12.75" customHeight="1" x14ac:dyDescent="0.2">
      <c r="A50" s="889"/>
      <c r="B50" s="903"/>
      <c r="C50" s="835"/>
      <c r="D50" s="787"/>
      <c r="E50" s="836"/>
      <c r="F50" s="257"/>
      <c r="G50" s="786" t="str">
        <f t="shared" ref="G50:G59" si="16">IF(AND(C50="",F50="")=TRUE,"",IF(F50="","オウンゴール",IF(C50=$A$10,INDEX($J$19:$P$36,MATCH(F50,$Q$19:$Q$36,0),1),INDEX($U$19:$Y$36,MATCH(F50,$T$19:$T$36,0),1))))</f>
        <v/>
      </c>
      <c r="H50" s="787"/>
      <c r="I50" s="787"/>
      <c r="J50" s="836"/>
      <c r="K50" s="288" t="str">
        <f t="shared" ref="K50:K59" si="17">IF(C50="","",IF(C50=$A$10,K49+1,K49))</f>
        <v/>
      </c>
      <c r="L50" s="911" t="str">
        <f t="shared" si="14"/>
        <v/>
      </c>
      <c r="M50" s="911"/>
      <c r="N50" s="289" t="str">
        <f t="shared" ref="N50:N59" si="18">IF(C50="","",IF(C50=$Z$10,N49+1,N49))</f>
        <v/>
      </c>
      <c r="O50" s="871"/>
      <c r="P50" s="892"/>
      <c r="Q50" s="892"/>
      <c r="R50" s="892"/>
      <c r="S50" s="892"/>
      <c r="T50" s="892"/>
      <c r="U50" s="892"/>
      <c r="V50" s="892"/>
      <c r="W50" s="892"/>
      <c r="X50" s="892"/>
      <c r="Y50" s="892"/>
      <c r="Z50" s="892"/>
      <c r="AA50" s="892"/>
      <c r="AB50" s="892"/>
      <c r="AC50" s="892"/>
      <c r="AD50" s="892"/>
      <c r="AE50" s="892"/>
      <c r="AF50" s="892"/>
      <c r="AG50" s="892"/>
      <c r="AH50" s="910"/>
      <c r="AI50" s="219" t="str">
        <f t="shared" si="15"/>
        <v/>
      </c>
      <c r="BH50" s="220"/>
      <c r="BI50" s="220"/>
      <c r="BJ50" s="220"/>
      <c r="BK50" s="220"/>
      <c r="BL50" s="227">
        <v>-3</v>
      </c>
      <c r="BM50" s="220"/>
      <c r="BN50" s="220"/>
    </row>
    <row r="51" spans="1:66" ht="12.75" customHeight="1" x14ac:dyDescent="0.2">
      <c r="A51" s="889"/>
      <c r="B51" s="903"/>
      <c r="C51" s="835"/>
      <c r="D51" s="787"/>
      <c r="E51" s="836"/>
      <c r="F51" s="257"/>
      <c r="G51" s="786" t="str">
        <f t="shared" si="16"/>
        <v/>
      </c>
      <c r="H51" s="787"/>
      <c r="I51" s="787"/>
      <c r="J51" s="836"/>
      <c r="K51" s="288" t="str">
        <f t="shared" si="17"/>
        <v/>
      </c>
      <c r="L51" s="911" t="str">
        <f t="shared" si="14"/>
        <v/>
      </c>
      <c r="M51" s="911"/>
      <c r="N51" s="289" t="str">
        <f t="shared" si="18"/>
        <v/>
      </c>
      <c r="O51" s="871"/>
      <c r="P51" s="892"/>
      <c r="Q51" s="892"/>
      <c r="R51" s="892"/>
      <c r="S51" s="892"/>
      <c r="T51" s="892"/>
      <c r="U51" s="892"/>
      <c r="V51" s="892"/>
      <c r="W51" s="892"/>
      <c r="X51" s="892"/>
      <c r="Y51" s="892"/>
      <c r="Z51" s="892"/>
      <c r="AA51" s="892"/>
      <c r="AB51" s="892"/>
      <c r="AC51" s="892"/>
      <c r="AD51" s="892"/>
      <c r="AE51" s="892"/>
      <c r="AF51" s="892"/>
      <c r="AG51" s="892"/>
      <c r="AH51" s="910"/>
      <c r="AI51" s="219" t="str">
        <f t="shared" si="15"/>
        <v/>
      </c>
      <c r="BH51" s="220"/>
      <c r="BI51" s="220"/>
      <c r="BJ51" s="220"/>
      <c r="BK51" s="220"/>
      <c r="BL51" s="227">
        <v>-4</v>
      </c>
      <c r="BM51" s="220"/>
      <c r="BN51" s="220"/>
    </row>
    <row r="52" spans="1:66" ht="12.75" customHeight="1" x14ac:dyDescent="0.2">
      <c r="A52" s="889"/>
      <c r="B52" s="903"/>
      <c r="C52" s="835"/>
      <c r="D52" s="787"/>
      <c r="E52" s="836"/>
      <c r="F52" s="257"/>
      <c r="G52" s="786" t="str">
        <f t="shared" si="16"/>
        <v/>
      </c>
      <c r="H52" s="787"/>
      <c r="I52" s="787"/>
      <c r="J52" s="836"/>
      <c r="K52" s="288" t="str">
        <f t="shared" si="17"/>
        <v/>
      </c>
      <c r="L52" s="911" t="str">
        <f t="shared" si="14"/>
        <v/>
      </c>
      <c r="M52" s="911"/>
      <c r="N52" s="289" t="str">
        <f t="shared" si="18"/>
        <v/>
      </c>
      <c r="O52" s="871"/>
      <c r="P52" s="892"/>
      <c r="Q52" s="892"/>
      <c r="R52" s="892"/>
      <c r="S52" s="892"/>
      <c r="T52" s="892"/>
      <c r="U52" s="892"/>
      <c r="V52" s="892"/>
      <c r="W52" s="892"/>
      <c r="X52" s="892"/>
      <c r="Y52" s="892"/>
      <c r="Z52" s="892"/>
      <c r="AA52" s="892"/>
      <c r="AB52" s="892"/>
      <c r="AC52" s="892"/>
      <c r="AD52" s="892"/>
      <c r="AE52" s="892"/>
      <c r="AF52" s="892"/>
      <c r="AG52" s="892"/>
      <c r="AH52" s="910"/>
      <c r="AI52" s="219" t="str">
        <f t="shared" si="15"/>
        <v/>
      </c>
      <c r="BH52" s="220"/>
      <c r="BI52" s="220"/>
      <c r="BJ52" s="220"/>
      <c r="BK52" s="220"/>
      <c r="BL52" s="227">
        <v>-5</v>
      </c>
      <c r="BM52" s="220"/>
      <c r="BN52" s="220"/>
    </row>
    <row r="53" spans="1:66" ht="12.75" customHeight="1" x14ac:dyDescent="0.2">
      <c r="A53" s="889"/>
      <c r="B53" s="903"/>
      <c r="C53" s="835"/>
      <c r="D53" s="787"/>
      <c r="E53" s="836"/>
      <c r="F53" s="257"/>
      <c r="G53" s="786" t="str">
        <f t="shared" si="16"/>
        <v/>
      </c>
      <c r="H53" s="787"/>
      <c r="I53" s="787"/>
      <c r="J53" s="836"/>
      <c r="K53" s="288" t="str">
        <f t="shared" si="17"/>
        <v/>
      </c>
      <c r="L53" s="911" t="str">
        <f t="shared" si="14"/>
        <v/>
      </c>
      <c r="M53" s="911"/>
      <c r="N53" s="289" t="str">
        <f t="shared" si="18"/>
        <v/>
      </c>
      <c r="O53" s="871"/>
      <c r="P53" s="892"/>
      <c r="Q53" s="892"/>
      <c r="R53" s="892"/>
      <c r="S53" s="892"/>
      <c r="T53" s="892"/>
      <c r="U53" s="892"/>
      <c r="V53" s="892"/>
      <c r="W53" s="892"/>
      <c r="X53" s="892"/>
      <c r="Y53" s="892"/>
      <c r="Z53" s="892"/>
      <c r="AA53" s="892"/>
      <c r="AB53" s="892"/>
      <c r="AC53" s="892"/>
      <c r="AD53" s="892"/>
      <c r="AE53" s="892"/>
      <c r="AF53" s="892"/>
      <c r="AG53" s="892"/>
      <c r="AH53" s="910"/>
      <c r="AI53" s="219" t="str">
        <f t="shared" si="15"/>
        <v/>
      </c>
      <c r="BH53" s="220"/>
      <c r="BI53" s="220"/>
      <c r="BJ53" s="220"/>
      <c r="BK53" s="220"/>
      <c r="BL53" s="227">
        <v>-6</v>
      </c>
      <c r="BM53" s="220"/>
      <c r="BN53" s="220"/>
    </row>
    <row r="54" spans="1:66" ht="12.75" customHeight="1" x14ac:dyDescent="0.2">
      <c r="A54" s="889"/>
      <c r="B54" s="903"/>
      <c r="C54" s="835"/>
      <c r="D54" s="787"/>
      <c r="E54" s="836"/>
      <c r="F54" s="257"/>
      <c r="G54" s="786" t="str">
        <f t="shared" si="16"/>
        <v/>
      </c>
      <c r="H54" s="787"/>
      <c r="I54" s="787"/>
      <c r="J54" s="836"/>
      <c r="K54" s="288" t="str">
        <f t="shared" si="17"/>
        <v/>
      </c>
      <c r="L54" s="911" t="str">
        <f t="shared" si="14"/>
        <v/>
      </c>
      <c r="M54" s="911"/>
      <c r="N54" s="289" t="str">
        <f t="shared" si="18"/>
        <v/>
      </c>
      <c r="O54" s="871"/>
      <c r="P54" s="892"/>
      <c r="Q54" s="892"/>
      <c r="R54" s="892"/>
      <c r="S54" s="892"/>
      <c r="T54" s="892"/>
      <c r="U54" s="892"/>
      <c r="V54" s="892"/>
      <c r="W54" s="892"/>
      <c r="X54" s="892"/>
      <c r="Y54" s="892"/>
      <c r="Z54" s="892"/>
      <c r="AA54" s="892"/>
      <c r="AB54" s="892"/>
      <c r="AC54" s="892"/>
      <c r="AD54" s="892"/>
      <c r="AE54" s="892"/>
      <c r="AF54" s="892"/>
      <c r="AG54" s="892"/>
      <c r="AH54" s="910"/>
      <c r="AI54" s="219" t="str">
        <f t="shared" si="15"/>
        <v/>
      </c>
      <c r="BH54" s="220"/>
      <c r="BI54" s="220"/>
      <c r="BJ54" s="220"/>
      <c r="BK54" s="220"/>
      <c r="BL54" s="227">
        <v>-7</v>
      </c>
      <c r="BM54" s="220"/>
      <c r="BN54" s="220"/>
    </row>
    <row r="55" spans="1:66" ht="12.75" customHeight="1" x14ac:dyDescent="0.2">
      <c r="A55" s="889"/>
      <c r="B55" s="903"/>
      <c r="C55" s="835"/>
      <c r="D55" s="787"/>
      <c r="E55" s="836"/>
      <c r="F55" s="257"/>
      <c r="G55" s="786" t="str">
        <f t="shared" si="16"/>
        <v/>
      </c>
      <c r="H55" s="787"/>
      <c r="I55" s="787"/>
      <c r="J55" s="836"/>
      <c r="K55" s="288" t="str">
        <f t="shared" si="17"/>
        <v/>
      </c>
      <c r="L55" s="911" t="str">
        <f t="shared" si="14"/>
        <v/>
      </c>
      <c r="M55" s="911"/>
      <c r="N55" s="289" t="str">
        <f t="shared" si="18"/>
        <v/>
      </c>
      <c r="O55" s="871"/>
      <c r="P55" s="892"/>
      <c r="Q55" s="892"/>
      <c r="R55" s="892"/>
      <c r="S55" s="892"/>
      <c r="T55" s="892"/>
      <c r="U55" s="892"/>
      <c r="V55" s="892"/>
      <c r="W55" s="892"/>
      <c r="X55" s="892"/>
      <c r="Y55" s="892"/>
      <c r="Z55" s="892"/>
      <c r="AA55" s="892"/>
      <c r="AB55" s="892"/>
      <c r="AC55" s="892"/>
      <c r="AD55" s="892"/>
      <c r="AE55" s="892"/>
      <c r="AF55" s="892"/>
      <c r="AG55" s="892"/>
      <c r="AH55" s="910"/>
      <c r="AI55" s="219" t="str">
        <f t="shared" si="15"/>
        <v/>
      </c>
      <c r="BH55" s="220"/>
      <c r="BI55" s="220"/>
      <c r="BJ55" s="220"/>
      <c r="BK55" s="220"/>
      <c r="BL55" s="227">
        <v>-8</v>
      </c>
      <c r="BM55" s="220"/>
      <c r="BN55" s="220"/>
    </row>
    <row r="56" spans="1:66" ht="12.75" customHeight="1" x14ac:dyDescent="0.2">
      <c r="A56" s="889"/>
      <c r="B56" s="903"/>
      <c r="C56" s="835"/>
      <c r="D56" s="787"/>
      <c r="E56" s="836"/>
      <c r="F56" s="257"/>
      <c r="G56" s="786" t="str">
        <f t="shared" si="16"/>
        <v/>
      </c>
      <c r="H56" s="787"/>
      <c r="I56" s="787"/>
      <c r="J56" s="836"/>
      <c r="K56" s="288" t="str">
        <f t="shared" si="17"/>
        <v/>
      </c>
      <c r="L56" s="911" t="str">
        <f t="shared" si="14"/>
        <v/>
      </c>
      <c r="M56" s="911"/>
      <c r="N56" s="289" t="str">
        <f t="shared" si="18"/>
        <v/>
      </c>
      <c r="O56" s="871"/>
      <c r="P56" s="892"/>
      <c r="Q56" s="892"/>
      <c r="R56" s="892"/>
      <c r="S56" s="892"/>
      <c r="T56" s="892"/>
      <c r="U56" s="892"/>
      <c r="V56" s="892"/>
      <c r="W56" s="892"/>
      <c r="X56" s="892"/>
      <c r="Y56" s="892"/>
      <c r="Z56" s="892"/>
      <c r="AA56" s="892"/>
      <c r="AB56" s="892"/>
      <c r="AC56" s="892"/>
      <c r="AD56" s="892"/>
      <c r="AE56" s="892"/>
      <c r="AF56" s="892"/>
      <c r="AG56" s="892"/>
      <c r="AH56" s="910"/>
      <c r="AI56" s="219" t="str">
        <f t="shared" si="15"/>
        <v/>
      </c>
      <c r="BH56" s="220"/>
      <c r="BI56" s="220"/>
      <c r="BJ56" s="220"/>
      <c r="BK56" s="220"/>
      <c r="BL56" s="227">
        <v>-9</v>
      </c>
      <c r="BM56" s="220"/>
      <c r="BN56" s="220"/>
    </row>
    <row r="57" spans="1:66" ht="12.75" customHeight="1" x14ac:dyDescent="0.2">
      <c r="A57" s="889"/>
      <c r="B57" s="903"/>
      <c r="C57" s="835"/>
      <c r="D57" s="787"/>
      <c r="E57" s="836"/>
      <c r="F57" s="257"/>
      <c r="G57" s="786" t="str">
        <f t="shared" si="16"/>
        <v/>
      </c>
      <c r="H57" s="787"/>
      <c r="I57" s="787"/>
      <c r="J57" s="836"/>
      <c r="K57" s="288" t="str">
        <f t="shared" si="17"/>
        <v/>
      </c>
      <c r="L57" s="911" t="str">
        <f t="shared" si="14"/>
        <v/>
      </c>
      <c r="M57" s="911"/>
      <c r="N57" s="289" t="str">
        <f t="shared" si="18"/>
        <v/>
      </c>
      <c r="O57" s="871"/>
      <c r="P57" s="892"/>
      <c r="Q57" s="892"/>
      <c r="R57" s="892"/>
      <c r="S57" s="892"/>
      <c r="T57" s="892"/>
      <c r="U57" s="892"/>
      <c r="V57" s="892"/>
      <c r="W57" s="892"/>
      <c r="X57" s="892"/>
      <c r="Y57" s="892"/>
      <c r="Z57" s="892"/>
      <c r="AA57" s="892"/>
      <c r="AB57" s="892"/>
      <c r="AC57" s="892"/>
      <c r="AD57" s="892"/>
      <c r="AE57" s="892"/>
      <c r="AF57" s="892"/>
      <c r="AG57" s="892"/>
      <c r="AH57" s="910"/>
      <c r="AI57" s="219" t="str">
        <f t="shared" si="15"/>
        <v/>
      </c>
      <c r="BH57" s="220"/>
      <c r="BI57" s="220"/>
      <c r="BJ57" s="220"/>
      <c r="BK57" s="220"/>
      <c r="BL57" s="227">
        <v>-10</v>
      </c>
      <c r="BM57" s="220"/>
      <c r="BN57" s="220"/>
    </row>
    <row r="58" spans="1:66" ht="12.75" customHeight="1" x14ac:dyDescent="0.2">
      <c r="A58" s="889"/>
      <c r="B58" s="903"/>
      <c r="C58" s="835"/>
      <c r="D58" s="787"/>
      <c r="E58" s="836"/>
      <c r="F58" s="257"/>
      <c r="G58" s="786" t="str">
        <f t="shared" si="16"/>
        <v/>
      </c>
      <c r="H58" s="787"/>
      <c r="I58" s="787"/>
      <c r="J58" s="836"/>
      <c r="K58" s="288" t="str">
        <f t="shared" si="17"/>
        <v/>
      </c>
      <c r="L58" s="911" t="str">
        <f t="shared" si="14"/>
        <v/>
      </c>
      <c r="M58" s="911"/>
      <c r="N58" s="289" t="str">
        <f t="shared" si="18"/>
        <v/>
      </c>
      <c r="O58" s="871"/>
      <c r="P58" s="892"/>
      <c r="Q58" s="892"/>
      <c r="R58" s="892"/>
      <c r="S58" s="892"/>
      <c r="T58" s="892"/>
      <c r="U58" s="892"/>
      <c r="V58" s="892"/>
      <c r="W58" s="892"/>
      <c r="X58" s="892"/>
      <c r="Y58" s="892"/>
      <c r="Z58" s="892"/>
      <c r="AA58" s="892"/>
      <c r="AB58" s="892"/>
      <c r="AC58" s="892"/>
      <c r="AD58" s="892"/>
      <c r="AE58" s="892"/>
      <c r="AF58" s="892"/>
      <c r="AG58" s="892"/>
      <c r="AH58" s="910"/>
      <c r="AI58" s="219" t="str">
        <f t="shared" si="15"/>
        <v/>
      </c>
      <c r="BH58" s="220"/>
      <c r="BI58" s="220"/>
      <c r="BJ58" s="220"/>
      <c r="BK58" s="220"/>
      <c r="BL58" s="227">
        <v>-11</v>
      </c>
      <c r="BM58" s="220"/>
      <c r="BN58" s="220"/>
    </row>
    <row r="59" spans="1:66" ht="12.75" customHeight="1" x14ac:dyDescent="0.2">
      <c r="A59" s="825"/>
      <c r="B59" s="838"/>
      <c r="C59" s="845"/>
      <c r="D59" s="846"/>
      <c r="E59" s="847"/>
      <c r="F59" s="247"/>
      <c r="G59" s="912" t="str">
        <f t="shared" si="16"/>
        <v/>
      </c>
      <c r="H59" s="846"/>
      <c r="I59" s="846"/>
      <c r="J59" s="847"/>
      <c r="K59" s="290" t="str">
        <f t="shared" si="17"/>
        <v/>
      </c>
      <c r="L59" s="913" t="str">
        <f t="shared" si="14"/>
        <v/>
      </c>
      <c r="M59" s="913"/>
      <c r="N59" s="291" t="str">
        <f t="shared" si="18"/>
        <v/>
      </c>
      <c r="O59" s="828"/>
      <c r="P59" s="884"/>
      <c r="Q59" s="884"/>
      <c r="R59" s="884"/>
      <c r="S59" s="884"/>
      <c r="T59" s="884"/>
      <c r="U59" s="884"/>
      <c r="V59" s="884"/>
      <c r="W59" s="884"/>
      <c r="X59" s="884"/>
      <c r="Y59" s="884"/>
      <c r="Z59" s="884"/>
      <c r="AA59" s="884"/>
      <c r="AB59" s="884"/>
      <c r="AC59" s="884"/>
      <c r="AD59" s="884"/>
      <c r="AE59" s="884"/>
      <c r="AF59" s="884"/>
      <c r="AG59" s="884"/>
      <c r="AH59" s="829"/>
      <c r="AI59" s="219" t="str">
        <f t="shared" si="15"/>
        <v/>
      </c>
      <c r="BH59" s="220"/>
      <c r="BI59" s="220"/>
      <c r="BJ59" s="220"/>
      <c r="BK59" s="220"/>
      <c r="BL59" s="227">
        <v>-12</v>
      </c>
      <c r="BM59" s="220"/>
      <c r="BN59" s="220"/>
    </row>
    <row r="60" spans="1:66" ht="12.75" customHeight="1" x14ac:dyDescent="0.2">
      <c r="A60" s="906" t="s">
        <v>283</v>
      </c>
      <c r="B60" s="907"/>
      <c r="C60" s="907"/>
      <c r="D60" s="908"/>
      <c r="E60" s="906">
        <v>1</v>
      </c>
      <c r="F60" s="908"/>
      <c r="G60" s="906">
        <v>2</v>
      </c>
      <c r="H60" s="908"/>
      <c r="I60" s="906">
        <v>3</v>
      </c>
      <c r="J60" s="908"/>
      <c r="K60" s="906">
        <v>4</v>
      </c>
      <c r="L60" s="907"/>
      <c r="M60" s="907"/>
      <c r="N60" s="908"/>
      <c r="O60" s="906">
        <v>5</v>
      </c>
      <c r="P60" s="908"/>
      <c r="Q60" s="906">
        <v>6</v>
      </c>
      <c r="R60" s="908"/>
      <c r="S60" s="906">
        <v>7</v>
      </c>
      <c r="T60" s="908"/>
      <c r="U60" s="906">
        <v>8</v>
      </c>
      <c r="V60" s="908"/>
      <c r="W60" s="906">
        <v>9</v>
      </c>
      <c r="X60" s="908"/>
      <c r="Y60" s="906">
        <v>10</v>
      </c>
      <c r="Z60" s="908"/>
      <c r="AA60" s="906">
        <v>11</v>
      </c>
      <c r="AB60" s="908"/>
      <c r="AC60" s="906">
        <v>12</v>
      </c>
      <c r="AD60" s="908"/>
      <c r="AE60" s="906">
        <v>13</v>
      </c>
      <c r="AF60" s="908"/>
      <c r="AG60" s="906">
        <v>14</v>
      </c>
      <c r="AH60" s="908"/>
      <c r="BH60" s="220"/>
      <c r="BI60" s="220"/>
      <c r="BJ60" s="220"/>
      <c r="BK60" s="220"/>
      <c r="BL60" s="227">
        <v>-13</v>
      </c>
      <c r="BM60" s="220"/>
      <c r="BN60" s="220"/>
    </row>
    <row r="61" spans="1:66" ht="12.75" customHeight="1" x14ac:dyDescent="0.2">
      <c r="A61" s="926"/>
      <c r="B61" s="927"/>
      <c r="C61" s="928"/>
      <c r="D61" s="292"/>
      <c r="E61" s="293"/>
      <c r="F61" s="294"/>
      <c r="G61" s="293"/>
      <c r="H61" s="294"/>
      <c r="I61" s="293"/>
      <c r="J61" s="294"/>
      <c r="K61" s="929"/>
      <c r="L61" s="930"/>
      <c r="M61" s="931"/>
      <c r="N61" s="932"/>
      <c r="O61" s="293"/>
      <c r="P61" s="294"/>
      <c r="Q61" s="293"/>
      <c r="R61" s="294"/>
      <c r="S61" s="293"/>
      <c r="T61" s="294"/>
      <c r="U61" s="293"/>
      <c r="V61" s="294"/>
      <c r="W61" s="293"/>
      <c r="X61" s="294"/>
      <c r="Y61" s="293"/>
      <c r="Z61" s="294"/>
      <c r="AA61" s="293"/>
      <c r="AB61" s="294"/>
      <c r="AC61" s="295"/>
      <c r="AD61" s="295"/>
      <c r="AE61" s="293"/>
      <c r="AF61" s="294"/>
      <c r="AG61" s="293"/>
      <c r="AH61" s="294"/>
      <c r="BH61" s="220"/>
      <c r="BI61" s="220"/>
      <c r="BJ61" s="220"/>
      <c r="BK61" s="220"/>
      <c r="BL61" s="227">
        <v>-14</v>
      </c>
      <c r="BM61" s="220"/>
      <c r="BN61" s="220"/>
    </row>
    <row r="62" spans="1:66" ht="12.75" customHeight="1" x14ac:dyDescent="0.2">
      <c r="A62" s="933" t="str">
        <f>IF(A61="","",IF(A61=A10,Z10,A10))</f>
        <v/>
      </c>
      <c r="B62" s="934"/>
      <c r="C62" s="935"/>
      <c r="D62" s="296"/>
      <c r="E62" s="297"/>
      <c r="F62" s="298"/>
      <c r="G62" s="297"/>
      <c r="H62" s="298"/>
      <c r="I62" s="297"/>
      <c r="J62" s="298"/>
      <c r="K62" s="936"/>
      <c r="L62" s="937"/>
      <c r="M62" s="940"/>
      <c r="N62" s="941"/>
      <c r="O62" s="297"/>
      <c r="P62" s="298"/>
      <c r="Q62" s="297"/>
      <c r="R62" s="298"/>
      <c r="S62" s="297"/>
      <c r="T62" s="298"/>
      <c r="U62" s="297"/>
      <c r="V62" s="298"/>
      <c r="W62" s="297"/>
      <c r="X62" s="298"/>
      <c r="Y62" s="297"/>
      <c r="Z62" s="298"/>
      <c r="AA62" s="297"/>
      <c r="AB62" s="298"/>
      <c r="AC62" s="299"/>
      <c r="AD62" s="299"/>
      <c r="AE62" s="297"/>
      <c r="AF62" s="298"/>
      <c r="AG62" s="297"/>
      <c r="AH62" s="298"/>
      <c r="BH62" s="220"/>
      <c r="BI62" s="220"/>
      <c r="BJ62" s="220"/>
      <c r="BK62" s="220"/>
      <c r="BL62" s="227">
        <v>-15</v>
      </c>
      <c r="BM62" s="220"/>
      <c r="BN62" s="220"/>
    </row>
    <row r="63" spans="1:66" ht="12.75" customHeight="1" x14ac:dyDescent="0.2">
      <c r="A63" s="925" t="s">
        <v>284</v>
      </c>
      <c r="B63" s="925"/>
      <c r="C63" s="925"/>
      <c r="D63" s="300"/>
      <c r="E63" s="925"/>
      <c r="F63" s="938"/>
      <c r="G63" s="938"/>
      <c r="H63" s="938"/>
      <c r="I63" s="938"/>
      <c r="J63" s="938"/>
      <c r="K63" s="938"/>
      <c r="L63" s="938"/>
      <c r="M63" s="938"/>
      <c r="N63" s="938"/>
      <c r="O63" s="938"/>
      <c r="P63" s="938"/>
      <c r="Q63" s="938"/>
      <c r="R63" s="938"/>
      <c r="S63" s="938"/>
      <c r="T63" s="938"/>
      <c r="U63" s="938"/>
      <c r="V63" s="938"/>
      <c r="W63" s="938"/>
      <c r="X63" s="938"/>
      <c r="Y63" s="938"/>
      <c r="Z63" s="938"/>
      <c r="AA63" s="938"/>
      <c r="AB63" s="938"/>
      <c r="AC63" s="938"/>
      <c r="AD63" s="938"/>
      <c r="AE63" s="938"/>
      <c r="AF63" s="938"/>
      <c r="AG63" s="938"/>
      <c r="AH63" s="938"/>
      <c r="BH63" s="220"/>
      <c r="BI63" s="220"/>
      <c r="BJ63" s="220"/>
      <c r="BK63" s="220"/>
      <c r="BL63" s="227">
        <v>-16</v>
      </c>
      <c r="BM63" s="220"/>
      <c r="BN63" s="220"/>
    </row>
    <row r="64" spans="1:66" ht="12.75" customHeight="1" x14ac:dyDescent="0.2">
      <c r="A64" s="924" t="s">
        <v>285</v>
      </c>
      <c r="B64" s="924"/>
      <c r="C64" s="218"/>
      <c r="D64" s="218"/>
      <c r="E64" s="773"/>
      <c r="F64" s="773"/>
      <c r="G64" s="773"/>
      <c r="H64" s="773"/>
      <c r="I64" s="773"/>
      <c r="J64" s="773"/>
      <c r="K64" s="773"/>
      <c r="L64" s="773"/>
      <c r="M64" s="773"/>
      <c r="N64" s="773"/>
      <c r="O64" s="773"/>
      <c r="P64" s="773"/>
      <c r="Q64" s="773"/>
      <c r="R64" s="773"/>
      <c r="S64" s="773"/>
      <c r="T64" s="773"/>
      <c r="U64" s="773"/>
      <c r="V64" s="773"/>
      <c r="W64" s="773"/>
      <c r="X64" s="773"/>
      <c r="Y64" s="773"/>
      <c r="Z64" s="773"/>
      <c r="AA64" s="773"/>
      <c r="AB64" s="773"/>
      <c r="AC64" s="773"/>
      <c r="AD64" s="773"/>
      <c r="AE64" s="773"/>
      <c r="AF64" s="773"/>
      <c r="AG64" s="773"/>
      <c r="AH64" s="773"/>
      <c r="BH64" s="220"/>
      <c r="BI64" s="220"/>
      <c r="BJ64" s="220"/>
      <c r="BK64" s="220"/>
      <c r="BL64" s="227">
        <v>-17</v>
      </c>
      <c r="BM64" s="220"/>
      <c r="BN64" s="220"/>
    </row>
    <row r="65" spans="1:66" ht="12.75" customHeight="1" x14ac:dyDescent="0.2">
      <c r="A65" s="218"/>
      <c r="B65" s="218"/>
      <c r="C65" s="218"/>
      <c r="D65" s="218"/>
      <c r="E65" s="218"/>
      <c r="F65" s="218"/>
      <c r="G65" s="218"/>
      <c r="H65" s="218"/>
      <c r="I65" s="218"/>
      <c r="J65" s="218"/>
      <c r="K65" s="218"/>
      <c r="L65" s="218"/>
      <c r="M65" s="218"/>
      <c r="N65" s="218"/>
      <c r="O65" s="218"/>
      <c r="P65" s="218"/>
      <c r="Q65" s="218"/>
      <c r="R65" s="218"/>
      <c r="S65" s="218"/>
      <c r="T65" s="218"/>
      <c r="U65" s="218"/>
      <c r="V65" s="218"/>
      <c r="W65" s="218"/>
      <c r="X65" s="218"/>
      <c r="Y65" s="218"/>
      <c r="Z65" s="218"/>
      <c r="AA65" s="218"/>
      <c r="AB65" s="218"/>
      <c r="AC65" s="218"/>
      <c r="AD65" s="218"/>
      <c r="AE65" s="218"/>
      <c r="AF65" s="218"/>
      <c r="AG65" s="218"/>
      <c r="AH65" s="218"/>
      <c r="BH65" s="220"/>
      <c r="BI65" s="220"/>
      <c r="BJ65" s="220"/>
      <c r="BK65" s="220"/>
      <c r="BL65" s="227">
        <v>-18</v>
      </c>
      <c r="BM65" s="220"/>
      <c r="BN65" s="220"/>
    </row>
    <row r="66" spans="1:66" ht="12.75" customHeight="1" x14ac:dyDescent="0.2">
      <c r="A66" s="939" t="s">
        <v>286</v>
      </c>
      <c r="B66" s="939"/>
      <c r="C66" s="939"/>
      <c r="D66" s="939"/>
      <c r="E66" s="939"/>
      <c r="F66" s="939"/>
      <c r="G66" s="939"/>
      <c r="H66" s="939"/>
      <c r="I66" s="939"/>
      <c r="J66" s="939"/>
      <c r="K66" s="939"/>
      <c r="L66" s="939"/>
      <c r="M66" s="939"/>
      <c r="N66" s="939"/>
      <c r="O66" s="939"/>
      <c r="P66" s="939"/>
      <c r="Q66" s="939"/>
      <c r="R66" s="939"/>
      <c r="S66" s="939"/>
      <c r="T66" s="939"/>
      <c r="U66" s="939"/>
      <c r="V66" s="939"/>
      <c r="W66" s="939"/>
      <c r="X66" s="939"/>
      <c r="Y66" s="939"/>
      <c r="Z66" s="939"/>
      <c r="AA66" s="939"/>
      <c r="AB66" s="939"/>
      <c r="AC66" s="939"/>
      <c r="AD66" s="939"/>
      <c r="AE66" s="939"/>
      <c r="AF66" s="939"/>
      <c r="AG66" s="939"/>
      <c r="AH66" s="939"/>
      <c r="BH66" s="220"/>
      <c r="BI66" s="220"/>
      <c r="BJ66" s="220"/>
      <c r="BK66" s="220"/>
      <c r="BL66" s="227">
        <v>-19</v>
      </c>
      <c r="BM66" s="220"/>
      <c r="BN66" s="220"/>
    </row>
    <row r="67" spans="1:66" ht="12.75" customHeight="1" thickBot="1" x14ac:dyDescent="0.25">
      <c r="A67" s="939" t="s">
        <v>287</v>
      </c>
      <c r="B67" s="939"/>
      <c r="C67" s="939"/>
      <c r="D67" s="939"/>
      <c r="E67" s="939"/>
      <c r="F67" s="939"/>
      <c r="G67" s="939"/>
      <c r="H67" s="939"/>
      <c r="I67" s="939"/>
      <c r="J67" s="939"/>
      <c r="K67" s="939"/>
      <c r="L67" s="939"/>
      <c r="M67" s="939"/>
      <c r="N67" s="939"/>
      <c r="O67" s="939"/>
      <c r="P67" s="939"/>
      <c r="Q67" s="939"/>
      <c r="R67" s="939"/>
      <c r="S67" s="939"/>
      <c r="T67" s="939"/>
      <c r="U67" s="939"/>
      <c r="V67" s="939"/>
      <c r="W67" s="939"/>
      <c r="X67" s="939"/>
      <c r="Y67" s="939"/>
      <c r="Z67" s="939"/>
      <c r="AA67" s="939"/>
      <c r="AB67" s="939"/>
      <c r="AC67" s="939"/>
      <c r="AD67" s="939"/>
      <c r="AE67" s="939"/>
      <c r="AF67" s="939"/>
      <c r="AG67" s="939"/>
      <c r="AH67" s="939"/>
      <c r="BH67" s="220"/>
      <c r="BI67" s="220"/>
      <c r="BJ67" s="220"/>
      <c r="BK67" s="220"/>
      <c r="BL67" s="266">
        <v>-20</v>
      </c>
      <c r="BM67" s="220"/>
      <c r="BN67" s="220"/>
    </row>
    <row r="68" spans="1:66" ht="11.25" customHeight="1" thickTop="1" x14ac:dyDescent="0.2">
      <c r="A68" s="218"/>
      <c r="B68" s="218"/>
      <c r="C68" s="218"/>
      <c r="D68" s="218"/>
      <c r="E68" s="218"/>
      <c r="F68" s="218"/>
      <c r="G68" s="218"/>
      <c r="H68" s="218"/>
      <c r="I68" s="218"/>
      <c r="J68" s="218"/>
      <c r="K68" s="218"/>
      <c r="L68" s="218"/>
      <c r="M68" s="218"/>
      <c r="N68" s="218"/>
      <c r="O68" s="218"/>
      <c r="P68" s="218"/>
      <c r="Q68" s="218"/>
      <c r="R68" s="218"/>
      <c r="S68" s="218"/>
      <c r="T68" s="218"/>
      <c r="U68" s="301"/>
      <c r="V68" s="301"/>
      <c r="W68" s="301"/>
      <c r="X68" s="301"/>
      <c r="Y68" s="301"/>
      <c r="Z68" s="301"/>
      <c r="AA68" s="301"/>
      <c r="AB68" s="301"/>
      <c r="AC68" s="218"/>
      <c r="AD68" s="218"/>
      <c r="AE68" s="218"/>
      <c r="AF68" s="218"/>
      <c r="AG68" s="218"/>
      <c r="AH68" s="218"/>
    </row>
    <row r="69" spans="1:66" ht="11.25" hidden="1" customHeight="1" x14ac:dyDescent="0.2">
      <c r="A69" s="914" t="s">
        <v>288</v>
      </c>
      <c r="B69" s="914"/>
      <c r="C69" s="914"/>
      <c r="D69" s="218"/>
      <c r="E69" s="218"/>
      <c r="F69" s="218"/>
      <c r="G69" s="218"/>
      <c r="H69" s="218"/>
      <c r="I69" s="218"/>
      <c r="J69" s="218"/>
      <c r="K69" s="218"/>
      <c r="L69" s="218"/>
      <c r="M69" s="218"/>
      <c r="N69" s="218"/>
      <c r="O69" s="218"/>
      <c r="P69" s="218"/>
      <c r="Q69" s="218"/>
      <c r="R69" s="218"/>
      <c r="S69" s="218"/>
      <c r="T69" s="218"/>
      <c r="U69" s="218"/>
      <c r="V69" s="218"/>
      <c r="W69" s="218"/>
      <c r="X69" s="218"/>
      <c r="Y69" s="218"/>
      <c r="Z69" s="218"/>
      <c r="AA69" s="218"/>
      <c r="AB69" s="218"/>
      <c r="AC69" s="218"/>
      <c r="AD69" s="218"/>
      <c r="AE69" s="218"/>
      <c r="AF69" s="218"/>
      <c r="AG69" s="218"/>
      <c r="AH69" s="218"/>
    </row>
    <row r="70" spans="1:66" ht="11.25" hidden="1" customHeight="1" x14ac:dyDescent="0.2">
      <c r="A70" s="915"/>
      <c r="B70" s="916"/>
      <c r="C70" s="916"/>
      <c r="D70" s="916"/>
      <c r="E70" s="916"/>
      <c r="F70" s="916"/>
      <c r="G70" s="916"/>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7"/>
    </row>
    <row r="71" spans="1:66" ht="11.25" hidden="1" customHeight="1" x14ac:dyDescent="0.2">
      <c r="A71" s="918"/>
      <c r="B71" s="919"/>
      <c r="C71" s="919"/>
      <c r="D71" s="919"/>
      <c r="E71" s="919"/>
      <c r="F71" s="919"/>
      <c r="G71" s="919"/>
      <c r="H71" s="919"/>
      <c r="I71" s="919"/>
      <c r="J71" s="919"/>
      <c r="K71" s="919"/>
      <c r="L71" s="919"/>
      <c r="M71" s="919"/>
      <c r="N71" s="919"/>
      <c r="O71" s="919"/>
      <c r="P71" s="919"/>
      <c r="Q71" s="919"/>
      <c r="R71" s="919"/>
      <c r="S71" s="919"/>
      <c r="T71" s="919"/>
      <c r="U71" s="919"/>
      <c r="V71" s="919"/>
      <c r="W71" s="919"/>
      <c r="X71" s="919"/>
      <c r="Y71" s="919"/>
      <c r="Z71" s="919"/>
      <c r="AA71" s="919"/>
      <c r="AB71" s="919"/>
      <c r="AC71" s="919"/>
      <c r="AD71" s="919"/>
      <c r="AE71" s="919"/>
      <c r="AF71" s="919"/>
      <c r="AG71" s="919"/>
      <c r="AH71" s="920"/>
    </row>
    <row r="72" spans="1:66" ht="11.25" hidden="1" customHeight="1" x14ac:dyDescent="0.2">
      <c r="A72" s="918"/>
      <c r="B72" s="919"/>
      <c r="C72" s="919"/>
      <c r="D72" s="919"/>
      <c r="E72" s="919"/>
      <c r="F72" s="919"/>
      <c r="G72" s="919"/>
      <c r="H72" s="919"/>
      <c r="I72" s="919"/>
      <c r="J72" s="919"/>
      <c r="K72" s="919"/>
      <c r="L72" s="919"/>
      <c r="M72" s="919"/>
      <c r="N72" s="919"/>
      <c r="O72" s="919"/>
      <c r="P72" s="919"/>
      <c r="Q72" s="919"/>
      <c r="R72" s="919"/>
      <c r="S72" s="919"/>
      <c r="T72" s="919"/>
      <c r="U72" s="919"/>
      <c r="V72" s="919"/>
      <c r="W72" s="919"/>
      <c r="X72" s="919"/>
      <c r="Y72" s="919"/>
      <c r="Z72" s="919"/>
      <c r="AA72" s="919"/>
      <c r="AB72" s="919"/>
      <c r="AC72" s="919"/>
      <c r="AD72" s="919"/>
      <c r="AE72" s="919"/>
      <c r="AF72" s="919"/>
      <c r="AG72" s="919"/>
      <c r="AH72" s="920"/>
    </row>
    <row r="73" spans="1:66" ht="11.25" hidden="1" customHeight="1" x14ac:dyDescent="0.2">
      <c r="A73" s="918"/>
      <c r="B73" s="919"/>
      <c r="C73" s="919"/>
      <c r="D73" s="919"/>
      <c r="E73" s="919"/>
      <c r="F73" s="919"/>
      <c r="G73" s="919"/>
      <c r="H73" s="919"/>
      <c r="I73" s="919"/>
      <c r="J73" s="919"/>
      <c r="K73" s="919"/>
      <c r="L73" s="919"/>
      <c r="M73" s="919"/>
      <c r="N73" s="919"/>
      <c r="O73" s="919"/>
      <c r="P73" s="919"/>
      <c r="Q73" s="919"/>
      <c r="R73" s="919"/>
      <c r="S73" s="919"/>
      <c r="T73" s="919"/>
      <c r="U73" s="919"/>
      <c r="V73" s="919"/>
      <c r="W73" s="919"/>
      <c r="X73" s="919"/>
      <c r="Y73" s="919"/>
      <c r="Z73" s="919"/>
      <c r="AA73" s="919"/>
      <c r="AB73" s="919"/>
      <c r="AC73" s="919"/>
      <c r="AD73" s="919"/>
      <c r="AE73" s="919"/>
      <c r="AF73" s="919"/>
      <c r="AG73" s="919"/>
      <c r="AH73" s="920"/>
    </row>
    <row r="74" spans="1:66" ht="11.25" hidden="1" customHeight="1" x14ac:dyDescent="0.2">
      <c r="A74" s="918"/>
      <c r="B74" s="919"/>
      <c r="C74" s="919"/>
      <c r="D74" s="919"/>
      <c r="E74" s="919"/>
      <c r="F74" s="919"/>
      <c r="G74" s="919"/>
      <c r="H74" s="919"/>
      <c r="I74" s="919"/>
      <c r="J74" s="919"/>
      <c r="K74" s="919"/>
      <c r="L74" s="919"/>
      <c r="M74" s="919"/>
      <c r="N74" s="919"/>
      <c r="O74" s="919"/>
      <c r="P74" s="919"/>
      <c r="Q74" s="919"/>
      <c r="R74" s="919"/>
      <c r="S74" s="919"/>
      <c r="T74" s="919"/>
      <c r="U74" s="919"/>
      <c r="V74" s="919"/>
      <c r="W74" s="919"/>
      <c r="X74" s="919"/>
      <c r="Y74" s="919"/>
      <c r="Z74" s="919"/>
      <c r="AA74" s="919"/>
      <c r="AB74" s="919"/>
      <c r="AC74" s="919"/>
      <c r="AD74" s="919"/>
      <c r="AE74" s="919"/>
      <c r="AF74" s="919"/>
      <c r="AG74" s="919"/>
      <c r="AH74" s="920"/>
    </row>
    <row r="75" spans="1:66" ht="11.25" hidden="1" customHeight="1" x14ac:dyDescent="0.2">
      <c r="A75" s="918"/>
      <c r="B75" s="919"/>
      <c r="C75" s="919"/>
      <c r="D75" s="919"/>
      <c r="E75" s="919"/>
      <c r="F75" s="919"/>
      <c r="G75" s="919"/>
      <c r="H75" s="919"/>
      <c r="I75" s="919"/>
      <c r="J75" s="919"/>
      <c r="K75" s="919"/>
      <c r="L75" s="919"/>
      <c r="M75" s="919"/>
      <c r="N75" s="919"/>
      <c r="O75" s="919"/>
      <c r="P75" s="919"/>
      <c r="Q75" s="919"/>
      <c r="R75" s="919"/>
      <c r="S75" s="919"/>
      <c r="T75" s="919"/>
      <c r="U75" s="919"/>
      <c r="V75" s="919"/>
      <c r="W75" s="919"/>
      <c r="X75" s="919"/>
      <c r="Y75" s="919"/>
      <c r="Z75" s="919"/>
      <c r="AA75" s="919"/>
      <c r="AB75" s="919"/>
      <c r="AC75" s="919"/>
      <c r="AD75" s="919"/>
      <c r="AE75" s="919"/>
      <c r="AF75" s="919"/>
      <c r="AG75" s="919"/>
      <c r="AH75" s="920"/>
    </row>
    <row r="76" spans="1:66" ht="11.25" hidden="1" customHeight="1" x14ac:dyDescent="0.2">
      <c r="A76" s="918"/>
      <c r="B76" s="919"/>
      <c r="C76" s="919"/>
      <c r="D76" s="919"/>
      <c r="E76" s="919"/>
      <c r="F76" s="919"/>
      <c r="G76" s="919"/>
      <c r="H76" s="919"/>
      <c r="I76" s="919"/>
      <c r="J76" s="919"/>
      <c r="K76" s="919"/>
      <c r="L76" s="919"/>
      <c r="M76" s="919"/>
      <c r="N76" s="919"/>
      <c r="O76" s="919"/>
      <c r="P76" s="919"/>
      <c r="Q76" s="919"/>
      <c r="R76" s="919"/>
      <c r="S76" s="919"/>
      <c r="T76" s="919"/>
      <c r="U76" s="919"/>
      <c r="V76" s="919"/>
      <c r="W76" s="919"/>
      <c r="X76" s="919"/>
      <c r="Y76" s="919"/>
      <c r="Z76" s="919"/>
      <c r="AA76" s="919"/>
      <c r="AB76" s="919"/>
      <c r="AC76" s="919"/>
      <c r="AD76" s="919"/>
      <c r="AE76" s="919"/>
      <c r="AF76" s="919"/>
      <c r="AG76" s="919"/>
      <c r="AH76" s="920"/>
    </row>
    <row r="77" spans="1:66" ht="11.25" hidden="1" customHeight="1" x14ac:dyDescent="0.2">
      <c r="A77" s="918"/>
      <c r="B77" s="919"/>
      <c r="C77" s="919"/>
      <c r="D77" s="919"/>
      <c r="E77" s="919"/>
      <c r="F77" s="919"/>
      <c r="G77" s="919"/>
      <c r="H77" s="919"/>
      <c r="I77" s="919"/>
      <c r="J77" s="919"/>
      <c r="K77" s="919"/>
      <c r="L77" s="919"/>
      <c r="M77" s="919"/>
      <c r="N77" s="919"/>
      <c r="O77" s="919"/>
      <c r="P77" s="919"/>
      <c r="Q77" s="919"/>
      <c r="R77" s="919"/>
      <c r="S77" s="919"/>
      <c r="T77" s="919"/>
      <c r="U77" s="919"/>
      <c r="V77" s="919"/>
      <c r="W77" s="919"/>
      <c r="X77" s="919"/>
      <c r="Y77" s="919"/>
      <c r="Z77" s="919"/>
      <c r="AA77" s="919"/>
      <c r="AB77" s="919"/>
      <c r="AC77" s="919"/>
      <c r="AD77" s="919"/>
      <c r="AE77" s="919"/>
      <c r="AF77" s="919"/>
      <c r="AG77" s="919"/>
      <c r="AH77" s="920"/>
    </row>
    <row r="78" spans="1:66" ht="11.25" hidden="1" customHeight="1" x14ac:dyDescent="0.2">
      <c r="A78" s="918"/>
      <c r="B78" s="919"/>
      <c r="C78" s="919"/>
      <c r="D78" s="919"/>
      <c r="E78" s="919"/>
      <c r="F78" s="919"/>
      <c r="G78" s="919"/>
      <c r="H78" s="919"/>
      <c r="I78" s="919"/>
      <c r="J78" s="919"/>
      <c r="K78" s="919"/>
      <c r="L78" s="919"/>
      <c r="M78" s="919"/>
      <c r="N78" s="919"/>
      <c r="O78" s="919"/>
      <c r="P78" s="919"/>
      <c r="Q78" s="919"/>
      <c r="R78" s="919"/>
      <c r="S78" s="919"/>
      <c r="T78" s="919"/>
      <c r="U78" s="919"/>
      <c r="V78" s="919"/>
      <c r="W78" s="919"/>
      <c r="X78" s="919"/>
      <c r="Y78" s="919"/>
      <c r="Z78" s="919"/>
      <c r="AA78" s="919"/>
      <c r="AB78" s="919"/>
      <c r="AC78" s="919"/>
      <c r="AD78" s="919"/>
      <c r="AE78" s="919"/>
      <c r="AF78" s="919"/>
      <c r="AG78" s="919"/>
      <c r="AH78" s="920"/>
    </row>
    <row r="79" spans="1:66" ht="11.25" hidden="1" customHeight="1" x14ac:dyDescent="0.2">
      <c r="A79" s="918"/>
      <c r="B79" s="919"/>
      <c r="C79" s="919"/>
      <c r="D79" s="919"/>
      <c r="E79" s="919"/>
      <c r="F79" s="919"/>
      <c r="G79" s="919"/>
      <c r="H79" s="919"/>
      <c r="I79" s="919"/>
      <c r="J79" s="919"/>
      <c r="K79" s="919"/>
      <c r="L79" s="919"/>
      <c r="M79" s="919"/>
      <c r="N79" s="919"/>
      <c r="O79" s="919"/>
      <c r="P79" s="919"/>
      <c r="Q79" s="919"/>
      <c r="R79" s="919"/>
      <c r="S79" s="919"/>
      <c r="T79" s="919"/>
      <c r="U79" s="919"/>
      <c r="V79" s="919"/>
      <c r="W79" s="919"/>
      <c r="X79" s="919"/>
      <c r="Y79" s="919"/>
      <c r="Z79" s="919"/>
      <c r="AA79" s="919"/>
      <c r="AB79" s="919"/>
      <c r="AC79" s="919"/>
      <c r="AD79" s="919"/>
      <c r="AE79" s="919"/>
      <c r="AF79" s="919"/>
      <c r="AG79" s="919"/>
      <c r="AH79" s="920"/>
    </row>
    <row r="80" spans="1:66" ht="11.25" hidden="1" customHeight="1" x14ac:dyDescent="0.2">
      <c r="A80" s="918"/>
      <c r="B80" s="919"/>
      <c r="C80" s="919"/>
      <c r="D80" s="919"/>
      <c r="E80" s="919"/>
      <c r="F80" s="919"/>
      <c r="G80" s="919"/>
      <c r="H80" s="919"/>
      <c r="I80" s="919"/>
      <c r="J80" s="919"/>
      <c r="K80" s="919"/>
      <c r="L80" s="919"/>
      <c r="M80" s="919"/>
      <c r="N80" s="919"/>
      <c r="O80" s="919"/>
      <c r="P80" s="919"/>
      <c r="Q80" s="919"/>
      <c r="R80" s="919"/>
      <c r="S80" s="919"/>
      <c r="T80" s="919"/>
      <c r="U80" s="919"/>
      <c r="V80" s="919"/>
      <c r="W80" s="919"/>
      <c r="X80" s="919"/>
      <c r="Y80" s="919"/>
      <c r="Z80" s="919"/>
      <c r="AA80" s="919"/>
      <c r="AB80" s="919"/>
      <c r="AC80" s="919"/>
      <c r="AD80" s="919"/>
      <c r="AE80" s="919"/>
      <c r="AF80" s="919"/>
      <c r="AG80" s="919"/>
      <c r="AH80" s="920"/>
    </row>
    <row r="81" spans="1:34" ht="11.25" hidden="1" customHeight="1" x14ac:dyDescent="0.2">
      <c r="A81" s="921"/>
      <c r="B81" s="922"/>
      <c r="C81" s="922"/>
      <c r="D81" s="922"/>
      <c r="E81" s="922"/>
      <c r="F81" s="922"/>
      <c r="G81" s="922"/>
      <c r="H81" s="922"/>
      <c r="I81" s="922"/>
      <c r="J81" s="922"/>
      <c r="K81" s="922"/>
      <c r="L81" s="922"/>
      <c r="M81" s="922"/>
      <c r="N81" s="922"/>
      <c r="O81" s="922"/>
      <c r="P81" s="922"/>
      <c r="Q81" s="922"/>
      <c r="R81" s="922"/>
      <c r="S81" s="922"/>
      <c r="T81" s="922"/>
      <c r="U81" s="922"/>
      <c r="V81" s="922"/>
      <c r="W81" s="922"/>
      <c r="X81" s="922"/>
      <c r="Y81" s="922"/>
      <c r="Z81" s="922"/>
      <c r="AA81" s="922"/>
      <c r="AB81" s="922"/>
      <c r="AC81" s="922"/>
      <c r="AD81" s="922"/>
      <c r="AE81" s="922"/>
      <c r="AF81" s="922"/>
      <c r="AG81" s="922"/>
      <c r="AH81" s="923"/>
    </row>
    <row r="82" spans="1:34" hidden="1" x14ac:dyDescent="0.2"/>
  </sheetData>
  <mergeCells count="413">
    <mergeCell ref="A4:AH4"/>
    <mergeCell ref="A5:D5"/>
    <mergeCell ref="E5:H5"/>
    <mergeCell ref="I5:J5"/>
    <mergeCell ref="K5:N5"/>
    <mergeCell ref="O5:T5"/>
    <mergeCell ref="U5:V5"/>
    <mergeCell ref="W5:AH5"/>
    <mergeCell ref="A1:P1"/>
    <mergeCell ref="W1:AB1"/>
    <mergeCell ref="AC1:AH1"/>
    <mergeCell ref="W2:AB3"/>
    <mergeCell ref="AC2:AH3"/>
    <mergeCell ref="A2:U3"/>
    <mergeCell ref="V6:W6"/>
    <mergeCell ref="X6:Z6"/>
    <mergeCell ref="AA6:AE6"/>
    <mergeCell ref="AF6:AH6"/>
    <mergeCell ref="A7:E7"/>
    <mergeCell ref="F7:J7"/>
    <mergeCell ref="K7:N7"/>
    <mergeCell ref="O7:S7"/>
    <mergeCell ref="T7:U7"/>
    <mergeCell ref="V7:Z7"/>
    <mergeCell ref="A6:B6"/>
    <mergeCell ref="C6:M6"/>
    <mergeCell ref="N6:O6"/>
    <mergeCell ref="P6:Q6"/>
    <mergeCell ref="R6:S6"/>
    <mergeCell ref="T6:U6"/>
    <mergeCell ref="AB7:AE7"/>
    <mergeCell ref="AF7:AH8"/>
    <mergeCell ref="A8:E8"/>
    <mergeCell ref="F8:J8"/>
    <mergeCell ref="K8:N8"/>
    <mergeCell ref="O8:S8"/>
    <mergeCell ref="T8:U8"/>
    <mergeCell ref="V8:Z8"/>
    <mergeCell ref="A11:I12"/>
    <mergeCell ref="O11:P11"/>
    <mergeCell ref="Q11:T11"/>
    <mergeCell ref="U11:V11"/>
    <mergeCell ref="Z11:AH12"/>
    <mergeCell ref="O12:P12"/>
    <mergeCell ref="Q12:T12"/>
    <mergeCell ref="A9:E9"/>
    <mergeCell ref="J9:N15"/>
    <mergeCell ref="O9:P9"/>
    <mergeCell ref="Q9:T9"/>
    <mergeCell ref="U9:V9"/>
    <mergeCell ref="W9:Y15"/>
    <mergeCell ref="U12:V12"/>
    <mergeCell ref="A13:I13"/>
    <mergeCell ref="O13:P13"/>
    <mergeCell ref="Q13:T13"/>
    <mergeCell ref="U15:V15"/>
    <mergeCell ref="AA15:AB15"/>
    <mergeCell ref="U16:V16"/>
    <mergeCell ref="W16:Y16"/>
    <mergeCell ref="U13:V13"/>
    <mergeCell ref="Z13:AH13"/>
    <mergeCell ref="O14:P14"/>
    <mergeCell ref="Q14:T14"/>
    <mergeCell ref="U14:V14"/>
    <mergeCell ref="AA14:AB14"/>
    <mergeCell ref="AB8:AE8"/>
    <mergeCell ref="Z9:AD9"/>
    <mergeCell ref="O10:P10"/>
    <mergeCell ref="U10:V10"/>
    <mergeCell ref="A17:A18"/>
    <mergeCell ref="B17:C18"/>
    <mergeCell ref="D17:H17"/>
    <mergeCell ref="I17:I18"/>
    <mergeCell ref="J17:P18"/>
    <mergeCell ref="Q17:Q18"/>
    <mergeCell ref="G15:H15"/>
    <mergeCell ref="O15:P15"/>
    <mergeCell ref="Q15:T15"/>
    <mergeCell ref="J16:N16"/>
    <mergeCell ref="O16:P16"/>
    <mergeCell ref="Q16:T16"/>
    <mergeCell ref="AF17:AG18"/>
    <mergeCell ref="AH17:AH18"/>
    <mergeCell ref="J19:P19"/>
    <mergeCell ref="U19:Y19"/>
    <mergeCell ref="J20:P20"/>
    <mergeCell ref="U20:Y20"/>
    <mergeCell ref="R17:R18"/>
    <mergeCell ref="S17:S18"/>
    <mergeCell ref="T17:T18"/>
    <mergeCell ref="U17:Y18"/>
    <mergeCell ref="Z17:Z18"/>
    <mergeCell ref="AA17:AE17"/>
    <mergeCell ref="J24:P24"/>
    <mergeCell ref="U24:Y24"/>
    <mergeCell ref="J25:P25"/>
    <mergeCell ref="U25:Y25"/>
    <mergeCell ref="J26:P26"/>
    <mergeCell ref="U26:Y26"/>
    <mergeCell ref="J21:P21"/>
    <mergeCell ref="U21:Y21"/>
    <mergeCell ref="J22:P22"/>
    <mergeCell ref="U22:Y22"/>
    <mergeCell ref="J23:P23"/>
    <mergeCell ref="U23:Y23"/>
    <mergeCell ref="J30:P30"/>
    <mergeCell ref="U30:Y30"/>
    <mergeCell ref="J31:P31"/>
    <mergeCell ref="U31:Y31"/>
    <mergeCell ref="J32:P32"/>
    <mergeCell ref="U32:Y32"/>
    <mergeCell ref="J27:P27"/>
    <mergeCell ref="U27:Y27"/>
    <mergeCell ref="J28:P28"/>
    <mergeCell ref="U28:Y28"/>
    <mergeCell ref="J29:P29"/>
    <mergeCell ref="U29:Y29"/>
    <mergeCell ref="J36:P36"/>
    <mergeCell ref="U36:Y36"/>
    <mergeCell ref="A37:B37"/>
    <mergeCell ref="C37:F37"/>
    <mergeCell ref="G37:J37"/>
    <mergeCell ref="K37:R37"/>
    <mergeCell ref="S37:X37"/>
    <mergeCell ref="Y37:Z37"/>
    <mergeCell ref="J33:P33"/>
    <mergeCell ref="U33:Y33"/>
    <mergeCell ref="J34:P34"/>
    <mergeCell ref="U34:Y34"/>
    <mergeCell ref="J35:P35"/>
    <mergeCell ref="U35:Y35"/>
    <mergeCell ref="AA37:AD37"/>
    <mergeCell ref="AE37:AH37"/>
    <mergeCell ref="A38:B38"/>
    <mergeCell ref="D38:F38"/>
    <mergeCell ref="H38:J38"/>
    <mergeCell ref="K38:R38"/>
    <mergeCell ref="S38:X38"/>
    <mergeCell ref="Y38:Z38"/>
    <mergeCell ref="AB38:AD38"/>
    <mergeCell ref="AF38:AH38"/>
    <mergeCell ref="Y39:Z39"/>
    <mergeCell ref="AB39:AD39"/>
    <mergeCell ref="AF39:AH39"/>
    <mergeCell ref="A40:B40"/>
    <mergeCell ref="D40:F40"/>
    <mergeCell ref="H40:J40"/>
    <mergeCell ref="Y40:Z40"/>
    <mergeCell ref="AB40:AD40"/>
    <mergeCell ref="AF40:AH40"/>
    <mergeCell ref="P39:P40"/>
    <mergeCell ref="Q39:T40"/>
    <mergeCell ref="U39:U40"/>
    <mergeCell ref="V39:V40"/>
    <mergeCell ref="W39:W40"/>
    <mergeCell ref="X39:X40"/>
    <mergeCell ref="A39:B39"/>
    <mergeCell ref="D39:F39"/>
    <mergeCell ref="H39:J39"/>
    <mergeCell ref="K39:L40"/>
    <mergeCell ref="M39:N40"/>
    <mergeCell ref="O39:O40"/>
    <mergeCell ref="Y41:Z41"/>
    <mergeCell ref="AB41:AD41"/>
    <mergeCell ref="AF41:AH41"/>
    <mergeCell ref="A42:B42"/>
    <mergeCell ref="D42:F42"/>
    <mergeCell ref="H42:J42"/>
    <mergeCell ref="K42:L42"/>
    <mergeCell ref="M42:N42"/>
    <mergeCell ref="R42:S42"/>
    <mergeCell ref="Y42:Z42"/>
    <mergeCell ref="A41:B41"/>
    <mergeCell ref="D41:F41"/>
    <mergeCell ref="H41:J41"/>
    <mergeCell ref="K41:L41"/>
    <mergeCell ref="M41:N41"/>
    <mergeCell ref="R41:S41"/>
    <mergeCell ref="AB42:AD42"/>
    <mergeCell ref="AF42:AH42"/>
    <mergeCell ref="A43:B43"/>
    <mergeCell ref="D43:F43"/>
    <mergeCell ref="H43:J43"/>
    <mergeCell ref="K43:L43"/>
    <mergeCell ref="M43:N43"/>
    <mergeCell ref="R43:S43"/>
    <mergeCell ref="Y43:Z43"/>
    <mergeCell ref="AB43:AD43"/>
    <mergeCell ref="AF43:AH43"/>
    <mergeCell ref="A44:B44"/>
    <mergeCell ref="D44:F44"/>
    <mergeCell ref="H44:J44"/>
    <mergeCell ref="K44:L44"/>
    <mergeCell ref="M44:N44"/>
    <mergeCell ref="R44:S44"/>
    <mergeCell ref="Y44:Z44"/>
    <mergeCell ref="AB44:AD44"/>
    <mergeCell ref="AF44:AH44"/>
    <mergeCell ref="Y45:Z45"/>
    <mergeCell ref="AB45:AD45"/>
    <mergeCell ref="AF45:AH45"/>
    <mergeCell ref="A46:B46"/>
    <mergeCell ref="D46:F46"/>
    <mergeCell ref="H46:J46"/>
    <mergeCell ref="K46:L46"/>
    <mergeCell ref="M46:N46"/>
    <mergeCell ref="R46:S46"/>
    <mergeCell ref="Y46:Z46"/>
    <mergeCell ref="A45:B45"/>
    <mergeCell ref="D45:F45"/>
    <mergeCell ref="H45:J45"/>
    <mergeCell ref="K45:L45"/>
    <mergeCell ref="M45:N45"/>
    <mergeCell ref="R45:S45"/>
    <mergeCell ref="AB46:AD46"/>
    <mergeCell ref="AF46:AH46"/>
    <mergeCell ref="A47:B47"/>
    <mergeCell ref="D47:F47"/>
    <mergeCell ref="H47:J47"/>
    <mergeCell ref="K47:L47"/>
    <mergeCell ref="M47:N47"/>
    <mergeCell ref="R47:S47"/>
    <mergeCell ref="Y47:Z47"/>
    <mergeCell ref="AB47:AD47"/>
    <mergeCell ref="G49:J49"/>
    <mergeCell ref="L49:M49"/>
    <mergeCell ref="O49:P49"/>
    <mergeCell ref="Q49:R49"/>
    <mergeCell ref="W49:X49"/>
    <mergeCell ref="Y49:Z49"/>
    <mergeCell ref="AA49:AB49"/>
    <mergeCell ref="AC49:AD49"/>
    <mergeCell ref="A49:B49"/>
    <mergeCell ref="C49:E49"/>
    <mergeCell ref="AF47:AH47"/>
    <mergeCell ref="A48:B48"/>
    <mergeCell ref="C48:E48"/>
    <mergeCell ref="G48:J48"/>
    <mergeCell ref="K48:N48"/>
    <mergeCell ref="O48:AH48"/>
    <mergeCell ref="W50:X50"/>
    <mergeCell ref="Y50:Z50"/>
    <mergeCell ref="AA50:AB50"/>
    <mergeCell ref="AC50:AD50"/>
    <mergeCell ref="AE50:AF50"/>
    <mergeCell ref="AG50:AH50"/>
    <mergeCell ref="AE49:AF49"/>
    <mergeCell ref="AG49:AH49"/>
    <mergeCell ref="A50:B50"/>
    <mergeCell ref="C50:E50"/>
    <mergeCell ref="G50:J50"/>
    <mergeCell ref="L50:M50"/>
    <mergeCell ref="O50:P50"/>
    <mergeCell ref="Q50:R50"/>
    <mergeCell ref="S50:T50"/>
    <mergeCell ref="U50:V50"/>
    <mergeCell ref="S49:T49"/>
    <mergeCell ref="U49:V49"/>
    <mergeCell ref="AG52:AH52"/>
    <mergeCell ref="AE51:AF51"/>
    <mergeCell ref="AG51:AH51"/>
    <mergeCell ref="A52:B52"/>
    <mergeCell ref="C52:E52"/>
    <mergeCell ref="G52:J52"/>
    <mergeCell ref="L52:M52"/>
    <mergeCell ref="O52:P52"/>
    <mergeCell ref="Q52:R52"/>
    <mergeCell ref="S52:T52"/>
    <mergeCell ref="U52:V52"/>
    <mergeCell ref="S51:T51"/>
    <mergeCell ref="U51:V51"/>
    <mergeCell ref="W51:X51"/>
    <mergeCell ref="Y51:Z51"/>
    <mergeCell ref="AA51:AB51"/>
    <mergeCell ref="AC51:AD51"/>
    <mergeCell ref="A51:B51"/>
    <mergeCell ref="C51:E51"/>
    <mergeCell ref="G51:J51"/>
    <mergeCell ref="L51:M51"/>
    <mergeCell ref="O51:P51"/>
    <mergeCell ref="Q51:R51"/>
    <mergeCell ref="G53:J53"/>
    <mergeCell ref="L53:M53"/>
    <mergeCell ref="O53:P53"/>
    <mergeCell ref="Q53:R53"/>
    <mergeCell ref="W52:X52"/>
    <mergeCell ref="Y52:Z52"/>
    <mergeCell ref="AA52:AB52"/>
    <mergeCell ref="AC52:AD52"/>
    <mergeCell ref="AE52:AF52"/>
    <mergeCell ref="W54:X54"/>
    <mergeCell ref="Y54:Z54"/>
    <mergeCell ref="AA54:AB54"/>
    <mergeCell ref="AC54:AD54"/>
    <mergeCell ref="AE54:AF54"/>
    <mergeCell ref="AG54:AH54"/>
    <mergeCell ref="AE53:AF53"/>
    <mergeCell ref="AG53:AH53"/>
    <mergeCell ref="A54:B54"/>
    <mergeCell ref="C54:E54"/>
    <mergeCell ref="G54:J54"/>
    <mergeCell ref="L54:M54"/>
    <mergeCell ref="O54:P54"/>
    <mergeCell ref="Q54:R54"/>
    <mergeCell ref="S54:T54"/>
    <mergeCell ref="U54:V54"/>
    <mergeCell ref="S53:T53"/>
    <mergeCell ref="U53:V53"/>
    <mergeCell ref="W53:X53"/>
    <mergeCell ref="Y53:Z53"/>
    <mergeCell ref="AA53:AB53"/>
    <mergeCell ref="AC53:AD53"/>
    <mergeCell ref="A53:B53"/>
    <mergeCell ref="C53:E53"/>
    <mergeCell ref="AG56:AH56"/>
    <mergeCell ref="AE55:AF55"/>
    <mergeCell ref="AG55:AH55"/>
    <mergeCell ref="A56:B56"/>
    <mergeCell ref="C56:E56"/>
    <mergeCell ref="G56:J56"/>
    <mergeCell ref="L56:M56"/>
    <mergeCell ref="O56:P56"/>
    <mergeCell ref="Q56:R56"/>
    <mergeCell ref="S56:T56"/>
    <mergeCell ref="U56:V56"/>
    <mergeCell ref="S55:T55"/>
    <mergeCell ref="U55:V55"/>
    <mergeCell ref="W55:X55"/>
    <mergeCell ref="Y55:Z55"/>
    <mergeCell ref="AA55:AB55"/>
    <mergeCell ref="AC55:AD55"/>
    <mergeCell ref="A55:B55"/>
    <mergeCell ref="C55:E55"/>
    <mergeCell ref="G55:J55"/>
    <mergeCell ref="L55:M55"/>
    <mergeCell ref="O55:P55"/>
    <mergeCell ref="Q55:R55"/>
    <mergeCell ref="G57:J57"/>
    <mergeCell ref="L57:M57"/>
    <mergeCell ref="O57:P57"/>
    <mergeCell ref="Q57:R57"/>
    <mergeCell ref="W56:X56"/>
    <mergeCell ref="Y56:Z56"/>
    <mergeCell ref="AA56:AB56"/>
    <mergeCell ref="AC56:AD56"/>
    <mergeCell ref="AE56:AF56"/>
    <mergeCell ref="W58:X58"/>
    <mergeCell ref="Y58:Z58"/>
    <mergeCell ref="AA58:AB58"/>
    <mergeCell ref="AC58:AD58"/>
    <mergeCell ref="AE58:AF58"/>
    <mergeCell ref="AG58:AH58"/>
    <mergeCell ref="AE57:AF57"/>
    <mergeCell ref="AG57:AH57"/>
    <mergeCell ref="A58:B58"/>
    <mergeCell ref="C58:E58"/>
    <mergeCell ref="G58:J58"/>
    <mergeCell ref="L58:M58"/>
    <mergeCell ref="O58:P58"/>
    <mergeCell ref="Q58:R58"/>
    <mergeCell ref="S58:T58"/>
    <mergeCell ref="U58:V58"/>
    <mergeCell ref="S57:T57"/>
    <mergeCell ref="U57:V57"/>
    <mergeCell ref="W57:X57"/>
    <mergeCell ref="Y57:Z57"/>
    <mergeCell ref="AA57:AB57"/>
    <mergeCell ref="AC57:AD57"/>
    <mergeCell ref="A57:B57"/>
    <mergeCell ref="C57:E57"/>
    <mergeCell ref="AE59:AF59"/>
    <mergeCell ref="AG59:AH59"/>
    <mergeCell ref="A60:D60"/>
    <mergeCell ref="E60:F60"/>
    <mergeCell ref="G60:H60"/>
    <mergeCell ref="I60:J60"/>
    <mergeCell ref="K60:N60"/>
    <mergeCell ref="O60:P60"/>
    <mergeCell ref="Q60:R60"/>
    <mergeCell ref="S60:T60"/>
    <mergeCell ref="S59:T59"/>
    <mergeCell ref="U59:V59"/>
    <mergeCell ref="W59:X59"/>
    <mergeCell ref="Y59:Z59"/>
    <mergeCell ref="AA59:AB59"/>
    <mergeCell ref="AC59:AD59"/>
    <mergeCell ref="A59:B59"/>
    <mergeCell ref="C59:E59"/>
    <mergeCell ref="G59:J59"/>
    <mergeCell ref="L59:M59"/>
    <mergeCell ref="O59:P59"/>
    <mergeCell ref="Q59:R59"/>
    <mergeCell ref="A69:C69"/>
    <mergeCell ref="A70:AH81"/>
    <mergeCell ref="A63:C63"/>
    <mergeCell ref="E63:AH63"/>
    <mergeCell ref="A64:B64"/>
    <mergeCell ref="E64:AH64"/>
    <mergeCell ref="A66:AH66"/>
    <mergeCell ref="A67:AH67"/>
    <mergeCell ref="AG60:AH60"/>
    <mergeCell ref="A61:C61"/>
    <mergeCell ref="K61:L61"/>
    <mergeCell ref="M61:N61"/>
    <mergeCell ref="A62:C62"/>
    <mergeCell ref="K62:L62"/>
    <mergeCell ref="M62:N62"/>
    <mergeCell ref="U60:V60"/>
    <mergeCell ref="W60:X60"/>
    <mergeCell ref="Y60:Z60"/>
    <mergeCell ref="AA60:AB60"/>
    <mergeCell ref="AC60:AD60"/>
    <mergeCell ref="AE60:AF60"/>
  </mergeCells>
  <phoneticPr fontId="2"/>
  <conditionalFormatting sqref="Q19:Q29 T19:T29">
    <cfRule type="cellIs" dxfId="0" priority="1" operator="equal">
      <formula>0</formula>
    </cfRule>
  </conditionalFormatting>
  <dataValidations count="10">
    <dataValidation type="list" allowBlank="1" showInputMessage="1" showErrorMessage="1" sqref="X6:Z6" xr:uid="{00000000-0002-0000-1900-000000000000}">
      <formula1>$BN$2:$BN$21</formula1>
    </dataValidation>
    <dataValidation type="list" allowBlank="1" showInputMessage="1" showErrorMessage="1" sqref="T6:U6" xr:uid="{00000000-0002-0000-1900-000001000000}">
      <formula1>$BJ$2:$BJ$21</formula1>
    </dataValidation>
    <dataValidation type="list" allowBlank="1" showInputMessage="1" showErrorMessage="1" sqref="P6:Q6" xr:uid="{00000000-0002-0000-1900-000002000000}">
      <formula1>$BL$2:$BL$67</formula1>
    </dataValidation>
    <dataValidation type="list" allowBlank="1" showInputMessage="1" showErrorMessage="1" sqref="C6:M6" xr:uid="{00000000-0002-0000-1900-000003000000}">
      <formula1>$BH$2:$BH$21</formula1>
    </dataValidation>
    <dataValidation type="list" allowBlank="1" showInputMessage="1" showErrorMessage="1" sqref="AB8:AE8" xr:uid="{00000000-0002-0000-1900-000004000000}">
      <formula1>$BF$2:$BF$21</formula1>
    </dataValidation>
    <dataValidation type="list" allowBlank="1" showInputMessage="1" showErrorMessage="1" sqref="AB7:AE7" xr:uid="{00000000-0002-0000-1900-000005000000}">
      <formula1>$BE$2:$BE$21</formula1>
    </dataValidation>
    <dataValidation type="list" allowBlank="1" showInputMessage="1" showErrorMessage="1" sqref="V8:Z8" xr:uid="{00000000-0002-0000-1900-000006000000}">
      <formula1>$BC$2:$BC$21</formula1>
    </dataValidation>
    <dataValidation type="list" allowBlank="1" showInputMessage="1" showErrorMessage="1" sqref="F7:J7" xr:uid="{00000000-0002-0000-1900-000007000000}">
      <formula1>$BA$2:$BA$21</formula1>
    </dataValidation>
    <dataValidation type="list" allowBlank="1" showInputMessage="1" showErrorMessage="1" sqref="F8:J8 O7:S8 V7:Z7" xr:uid="{00000000-0002-0000-1900-000008000000}">
      <formula1>$AY$2:$AY$21</formula1>
    </dataValidation>
    <dataValidation type="list" allowBlank="1" showInputMessage="1" showErrorMessage="1" sqref="A61:C61 C49:E59" xr:uid="{00000000-0002-0000-1900-000009000000}">
      <formula1>$A$10:$B$10</formula1>
    </dataValidation>
  </dataValidations>
  <printOptions horizontalCentered="1"/>
  <pageMargins left="0.39370078740157483" right="0.39370078740157483" top="0.39370078740157483" bottom="0.39370078740157483" header="0.31496062992125984" footer="0.31496062992125984"/>
  <pageSetup paperSize="9" scale="9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70C0"/>
  </sheetPr>
  <dimension ref="A1:AA76"/>
  <sheetViews>
    <sheetView workbookViewId="0">
      <selection activeCell="V17" sqref="V17"/>
    </sheetView>
  </sheetViews>
  <sheetFormatPr defaultColWidth="12" defaultRowHeight="14.25" x14ac:dyDescent="0.15"/>
  <cols>
    <col min="1" max="1" width="10.875" style="32" customWidth="1"/>
    <col min="2" max="2" width="7.375" style="32" customWidth="1"/>
    <col min="3" max="3" width="1.875" style="32" customWidth="1"/>
    <col min="4" max="4" width="7.375" style="32" customWidth="1"/>
    <col min="5" max="5" width="1.875" style="32" customWidth="1"/>
    <col min="6" max="6" width="7.375" style="32" customWidth="1"/>
    <col min="7" max="7" width="1.875" style="32" customWidth="1"/>
    <col min="8" max="8" width="7.375" style="32" customWidth="1"/>
    <col min="9" max="10" width="2.375" style="32" customWidth="1"/>
    <col min="11" max="12" width="5" style="32" customWidth="1"/>
    <col min="13" max="13" width="11.125" style="32" customWidth="1"/>
    <col min="14" max="14" width="13.875" style="32" customWidth="1"/>
    <col min="15" max="19" width="5" style="32" customWidth="1"/>
    <col min="20" max="20" width="6.625" style="32" customWidth="1"/>
    <col min="21" max="21" width="10.125" style="32" customWidth="1"/>
    <col min="22" max="16384" width="12" style="32"/>
  </cols>
  <sheetData>
    <row r="1" spans="1:27" ht="36.75" customHeight="1" x14ac:dyDescent="0.2">
      <c r="A1" s="970" t="s">
        <v>300</v>
      </c>
      <c r="B1" s="971"/>
      <c r="C1" s="971"/>
      <c r="D1" s="971"/>
      <c r="E1" s="971"/>
      <c r="F1" s="971"/>
      <c r="G1" s="971"/>
      <c r="H1" s="971"/>
      <c r="I1" s="971"/>
      <c r="J1" s="971"/>
      <c r="K1" s="971"/>
      <c r="L1" s="971"/>
      <c r="M1" s="971"/>
      <c r="N1" s="971"/>
      <c r="O1" s="971"/>
      <c r="P1" s="971"/>
      <c r="Q1" s="971"/>
      <c r="R1" s="971"/>
      <c r="S1" s="971"/>
      <c r="T1" s="971"/>
      <c r="U1" s="31"/>
      <c r="V1" s="31"/>
    </row>
    <row r="2" spans="1:27" s="34" customFormat="1" ht="28.5" customHeight="1" thickBot="1" x14ac:dyDescent="0.2">
      <c r="A2" s="33" t="s">
        <v>301</v>
      </c>
      <c r="L2" s="972" t="str">
        <f>IF(COUNTA($T$4:$T$21)=0,"（注意） キャプテンに「１」を入力してください。","")</f>
        <v/>
      </c>
      <c r="M2" s="973"/>
      <c r="N2" s="973"/>
      <c r="O2" s="973"/>
      <c r="P2" s="973"/>
      <c r="Q2" s="973"/>
      <c r="R2" s="974" t="s">
        <v>302</v>
      </c>
      <c r="S2" s="975"/>
      <c r="U2" s="54" t="s">
        <v>303</v>
      </c>
    </row>
    <row r="3" spans="1:27" s="34" customFormat="1" ht="36.75" thickBot="1" x14ac:dyDescent="0.2">
      <c r="A3" s="35" t="s">
        <v>304</v>
      </c>
      <c r="B3" s="36" t="s">
        <v>305</v>
      </c>
      <c r="C3" s="37"/>
      <c r="D3" s="38" t="s">
        <v>125</v>
      </c>
      <c r="E3" s="976" t="s">
        <v>306</v>
      </c>
      <c r="F3" s="977"/>
      <c r="G3" s="37"/>
      <c r="H3" s="37"/>
      <c r="I3" s="37"/>
      <c r="J3" s="37"/>
      <c r="K3" s="39" t="s">
        <v>256</v>
      </c>
      <c r="L3" s="39" t="s">
        <v>257</v>
      </c>
      <c r="M3" s="39" t="s">
        <v>307</v>
      </c>
      <c r="N3" s="39" t="s">
        <v>308</v>
      </c>
      <c r="O3" s="39" t="s">
        <v>309</v>
      </c>
      <c r="P3" s="39" t="s">
        <v>310</v>
      </c>
      <c r="Q3" s="39" t="s">
        <v>311</v>
      </c>
      <c r="R3" s="39" t="s">
        <v>312</v>
      </c>
      <c r="S3" s="39" t="s">
        <v>67</v>
      </c>
      <c r="T3" s="40" t="s">
        <v>313</v>
      </c>
      <c r="U3" s="40" t="s">
        <v>314</v>
      </c>
    </row>
    <row r="4" spans="1:27" s="34" customFormat="1" ht="15" customHeight="1" thickBot="1" x14ac:dyDescent="0.2">
      <c r="A4" s="35" t="s">
        <v>315</v>
      </c>
      <c r="B4" s="36">
        <v>1</v>
      </c>
      <c r="C4" s="968" t="s">
        <v>316</v>
      </c>
      <c r="D4" s="969"/>
      <c r="E4" s="969"/>
      <c r="F4" s="969"/>
      <c r="G4" s="969"/>
      <c r="H4" s="969"/>
      <c r="I4" s="969"/>
      <c r="J4" s="41"/>
      <c r="K4" s="42">
        <v>1</v>
      </c>
      <c r="L4" s="36" t="s">
        <v>317</v>
      </c>
      <c r="M4" s="43" t="s">
        <v>318</v>
      </c>
      <c r="N4" s="43" t="s">
        <v>319</v>
      </c>
      <c r="O4" s="36">
        <v>2</v>
      </c>
      <c r="P4" s="36">
        <v>163</v>
      </c>
      <c r="Q4" s="36">
        <v>55</v>
      </c>
      <c r="R4" s="36">
        <v>9</v>
      </c>
      <c r="S4" s="36">
        <v>25</v>
      </c>
      <c r="T4" s="36"/>
      <c r="U4" s="36" t="s">
        <v>320</v>
      </c>
      <c r="V4" s="54"/>
      <c r="W4" s="54"/>
      <c r="X4" s="54"/>
      <c r="Y4" s="54"/>
      <c r="Z4" s="54"/>
      <c r="AA4" s="54"/>
    </row>
    <row r="5" spans="1:27" s="34" customFormat="1" ht="15" thickBot="1" x14ac:dyDescent="0.2">
      <c r="A5" s="35" t="s">
        <v>321</v>
      </c>
      <c r="B5" s="36"/>
      <c r="C5" s="968" t="s">
        <v>322</v>
      </c>
      <c r="D5" s="969"/>
      <c r="E5" s="969"/>
      <c r="F5" s="969"/>
      <c r="G5" s="969"/>
      <c r="H5" s="969"/>
      <c r="I5" s="969"/>
      <c r="J5" s="41"/>
      <c r="K5" s="42">
        <v>2</v>
      </c>
      <c r="L5" s="36" t="s">
        <v>323</v>
      </c>
      <c r="M5" s="43" t="s">
        <v>324</v>
      </c>
      <c r="N5" s="43" t="s">
        <v>325</v>
      </c>
      <c r="O5" s="36">
        <v>3</v>
      </c>
      <c r="P5" s="36">
        <v>164</v>
      </c>
      <c r="Q5" s="36">
        <v>53</v>
      </c>
      <c r="R5" s="36">
        <v>7</v>
      </c>
      <c r="S5" s="36">
        <v>24</v>
      </c>
      <c r="T5" s="36"/>
      <c r="U5" s="36" t="s">
        <v>326</v>
      </c>
    </row>
    <row r="6" spans="1:27" s="34" customFormat="1" ht="15" thickBot="1" x14ac:dyDescent="0.2">
      <c r="A6" s="35" t="s">
        <v>327</v>
      </c>
      <c r="B6" s="978" t="s">
        <v>328</v>
      </c>
      <c r="C6" s="980"/>
      <c r="D6" s="980"/>
      <c r="E6" s="979"/>
      <c r="F6" s="976" t="s">
        <v>329</v>
      </c>
      <c r="G6" s="977"/>
      <c r="H6" s="977"/>
      <c r="I6" s="977"/>
      <c r="J6" s="44"/>
      <c r="K6" s="42">
        <v>3</v>
      </c>
      <c r="L6" s="36" t="s">
        <v>323</v>
      </c>
      <c r="M6" s="43" t="s">
        <v>330</v>
      </c>
      <c r="N6" s="43" t="s">
        <v>331</v>
      </c>
      <c r="O6" s="36">
        <v>3</v>
      </c>
      <c r="P6" s="36">
        <v>174</v>
      </c>
      <c r="Q6" s="36">
        <v>66</v>
      </c>
      <c r="R6" s="36">
        <v>5</v>
      </c>
      <c r="S6" s="36">
        <v>3</v>
      </c>
      <c r="T6" s="36"/>
      <c r="U6" s="36" t="s">
        <v>332</v>
      </c>
    </row>
    <row r="7" spans="1:27" s="34" customFormat="1" ht="15" thickBot="1" x14ac:dyDescent="0.2">
      <c r="A7" s="35" t="s">
        <v>333</v>
      </c>
      <c r="B7" s="978" t="s">
        <v>126</v>
      </c>
      <c r="C7" s="980"/>
      <c r="D7" s="980"/>
      <c r="E7" s="979"/>
      <c r="F7" s="976" t="s">
        <v>334</v>
      </c>
      <c r="G7" s="977"/>
      <c r="H7" s="977"/>
      <c r="I7" s="977"/>
      <c r="J7" s="44"/>
      <c r="K7" s="42">
        <v>4</v>
      </c>
      <c r="L7" s="36" t="s">
        <v>323</v>
      </c>
      <c r="M7" s="43" t="s">
        <v>335</v>
      </c>
      <c r="N7" s="43" t="s">
        <v>336</v>
      </c>
      <c r="O7" s="36">
        <v>3</v>
      </c>
      <c r="P7" s="36">
        <v>168</v>
      </c>
      <c r="Q7" s="36">
        <v>51</v>
      </c>
      <c r="R7" s="36">
        <v>7</v>
      </c>
      <c r="S7" s="36">
        <v>20</v>
      </c>
      <c r="T7" s="36"/>
      <c r="U7" s="36" t="s">
        <v>337</v>
      </c>
    </row>
    <row r="8" spans="1:27" s="34" customFormat="1" ht="15" thickBot="1" x14ac:dyDescent="0.2">
      <c r="A8" s="35" t="s">
        <v>338</v>
      </c>
      <c r="B8" s="45" t="s">
        <v>339</v>
      </c>
      <c r="C8" s="46" t="s">
        <v>340</v>
      </c>
      <c r="D8" s="45" t="s">
        <v>341</v>
      </c>
      <c r="E8" s="46" t="s">
        <v>340</v>
      </c>
      <c r="F8" s="45" t="s">
        <v>342</v>
      </c>
      <c r="G8" s="37"/>
      <c r="H8" s="37"/>
      <c r="I8" s="37"/>
      <c r="J8" s="37"/>
      <c r="K8" s="42">
        <v>5</v>
      </c>
      <c r="L8" s="36" t="s">
        <v>323</v>
      </c>
      <c r="M8" s="43" t="s">
        <v>343</v>
      </c>
      <c r="N8" s="43" t="s">
        <v>344</v>
      </c>
      <c r="O8" s="36">
        <v>3</v>
      </c>
      <c r="P8" s="36">
        <v>173</v>
      </c>
      <c r="Q8" s="36">
        <v>65</v>
      </c>
      <c r="R8" s="36">
        <v>9</v>
      </c>
      <c r="S8" s="36">
        <v>8</v>
      </c>
      <c r="T8" s="36"/>
      <c r="U8" s="36" t="s">
        <v>345</v>
      </c>
    </row>
    <row r="9" spans="1:27" s="34" customFormat="1" ht="15" thickBot="1" x14ac:dyDescent="0.2">
      <c r="A9" s="35" t="s">
        <v>346</v>
      </c>
      <c r="B9" s="45" t="s">
        <v>339</v>
      </c>
      <c r="C9" s="46" t="s">
        <v>340</v>
      </c>
      <c r="D9" s="45" t="s">
        <v>341</v>
      </c>
      <c r="E9" s="46" t="s">
        <v>340</v>
      </c>
      <c r="F9" s="45" t="s">
        <v>347</v>
      </c>
      <c r="G9" s="37"/>
      <c r="H9" s="37"/>
      <c r="I9" s="37"/>
      <c r="J9" s="37"/>
      <c r="K9" s="42">
        <v>6</v>
      </c>
      <c r="L9" s="36" t="s">
        <v>323</v>
      </c>
      <c r="M9" s="43" t="s">
        <v>348</v>
      </c>
      <c r="N9" s="43" t="s">
        <v>349</v>
      </c>
      <c r="O9" s="36">
        <v>3</v>
      </c>
      <c r="P9" s="36">
        <v>167</v>
      </c>
      <c r="Q9" s="36">
        <v>49</v>
      </c>
      <c r="R9" s="36">
        <v>5</v>
      </c>
      <c r="S9" s="36">
        <v>29</v>
      </c>
      <c r="T9" s="36"/>
      <c r="U9" s="36" t="s">
        <v>350</v>
      </c>
    </row>
    <row r="10" spans="1:27" s="34" customFormat="1" ht="15" thickBot="1" x14ac:dyDescent="0.2">
      <c r="A10" s="35" t="s">
        <v>351</v>
      </c>
      <c r="B10" s="45" t="s">
        <v>352</v>
      </c>
      <c r="C10" s="46" t="s">
        <v>340</v>
      </c>
      <c r="D10" s="45" t="s">
        <v>353</v>
      </c>
      <c r="E10" s="37"/>
      <c r="F10" s="37"/>
      <c r="G10" s="37"/>
      <c r="H10" s="37"/>
      <c r="I10" s="37"/>
      <c r="J10" s="37"/>
      <c r="K10" s="42">
        <v>7</v>
      </c>
      <c r="L10" s="36" t="s">
        <v>354</v>
      </c>
      <c r="M10" s="43" t="s">
        <v>355</v>
      </c>
      <c r="N10" s="43" t="s">
        <v>356</v>
      </c>
      <c r="O10" s="36">
        <v>2</v>
      </c>
      <c r="P10" s="36">
        <v>162</v>
      </c>
      <c r="Q10" s="36">
        <v>51</v>
      </c>
      <c r="R10" s="36">
        <v>11</v>
      </c>
      <c r="S10" s="36">
        <v>17</v>
      </c>
      <c r="T10" s="36"/>
      <c r="U10" s="36" t="s">
        <v>357</v>
      </c>
    </row>
    <row r="11" spans="1:27" s="34" customFormat="1" ht="15" thickBot="1" x14ac:dyDescent="0.2">
      <c r="A11" s="35" t="s">
        <v>358</v>
      </c>
      <c r="B11" s="981" t="s">
        <v>359</v>
      </c>
      <c r="C11" s="980"/>
      <c r="D11" s="980"/>
      <c r="E11" s="980"/>
      <c r="F11" s="980"/>
      <c r="G11" s="979"/>
      <c r="H11" s="37"/>
      <c r="I11" s="37"/>
      <c r="J11" s="37"/>
      <c r="K11" s="42">
        <v>8</v>
      </c>
      <c r="L11" s="36" t="s">
        <v>354</v>
      </c>
      <c r="M11" s="43" t="s">
        <v>360</v>
      </c>
      <c r="N11" s="43" t="s">
        <v>361</v>
      </c>
      <c r="O11" s="36">
        <v>3</v>
      </c>
      <c r="P11" s="36">
        <v>164</v>
      </c>
      <c r="Q11" s="36">
        <v>51</v>
      </c>
      <c r="R11" s="36">
        <v>10</v>
      </c>
      <c r="S11" s="36">
        <v>25</v>
      </c>
      <c r="T11" s="36"/>
      <c r="U11" s="36" t="s">
        <v>362</v>
      </c>
    </row>
    <row r="12" spans="1:27" s="34" customFormat="1" ht="15" thickBot="1" x14ac:dyDescent="0.2">
      <c r="A12" s="35" t="s">
        <v>363</v>
      </c>
      <c r="B12" s="978" t="s">
        <v>364</v>
      </c>
      <c r="C12" s="979"/>
      <c r="D12" s="37"/>
      <c r="E12" s="37"/>
      <c r="F12" s="37"/>
      <c r="G12" s="37"/>
      <c r="H12" s="37"/>
      <c r="I12" s="37"/>
      <c r="J12" s="37"/>
      <c r="K12" s="42">
        <v>9</v>
      </c>
      <c r="L12" s="36" t="s">
        <v>365</v>
      </c>
      <c r="M12" s="43" t="s">
        <v>366</v>
      </c>
      <c r="N12" s="43" t="s">
        <v>367</v>
      </c>
      <c r="O12" s="36">
        <v>3</v>
      </c>
      <c r="P12" s="36">
        <v>169</v>
      </c>
      <c r="Q12" s="36">
        <v>55</v>
      </c>
      <c r="R12" s="36">
        <v>9</v>
      </c>
      <c r="S12" s="36">
        <v>9</v>
      </c>
      <c r="T12" s="36"/>
      <c r="U12" s="36" t="s">
        <v>368</v>
      </c>
    </row>
    <row r="13" spans="1:27" s="34" customFormat="1" ht="15" customHeight="1" thickBot="1" x14ac:dyDescent="0.2">
      <c r="A13" s="35" t="s">
        <v>369</v>
      </c>
      <c r="B13" s="978" t="s">
        <v>370</v>
      </c>
      <c r="C13" s="979"/>
      <c r="D13" s="982" t="str">
        <f>IF(OR(B13=B14,B13=B15,B13=B16),"","（注意）ベンチ入りできません。")</f>
        <v>（注意）ベンチ入りできません。</v>
      </c>
      <c r="E13" s="983"/>
      <c r="F13" s="983"/>
      <c r="G13" s="983"/>
      <c r="H13" s="983"/>
      <c r="I13" s="983"/>
      <c r="J13" s="37"/>
      <c r="K13" s="42">
        <v>10</v>
      </c>
      <c r="L13" s="36" t="s">
        <v>354</v>
      </c>
      <c r="M13" s="43" t="s">
        <v>371</v>
      </c>
      <c r="N13" s="43" t="s">
        <v>372</v>
      </c>
      <c r="O13" s="36">
        <v>3</v>
      </c>
      <c r="P13" s="36">
        <v>175</v>
      </c>
      <c r="Q13" s="36">
        <v>55</v>
      </c>
      <c r="R13" s="36">
        <v>10</v>
      </c>
      <c r="S13" s="36">
        <v>19</v>
      </c>
      <c r="T13" s="36">
        <v>1</v>
      </c>
      <c r="U13" s="36" t="s">
        <v>350</v>
      </c>
    </row>
    <row r="14" spans="1:27" s="34" customFormat="1" ht="15" thickBot="1" x14ac:dyDescent="0.2">
      <c r="A14" s="35" t="s">
        <v>373</v>
      </c>
      <c r="B14" s="978" t="s">
        <v>374</v>
      </c>
      <c r="C14" s="979"/>
      <c r="D14" s="48"/>
      <c r="E14" s="49"/>
      <c r="F14" s="49"/>
      <c r="G14" s="49"/>
      <c r="H14" s="49"/>
      <c r="I14" s="37"/>
      <c r="J14" s="37"/>
      <c r="K14" s="42">
        <v>11</v>
      </c>
      <c r="L14" s="36" t="s">
        <v>365</v>
      </c>
      <c r="M14" s="43" t="s">
        <v>375</v>
      </c>
      <c r="N14" s="43" t="s">
        <v>376</v>
      </c>
      <c r="O14" s="36">
        <v>3</v>
      </c>
      <c r="P14" s="36">
        <v>158</v>
      </c>
      <c r="Q14" s="36">
        <v>47</v>
      </c>
      <c r="R14" s="36">
        <v>6</v>
      </c>
      <c r="S14" s="36">
        <v>27</v>
      </c>
      <c r="T14" s="36"/>
      <c r="U14" s="36" t="s">
        <v>350</v>
      </c>
    </row>
    <row r="15" spans="1:27" s="34" customFormat="1" ht="15" thickBot="1" x14ac:dyDescent="0.2">
      <c r="A15" s="35" t="s">
        <v>377</v>
      </c>
      <c r="B15" s="978" t="s">
        <v>378</v>
      </c>
      <c r="C15" s="979"/>
      <c r="D15" s="36" t="s">
        <v>379</v>
      </c>
      <c r="E15" s="976" t="s">
        <v>380</v>
      </c>
      <c r="F15" s="977"/>
      <c r="G15" s="977"/>
      <c r="H15" s="977"/>
      <c r="I15" s="977"/>
      <c r="J15" s="44"/>
      <c r="K15" s="55">
        <v>12</v>
      </c>
      <c r="L15" s="56" t="s">
        <v>354</v>
      </c>
      <c r="M15" s="57" t="s">
        <v>381</v>
      </c>
      <c r="N15" s="57" t="s">
        <v>382</v>
      </c>
      <c r="O15" s="56">
        <v>3</v>
      </c>
      <c r="P15" s="56">
        <v>159</v>
      </c>
      <c r="Q15" s="56">
        <v>45</v>
      </c>
      <c r="R15" s="56">
        <v>6</v>
      </c>
      <c r="S15" s="56">
        <v>12</v>
      </c>
      <c r="T15" s="56"/>
      <c r="U15" s="56" t="s">
        <v>383</v>
      </c>
    </row>
    <row r="16" spans="1:27" s="34" customFormat="1" ht="15" thickBot="1" x14ac:dyDescent="0.2">
      <c r="A16" s="35" t="s">
        <v>384</v>
      </c>
      <c r="B16" s="978" t="s">
        <v>385</v>
      </c>
      <c r="C16" s="979"/>
      <c r="D16" s="36" t="s">
        <v>386</v>
      </c>
      <c r="E16" s="976" t="s">
        <v>387</v>
      </c>
      <c r="F16" s="977"/>
      <c r="G16" s="977"/>
      <c r="H16" s="977"/>
      <c r="I16" s="977"/>
      <c r="J16" s="44"/>
      <c r="K16" s="42">
        <v>13</v>
      </c>
      <c r="L16" s="36" t="s">
        <v>354</v>
      </c>
      <c r="M16" s="43" t="s">
        <v>388</v>
      </c>
      <c r="N16" s="43" t="s">
        <v>389</v>
      </c>
      <c r="O16" s="36">
        <v>3</v>
      </c>
      <c r="P16" s="36">
        <v>172</v>
      </c>
      <c r="Q16" s="36">
        <v>54</v>
      </c>
      <c r="R16" s="36">
        <v>6</v>
      </c>
      <c r="S16" s="36">
        <v>11</v>
      </c>
      <c r="T16" s="36"/>
      <c r="U16" s="36" t="s">
        <v>332</v>
      </c>
    </row>
    <row r="17" spans="1:21" s="34" customFormat="1" ht="15" thickBot="1" x14ac:dyDescent="0.2">
      <c r="A17" s="37"/>
      <c r="B17" s="984" t="s">
        <v>390</v>
      </c>
      <c r="C17" s="980"/>
      <c r="D17" s="985" t="s">
        <v>391</v>
      </c>
      <c r="E17" s="986"/>
      <c r="F17" s="985" t="s">
        <v>392</v>
      </c>
      <c r="G17" s="986"/>
      <c r="H17" s="985" t="s">
        <v>393</v>
      </c>
      <c r="I17" s="986"/>
      <c r="J17" s="44"/>
      <c r="K17" s="42">
        <v>14</v>
      </c>
      <c r="L17" s="36" t="s">
        <v>365</v>
      </c>
      <c r="M17" s="43" t="s">
        <v>394</v>
      </c>
      <c r="N17" s="43" t="s">
        <v>395</v>
      </c>
      <c r="O17" s="36">
        <v>2</v>
      </c>
      <c r="P17" s="36">
        <v>168</v>
      </c>
      <c r="Q17" s="36">
        <v>52</v>
      </c>
      <c r="R17" s="36">
        <v>8</v>
      </c>
      <c r="S17" s="36">
        <v>15</v>
      </c>
      <c r="T17" s="36"/>
      <c r="U17" s="36" t="s">
        <v>396</v>
      </c>
    </row>
    <row r="18" spans="1:21" s="34" customFormat="1" ht="15" thickBot="1" x14ac:dyDescent="0.2">
      <c r="A18" s="35" t="s">
        <v>397</v>
      </c>
      <c r="B18" s="978" t="s">
        <v>398</v>
      </c>
      <c r="C18" s="979"/>
      <c r="D18" s="978" t="s">
        <v>399</v>
      </c>
      <c r="E18" s="979"/>
      <c r="F18" s="978" t="s">
        <v>400</v>
      </c>
      <c r="G18" s="979"/>
      <c r="H18" s="978" t="s">
        <v>401</v>
      </c>
      <c r="I18" s="979"/>
      <c r="J18" s="50"/>
      <c r="K18" s="42">
        <v>15</v>
      </c>
      <c r="L18" s="36" t="s">
        <v>365</v>
      </c>
      <c r="M18" s="43" t="s">
        <v>402</v>
      </c>
      <c r="N18" s="43" t="s">
        <v>403</v>
      </c>
      <c r="O18" s="36">
        <v>3</v>
      </c>
      <c r="P18" s="36">
        <v>164</v>
      </c>
      <c r="Q18" s="36">
        <v>54</v>
      </c>
      <c r="R18" s="36">
        <v>9</v>
      </c>
      <c r="S18" s="36">
        <v>21</v>
      </c>
      <c r="T18" s="36"/>
      <c r="U18" s="36" t="s">
        <v>404</v>
      </c>
    </row>
    <row r="19" spans="1:21" s="34" customFormat="1" ht="15" thickBot="1" x14ac:dyDescent="0.2">
      <c r="A19" s="35" t="s">
        <v>405</v>
      </c>
      <c r="B19" s="978" t="s">
        <v>33</v>
      </c>
      <c r="C19" s="979"/>
      <c r="D19" s="978" t="s">
        <v>399</v>
      </c>
      <c r="E19" s="979"/>
      <c r="F19" s="978" t="s">
        <v>406</v>
      </c>
      <c r="G19" s="979"/>
      <c r="H19" s="978" t="s">
        <v>401</v>
      </c>
      <c r="I19" s="979"/>
      <c r="J19" s="50"/>
      <c r="K19" s="42">
        <v>16</v>
      </c>
      <c r="L19" s="36" t="s">
        <v>323</v>
      </c>
      <c r="M19" s="43" t="s">
        <v>407</v>
      </c>
      <c r="N19" s="43" t="s">
        <v>408</v>
      </c>
      <c r="O19" s="36">
        <v>2</v>
      </c>
      <c r="P19" s="36">
        <v>171</v>
      </c>
      <c r="Q19" s="36">
        <v>65</v>
      </c>
      <c r="R19" s="36">
        <v>7</v>
      </c>
      <c r="S19" s="36">
        <v>23</v>
      </c>
      <c r="T19" s="36"/>
      <c r="U19" s="36" t="s">
        <v>409</v>
      </c>
    </row>
    <row r="20" spans="1:21" s="34" customFormat="1" ht="15" thickBot="1" x14ac:dyDescent="0.2">
      <c r="A20" s="35" t="s">
        <v>410</v>
      </c>
      <c r="B20" s="978" t="s">
        <v>398</v>
      </c>
      <c r="C20" s="979"/>
      <c r="D20" s="978" t="s">
        <v>399</v>
      </c>
      <c r="E20" s="979"/>
      <c r="F20" s="978" t="s">
        <v>400</v>
      </c>
      <c r="G20" s="979"/>
      <c r="H20" s="978" t="s">
        <v>401</v>
      </c>
      <c r="I20" s="979"/>
      <c r="J20" s="50"/>
      <c r="K20" s="42">
        <v>17</v>
      </c>
      <c r="L20" s="36" t="s">
        <v>317</v>
      </c>
      <c r="M20" s="43" t="s">
        <v>411</v>
      </c>
      <c r="N20" s="43" t="s">
        <v>412</v>
      </c>
      <c r="O20" s="36">
        <v>3</v>
      </c>
      <c r="P20" s="36">
        <v>168</v>
      </c>
      <c r="Q20" s="36">
        <v>58</v>
      </c>
      <c r="R20" s="36">
        <v>2</v>
      </c>
      <c r="S20" s="36">
        <v>25</v>
      </c>
      <c r="T20" s="36"/>
      <c r="U20" s="36" t="s">
        <v>368</v>
      </c>
    </row>
    <row r="21" spans="1:21" s="34" customFormat="1" ht="15" thickBot="1" x14ac:dyDescent="0.2">
      <c r="B21" s="51" t="str">
        <f>IF(AND(COUNTIF($B$18:$I$18,"黒")=0,COUNTIF($B$18:$I$18,"黒色")=0,COUNTIF($B$18:$I$18,"紺")=0,COUNTIF($B$18:$I$18,"紺色")=0,COUNTIF($B$18:$I$18,"ネイビー")=0),"","（注意） シャツに黒・紺色は使えません。")</f>
        <v/>
      </c>
      <c r="K21" s="42">
        <v>18</v>
      </c>
      <c r="L21" s="36" t="s">
        <v>354</v>
      </c>
      <c r="M21" s="43" t="s">
        <v>413</v>
      </c>
      <c r="N21" s="43" t="s">
        <v>414</v>
      </c>
      <c r="O21" s="36">
        <v>2</v>
      </c>
      <c r="P21" s="36">
        <v>158</v>
      </c>
      <c r="Q21" s="36">
        <v>45</v>
      </c>
      <c r="R21" s="36">
        <v>4</v>
      </c>
      <c r="S21" s="36">
        <v>2</v>
      </c>
      <c r="T21" s="36"/>
      <c r="U21" s="36" t="s">
        <v>415</v>
      </c>
    </row>
    <row r="22" spans="1:21" s="34" customFormat="1" ht="12" x14ac:dyDescent="0.15">
      <c r="B22" s="987" t="str">
        <f>IF(AND(B18&lt;&gt;D18,B18&lt;&gt;F18,B18&lt;&gt;H18,D18&lt;&gt;F18,D18&lt;&gt;H18,F18&lt;&gt;H18)=TRUE,"","（注意） "&amp;A18&amp;"が重複しています。")</f>
        <v/>
      </c>
      <c r="C22" s="988"/>
      <c r="D22" s="988"/>
      <c r="E22" s="988"/>
      <c r="F22" s="988"/>
      <c r="G22" s="988"/>
      <c r="H22" s="988"/>
      <c r="I22" s="988"/>
      <c r="J22" s="53"/>
      <c r="K22" s="989" t="s">
        <v>416</v>
      </c>
      <c r="L22" s="990"/>
      <c r="M22" s="991"/>
      <c r="N22" s="992" t="s">
        <v>417</v>
      </c>
      <c r="O22" s="993"/>
      <c r="P22" s="993"/>
      <c r="Q22" s="993"/>
      <c r="R22" s="993"/>
      <c r="S22" s="993"/>
      <c r="T22" s="994"/>
    </row>
    <row r="23" spans="1:21" s="34" customFormat="1" ht="12" x14ac:dyDescent="0.15">
      <c r="B23" s="987" t="str">
        <f>IF(AND(B19&lt;&gt;D19,B19&lt;&gt;F19,B19&lt;&gt;H19,D19&lt;&gt;F19,D19&lt;&gt;H19,F19&lt;&gt;H19)=TRUE,"","（注意） "&amp;A19&amp;"が重複しています。")</f>
        <v/>
      </c>
      <c r="C23" s="988"/>
      <c r="D23" s="988"/>
      <c r="E23" s="988"/>
      <c r="F23" s="988"/>
      <c r="G23" s="988"/>
      <c r="H23" s="988"/>
      <c r="I23" s="988"/>
      <c r="J23" s="53"/>
      <c r="K23" s="990"/>
      <c r="L23" s="990"/>
      <c r="M23" s="991"/>
      <c r="N23" s="995"/>
      <c r="O23" s="996"/>
      <c r="P23" s="996"/>
      <c r="Q23" s="996"/>
      <c r="R23" s="996"/>
      <c r="S23" s="996"/>
      <c r="T23" s="997"/>
    </row>
    <row r="24" spans="1:21" s="34" customFormat="1" ht="52.5" customHeight="1" thickBot="1" x14ac:dyDescent="0.2">
      <c r="B24" s="1001" t="str">
        <f>IF(AND(B20&lt;&gt;D20,B20&lt;&gt;F20,B20&lt;&gt;H20,D20&lt;&gt;F20,D20&lt;&gt;H20,F20&lt;&gt;H20)=TRUE,"","（注意） "&amp;A20&amp;"が重複しています。")</f>
        <v/>
      </c>
      <c r="C24" s="1002"/>
      <c r="D24" s="1002"/>
      <c r="E24" s="1002"/>
      <c r="F24" s="1002"/>
      <c r="G24" s="1002"/>
      <c r="H24" s="1002"/>
      <c r="I24" s="1002"/>
      <c r="J24" s="53"/>
      <c r="K24" s="1003" t="str">
        <f>IF(N22="","必ず、記入して下さい。","")</f>
        <v/>
      </c>
      <c r="L24" s="1003"/>
      <c r="M24" s="1004"/>
      <c r="N24" s="998"/>
      <c r="O24" s="999"/>
      <c r="P24" s="999"/>
      <c r="Q24" s="999"/>
      <c r="R24" s="999"/>
      <c r="S24" s="999"/>
      <c r="T24" s="1000"/>
    </row>
    <row r="25" spans="1:21" s="34" customFormat="1" ht="14.25" customHeight="1" x14ac:dyDescent="0.15"/>
    <row r="26" spans="1:21" s="34" customFormat="1" ht="14.25" customHeight="1" x14ac:dyDescent="0.15">
      <c r="K26" s="32"/>
      <c r="L26" s="32"/>
      <c r="M26" s="32"/>
      <c r="N26" s="32"/>
      <c r="O26" s="32"/>
      <c r="P26" s="32"/>
      <c r="Q26" s="32"/>
      <c r="R26" s="32"/>
    </row>
    <row r="27" spans="1:21" s="34" customFormat="1" ht="14.25" customHeight="1" x14ac:dyDescent="0.15">
      <c r="K27" s="32"/>
      <c r="L27" s="32"/>
      <c r="M27" s="32"/>
      <c r="N27" s="32"/>
      <c r="O27" s="32"/>
      <c r="P27" s="32"/>
      <c r="Q27" s="32"/>
      <c r="R27" s="32"/>
    </row>
    <row r="28" spans="1:21" s="34" customFormat="1" ht="14.25" customHeight="1" x14ac:dyDescent="0.15">
      <c r="K28" s="32"/>
      <c r="L28" s="32"/>
      <c r="M28" s="32"/>
      <c r="N28" s="32"/>
      <c r="O28" s="32"/>
      <c r="P28" s="32"/>
      <c r="Q28" s="32"/>
      <c r="R28" s="32"/>
    </row>
    <row r="29" spans="1:21" ht="14.25" customHeight="1" x14ac:dyDescent="0.15"/>
    <row r="30" spans="1:21" x14ac:dyDescent="0.15">
      <c r="B30" s="52"/>
    </row>
    <row r="31" spans="1:21" x14ac:dyDescent="0.15">
      <c r="B31" s="52"/>
    </row>
    <row r="32" spans="1:21" x14ac:dyDescent="0.15">
      <c r="B32" s="52"/>
    </row>
    <row r="33" spans="2:2" x14ac:dyDescent="0.15">
      <c r="B33" s="52"/>
    </row>
    <row r="34" spans="2:2" x14ac:dyDescent="0.15">
      <c r="B34" s="52"/>
    </row>
    <row r="35" spans="2:2" x14ac:dyDescent="0.15">
      <c r="B35" s="52"/>
    </row>
    <row r="36" spans="2:2" x14ac:dyDescent="0.15">
      <c r="B36" s="52"/>
    </row>
    <row r="37" spans="2:2" x14ac:dyDescent="0.15">
      <c r="B37" s="52"/>
    </row>
    <row r="38" spans="2:2" x14ac:dyDescent="0.15">
      <c r="B38" s="52"/>
    </row>
    <row r="39" spans="2:2" x14ac:dyDescent="0.15">
      <c r="B39" s="52"/>
    </row>
    <row r="40" spans="2:2" x14ac:dyDescent="0.15">
      <c r="B40" s="52"/>
    </row>
    <row r="41" spans="2:2" x14ac:dyDescent="0.15">
      <c r="B41" s="52"/>
    </row>
    <row r="42" spans="2:2" x14ac:dyDescent="0.15">
      <c r="B42" s="52"/>
    </row>
    <row r="43" spans="2:2" x14ac:dyDescent="0.15">
      <c r="B43" s="52"/>
    </row>
    <row r="44" spans="2:2" x14ac:dyDescent="0.15">
      <c r="B44" s="52"/>
    </row>
    <row r="45" spans="2:2" x14ac:dyDescent="0.15">
      <c r="B45" s="52"/>
    </row>
    <row r="46" spans="2:2" x14ac:dyDescent="0.15">
      <c r="B46" s="52"/>
    </row>
    <row r="47" spans="2:2" x14ac:dyDescent="0.15">
      <c r="B47" s="52"/>
    </row>
    <row r="48" spans="2:2" x14ac:dyDescent="0.15">
      <c r="B48" s="52"/>
    </row>
    <row r="49" spans="2:2" x14ac:dyDescent="0.15">
      <c r="B49" s="52"/>
    </row>
    <row r="50" spans="2:2" x14ac:dyDescent="0.15">
      <c r="B50" s="52"/>
    </row>
    <row r="51" spans="2:2" x14ac:dyDescent="0.15">
      <c r="B51" s="52"/>
    </row>
    <row r="52" spans="2:2" x14ac:dyDescent="0.15">
      <c r="B52" s="52"/>
    </row>
    <row r="53" spans="2:2" x14ac:dyDescent="0.15">
      <c r="B53" s="52"/>
    </row>
    <row r="54" spans="2:2" x14ac:dyDescent="0.15">
      <c r="B54" s="52"/>
    </row>
    <row r="55" spans="2:2" x14ac:dyDescent="0.15">
      <c r="B55" s="52"/>
    </row>
    <row r="56" spans="2:2" x14ac:dyDescent="0.15">
      <c r="B56" s="52"/>
    </row>
    <row r="57" spans="2:2" x14ac:dyDescent="0.15">
      <c r="B57" s="52"/>
    </row>
    <row r="58" spans="2:2" x14ac:dyDescent="0.15">
      <c r="B58" s="52"/>
    </row>
    <row r="59" spans="2:2" x14ac:dyDescent="0.15">
      <c r="B59" s="52"/>
    </row>
    <row r="60" spans="2:2" x14ac:dyDescent="0.15">
      <c r="B60" s="52"/>
    </row>
    <row r="61" spans="2:2" x14ac:dyDescent="0.15">
      <c r="B61" s="52"/>
    </row>
    <row r="62" spans="2:2" x14ac:dyDescent="0.15">
      <c r="B62" s="52"/>
    </row>
    <row r="63" spans="2:2" x14ac:dyDescent="0.15">
      <c r="B63" s="52"/>
    </row>
    <row r="64" spans="2:2" x14ac:dyDescent="0.15">
      <c r="B64" s="52"/>
    </row>
    <row r="65" spans="2:2" x14ac:dyDescent="0.15">
      <c r="B65" s="52"/>
    </row>
    <row r="66" spans="2:2" x14ac:dyDescent="0.15">
      <c r="B66" s="52"/>
    </row>
    <row r="67" spans="2:2" x14ac:dyDescent="0.15">
      <c r="B67" s="52"/>
    </row>
    <row r="68" spans="2:2" x14ac:dyDescent="0.15">
      <c r="B68" s="52"/>
    </row>
    <row r="69" spans="2:2" x14ac:dyDescent="0.15">
      <c r="B69" s="52"/>
    </row>
    <row r="70" spans="2:2" x14ac:dyDescent="0.15">
      <c r="B70" s="52"/>
    </row>
    <row r="71" spans="2:2" x14ac:dyDescent="0.15">
      <c r="B71" s="52"/>
    </row>
    <row r="72" spans="2:2" x14ac:dyDescent="0.15">
      <c r="B72" s="52"/>
    </row>
    <row r="73" spans="2:2" x14ac:dyDescent="0.15">
      <c r="B73" s="52"/>
    </row>
    <row r="74" spans="2:2" x14ac:dyDescent="0.15">
      <c r="B74" s="52"/>
    </row>
    <row r="75" spans="2:2" x14ac:dyDescent="0.15">
      <c r="B75" s="52"/>
    </row>
    <row r="76" spans="2:2" x14ac:dyDescent="0.15">
      <c r="B76" s="52"/>
    </row>
  </sheetData>
  <mergeCells count="41">
    <mergeCell ref="B22:I22"/>
    <mergeCell ref="K22:M23"/>
    <mergeCell ref="N22:T24"/>
    <mergeCell ref="B23:I23"/>
    <mergeCell ref="B24:I24"/>
    <mergeCell ref="K24:M24"/>
    <mergeCell ref="B19:C19"/>
    <mergeCell ref="D19:E19"/>
    <mergeCell ref="F19:G19"/>
    <mergeCell ref="H19:I19"/>
    <mergeCell ref="B20:C20"/>
    <mergeCell ref="D20:E20"/>
    <mergeCell ref="F20:G20"/>
    <mergeCell ref="H20:I20"/>
    <mergeCell ref="B17:C17"/>
    <mergeCell ref="D17:E17"/>
    <mergeCell ref="F17:G17"/>
    <mergeCell ref="H17:I17"/>
    <mergeCell ref="B18:C18"/>
    <mergeCell ref="D18:E18"/>
    <mergeCell ref="F18:G18"/>
    <mergeCell ref="H18:I18"/>
    <mergeCell ref="B16:C16"/>
    <mergeCell ref="E16:I16"/>
    <mergeCell ref="B6:E6"/>
    <mergeCell ref="F6:I6"/>
    <mergeCell ref="B7:E7"/>
    <mergeCell ref="F7:I7"/>
    <mergeCell ref="B11:G11"/>
    <mergeCell ref="B12:C12"/>
    <mergeCell ref="B13:C13"/>
    <mergeCell ref="D13:I13"/>
    <mergeCell ref="B14:C14"/>
    <mergeCell ref="B15:C15"/>
    <mergeCell ref="E15:I15"/>
    <mergeCell ref="C5:I5"/>
    <mergeCell ref="A1:T1"/>
    <mergeCell ref="L2:Q2"/>
    <mergeCell ref="R2:S2"/>
    <mergeCell ref="E3:F3"/>
    <mergeCell ref="C4:I4"/>
  </mergeCells>
  <phoneticPr fontId="2"/>
  <dataValidations count="29">
    <dataValidation imeMode="hiragana" operator="lessThanOrEqual" allowBlank="1" showInputMessage="1" showErrorMessage="1" promptTitle="出身少年団" prompt="4種の時の出身少年団を入力して下さい。登録なしの場合は空欄でかまいません。全角５文字程度で入力して下さい。" sqref="U4" xr:uid="{00000000-0002-0000-1A00-000000000000}"/>
    <dataValidation type="list" imeMode="off" allowBlank="1" showErrorMessage="1" promptTitle="県体順位！" sqref="B5" xr:uid="{00000000-0002-0000-1A00-000001000000}">
      <formula1>"1,2,3"</formula1>
    </dataValidation>
    <dataValidation imeMode="hiragana" allowBlank="1" showInputMessage="1" showErrorMessage="1" promptTitle="出身少年団" prompt="4種の時の出身少年団を入力して下さい。登録なしの場合は空欄でかまいません。全角５文字程度で入力して下さい。" sqref="U5:U21" xr:uid="{00000000-0002-0000-1A00-000002000000}"/>
    <dataValidation type="whole" imeMode="off" allowBlank="1" showInputMessage="1" showErrorMessage="1" promptTitle="番号の入力！" prompt="番号は1～99の範囲で入力できます。" sqref="K4:K21" xr:uid="{00000000-0002-0000-1A00-000003000000}">
      <formula1>1</formula1>
      <formula2>99</formula2>
    </dataValidation>
    <dataValidation type="list" allowBlank="1" showInputMessage="1" showErrorMessage="1" sqref="D3" xr:uid="{00000000-0002-0000-1A00-000004000000}">
      <formula1>"新潟,長野,富山,石川,福井"</formula1>
    </dataValidation>
    <dataValidation type="list" imeMode="off" allowBlank="1" showInputMessage="1" showErrorMessage="1" sqref="T4:T21" xr:uid="{00000000-0002-0000-1A00-000005000000}">
      <formula1>"1"</formula1>
    </dataValidation>
    <dataValidation type="list" imeMode="on" allowBlank="1" showInputMessage="1" showErrorMessage="1" promptTitle="コーチの種別！" prompt="教員、承認コーチの別を選択し、入力して下さい。" sqref="D15" xr:uid="{00000000-0002-0000-1A00-000006000000}">
      <formula1>"教員,承認"</formula1>
    </dataValidation>
    <dataValidation type="textLength" imeMode="off" allowBlank="1" showInputMessage="1" showErrorMessage="1" sqref="F8:F9 D10" xr:uid="{00000000-0002-0000-1A00-000007000000}">
      <formula1>4</formula1>
      <formula2>4</formula2>
    </dataValidation>
    <dataValidation type="list" imeMode="off" allowBlank="1" showInputMessage="1" showErrorMessage="1" promptTitle="ポジションの入力！" prompt="ポジションをGK,DF,MF,FWから選択し、半角大文字で入力して下さい。" sqref="L4:L21" xr:uid="{00000000-0002-0000-1A00-000008000000}">
      <formula1>"GK,DF,MF,FW"</formula1>
    </dataValidation>
    <dataValidation imeMode="off" allowBlank="1" showInputMessage="1" showErrorMessage="1" sqref="D8:D9 B8:B10 R4:S21" xr:uid="{00000000-0002-0000-1A00-000009000000}"/>
    <dataValidation imeMode="on" allowBlank="1" showInputMessage="1" showErrorMessage="1" promptTitle="チーム紹介の入力！" prompt="プログラム作成用に必ず入力して下さい。" sqref="N22:T24" xr:uid="{00000000-0002-0000-1A00-00000A000000}"/>
    <dataValidation imeMode="off" allowBlank="1" showInputMessage="1" showErrorMessage="1" promptTitle="身長・体重の入力！" prompt="身長・体重は、半角数字で、「整数」で入力して下さい。" sqref="P4:Q21" xr:uid="{00000000-0002-0000-1A00-00000B000000}"/>
    <dataValidation imeMode="on" allowBlank="1" showInputMessage="1" showErrorMessage="1" promptTitle="マネージャー氏名の入力！" prompt="教員・生徒のどちらでも登録できます。_x000a__x000a_姓と名の間には、スペースを必ず「ひとつだけ」入れて下さい。" sqref="B16:C16" xr:uid="{00000000-0002-0000-1A00-00000C000000}"/>
    <dataValidation imeMode="on" allowBlank="1" showInputMessage="1" showErrorMessage="1" promptTitle="コーチ氏名の入力！" prompt="学校の教員および、承認されたコーチのみ登録できます。_x000a__x000a_姓と名の間には、スペースを必ず「ひとつだけ」入れて下さい。" sqref="B15:C15" xr:uid="{00000000-0002-0000-1A00-00000D000000}"/>
    <dataValidation imeMode="on" allowBlank="1" showInputMessage="1" showErrorMessage="1" promptTitle="引率責任者氏名の入力！" prompt="引率責任者のみで登録された教員は、ベンチ入りできません。ただし、監督・コーチ・マネージャーと兼ねることはできます。_x000a__x000a_姓と名の間には、スペースを必ず「ひとつだけ」入れて下さい。" sqref="B13:C13" xr:uid="{00000000-0002-0000-1A00-00000E000000}"/>
    <dataValidation imeMode="on" allowBlank="1" showInputMessage="1" showErrorMessage="1" promptTitle="監督氏名の入力！" prompt="学校の教員および校長のみが監督になれます。_x000a__x000a_姓と名の間には、スペースを必ず「ひとつだけ」入れて下さい。" sqref="B14:C14" xr:uid="{00000000-0002-0000-1A00-00000F000000}"/>
    <dataValidation imeMode="on" allowBlank="1" showInputMessage="1" showErrorMessage="1" promptTitle="校長氏名の入力！" prompt="姓と名の間には、スペースを必ず「ひとつだけ」入れて下さい。" sqref="B12:C12" xr:uid="{00000000-0002-0000-1A00-000010000000}"/>
    <dataValidation imeMode="on" allowBlank="1" showInputMessage="1" showErrorMessage="1" promptTitle="ソックスの色！" prompt="ソックスの色（ＦＰ正、ＦＰ副、ＧＫ正、ＧＫ副）はすべて違う色でなければなりません。" sqref="B20:I20" xr:uid="{00000000-0002-0000-1A00-000011000000}"/>
    <dataValidation imeMode="on" allowBlank="1" showInputMessage="1" showErrorMessage="1" promptTitle="ショーツの色！" prompt="ショーツの色（ＦＰ正、ＦＰ副、ＧＫ正、ＧＫ副）はすべて違う色でなければなりません。" sqref="B19:I19" xr:uid="{00000000-0002-0000-1A00-000012000000}"/>
    <dataValidation imeMode="on" allowBlank="1" showInputMessage="1" showErrorMessage="1" promptTitle="シャツの色！" prompt="シャツに黒、紺色は使えません。_x000a__x000a_シャツの色（ＦＰ正、ＦＰ副、ＧＫ正、ＧＫ副）はすべて違う色でなければなりません。" sqref="B18:I18" xr:uid="{00000000-0002-0000-1A00-000013000000}"/>
    <dataValidation imeMode="on" allowBlank="1" showInputMessage="1" showErrorMessage="1" promptTitle="学校名（漢字）を入力！" prompt="正式名称（～立から。ただし、私立中学校は「私立」とは入力しない。）を「全角」で入力して下さい。_x000a__x000a_（最後の「中学校」は入力の必要はありません。）" sqref="B7:E7" xr:uid="{00000000-0002-0000-1A00-000014000000}"/>
    <dataValidation type="list" imeMode="on" allowBlank="1" showInputMessage="1" showErrorMessage="1" promptTitle="マネージャーの種別！" prompt="教員、生徒の別を選択し、入力して下さい。" sqref="D16" xr:uid="{00000000-0002-0000-1A00-000015000000}">
      <formula1>"教員,生徒"</formula1>
    </dataValidation>
    <dataValidation imeMode="on" allowBlank="1" showInputMessage="1" showErrorMessage="1" promptTitle="学校名（ひらがな）を入力！" prompt="正式名称をから「全角ひらがな」で入力して下さい。_x000a__x000a_（最後の「ちゅうがっこう」は入力はしないで下さい。）" sqref="B6:E6" xr:uid="{00000000-0002-0000-1A00-000016000000}"/>
    <dataValidation imeMode="on" allowBlank="1" showInputMessage="1" showErrorMessage="1" promptTitle="学校住所！" prompt="「石川県」は入力せず、郡市名から入力して下さい。" sqref="B11:G11" xr:uid="{00000000-0002-0000-1A00-000017000000}"/>
    <dataValidation imeMode="on" allowBlank="1" showInputMessage="1" showErrorMessage="1" promptTitle="選手氏名（ふりがな）の入力！" prompt="ふりがなを「全角ひらがな」で入力して下さい。_x000a_姓と名の間には、スペースを必ず「ひとつだけ」入れて下さい。" sqref="N4:N21" xr:uid="{00000000-0002-0000-1A00-000018000000}"/>
    <dataValidation type="list" imeMode="on" allowBlank="1" showInputMessage="1" showErrorMessage="1" promptTitle="予選大会！" prompt="予選が行われた地区（南加賀・北加賀・能登）を選択し、入力して下さい。" sqref="B3" xr:uid="{00000000-0002-0000-1A00-000019000000}">
      <formula1>"北加賀,南加賀,能登"</formula1>
    </dataValidation>
    <dataValidation imeMode="on" allowBlank="1" showInputMessage="1" showErrorMessage="1" promptTitle="氏名の入力！" prompt="姓と名の間には、スペースを必ず「ひとつだけ」入れて下さい。" sqref="M4:M21" xr:uid="{00000000-0002-0000-1A00-00001A000000}"/>
    <dataValidation type="list" imeMode="off" allowBlank="1" showInputMessage="1" showErrorMessage="1" promptTitle="学年の入力！" prompt="学年を半角数字で入力して下さい。" sqref="O4:O21" xr:uid="{00000000-0002-0000-1A00-00001B000000}">
      <formula1>"1,2,3"</formula1>
    </dataValidation>
    <dataValidation type="list" imeMode="off" allowBlank="1" showInputMessage="1" showErrorMessage="1" promptTitle="県体予選順位！" prompt="３位決定戦をしていない場合は２チームが「３位」に、５～８位決定戦をしていない場合は４チームが「５位」になります。" sqref="B4" xr:uid="{00000000-0002-0000-1A00-00001C000000}">
      <formula1>"1,2,3,4,5,6,7,8"</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70C0"/>
  </sheetPr>
  <dimension ref="A1:AA76"/>
  <sheetViews>
    <sheetView workbookViewId="0">
      <selection activeCell="Z25" sqref="Z25"/>
    </sheetView>
  </sheetViews>
  <sheetFormatPr defaultColWidth="12" defaultRowHeight="14.25" x14ac:dyDescent="0.15"/>
  <cols>
    <col min="1" max="1" width="10.875" style="32" customWidth="1"/>
    <col min="2" max="2" width="7.375" style="32" customWidth="1"/>
    <col min="3" max="3" width="1.875" style="32" customWidth="1"/>
    <col min="4" max="4" width="7.375" style="32" customWidth="1"/>
    <col min="5" max="5" width="1.875" style="32" customWidth="1"/>
    <col min="6" max="6" width="7.375" style="32" customWidth="1"/>
    <col min="7" max="7" width="1.875" style="32" customWidth="1"/>
    <col min="8" max="8" width="7.375" style="32" customWidth="1"/>
    <col min="9" max="10" width="2.375" style="32" customWidth="1"/>
    <col min="11" max="12" width="5" style="32" customWidth="1"/>
    <col min="13" max="13" width="11.125" style="32" customWidth="1"/>
    <col min="14" max="14" width="13.875" style="32" customWidth="1"/>
    <col min="15" max="19" width="5" style="32" customWidth="1"/>
    <col min="20" max="20" width="6.625" style="32" customWidth="1"/>
    <col min="21" max="21" width="10.125" style="32" customWidth="1"/>
    <col min="22" max="16384" width="12" style="32"/>
  </cols>
  <sheetData>
    <row r="1" spans="1:27" ht="36.75" customHeight="1" x14ac:dyDescent="0.2">
      <c r="A1" s="970" t="s">
        <v>300</v>
      </c>
      <c r="B1" s="971"/>
      <c r="C1" s="971"/>
      <c r="D1" s="971"/>
      <c r="E1" s="971"/>
      <c r="F1" s="971"/>
      <c r="G1" s="971"/>
      <c r="H1" s="971"/>
      <c r="I1" s="971"/>
      <c r="J1" s="971"/>
      <c r="K1" s="971"/>
      <c r="L1" s="971"/>
      <c r="M1" s="971"/>
      <c r="N1" s="971"/>
      <c r="O1" s="971"/>
      <c r="P1" s="971"/>
      <c r="Q1" s="971"/>
      <c r="R1" s="971"/>
      <c r="S1" s="971"/>
      <c r="T1" s="971"/>
      <c r="U1" s="31"/>
      <c r="V1" s="31"/>
    </row>
    <row r="2" spans="1:27" s="34" customFormat="1" ht="28.5" customHeight="1" thickBot="1" x14ac:dyDescent="0.2">
      <c r="A2" s="33" t="s">
        <v>301</v>
      </c>
      <c r="L2" s="972" t="str">
        <f>IF(COUNTA($T$4:$T$21)=0,"（注意） キャプテンに「１」を入力してください。","")</f>
        <v/>
      </c>
      <c r="M2" s="973"/>
      <c r="N2" s="973"/>
      <c r="O2" s="973"/>
      <c r="P2" s="973"/>
      <c r="Q2" s="973"/>
      <c r="R2" s="974" t="s">
        <v>302</v>
      </c>
      <c r="S2" s="975"/>
      <c r="U2" s="54" t="s">
        <v>303</v>
      </c>
    </row>
    <row r="3" spans="1:27" s="34" customFormat="1" ht="36.75" thickBot="1" x14ac:dyDescent="0.2">
      <c r="A3" s="35" t="s">
        <v>304</v>
      </c>
      <c r="B3" s="36" t="s">
        <v>418</v>
      </c>
      <c r="C3" s="37"/>
      <c r="D3" s="38" t="s">
        <v>419</v>
      </c>
      <c r="E3" s="976" t="s">
        <v>306</v>
      </c>
      <c r="F3" s="977"/>
      <c r="G3" s="37"/>
      <c r="H3" s="37"/>
      <c r="I3" s="37"/>
      <c r="J3" s="37"/>
      <c r="K3" s="39" t="s">
        <v>256</v>
      </c>
      <c r="L3" s="39" t="s">
        <v>257</v>
      </c>
      <c r="M3" s="39" t="s">
        <v>307</v>
      </c>
      <c r="N3" s="39" t="s">
        <v>308</v>
      </c>
      <c r="O3" s="39" t="s">
        <v>309</v>
      </c>
      <c r="P3" s="39" t="s">
        <v>310</v>
      </c>
      <c r="Q3" s="39" t="s">
        <v>311</v>
      </c>
      <c r="R3" s="39" t="s">
        <v>312</v>
      </c>
      <c r="S3" s="39" t="s">
        <v>67</v>
      </c>
      <c r="T3" s="40" t="s">
        <v>313</v>
      </c>
      <c r="U3" s="40" t="s">
        <v>314</v>
      </c>
    </row>
    <row r="4" spans="1:27" s="34" customFormat="1" ht="15" customHeight="1" thickBot="1" x14ac:dyDescent="0.2">
      <c r="A4" s="35" t="s">
        <v>315</v>
      </c>
      <c r="B4" s="36">
        <v>3</v>
      </c>
      <c r="C4" s="968" t="s">
        <v>316</v>
      </c>
      <c r="D4" s="969"/>
      <c r="E4" s="969"/>
      <c r="F4" s="969"/>
      <c r="G4" s="969"/>
      <c r="H4" s="969"/>
      <c r="I4" s="969"/>
      <c r="J4" s="41"/>
      <c r="K4" s="42">
        <v>1</v>
      </c>
      <c r="L4" s="36" t="s">
        <v>317</v>
      </c>
      <c r="M4" s="43" t="s">
        <v>420</v>
      </c>
      <c r="N4" s="43" t="s">
        <v>421</v>
      </c>
      <c r="O4" s="36">
        <v>3</v>
      </c>
      <c r="P4" s="36">
        <v>160</v>
      </c>
      <c r="Q4" s="36">
        <v>55</v>
      </c>
      <c r="R4" s="36">
        <v>9</v>
      </c>
      <c r="S4" s="36">
        <v>26</v>
      </c>
      <c r="T4" s="36"/>
      <c r="U4" s="36" t="s">
        <v>422</v>
      </c>
      <c r="V4" s="54"/>
      <c r="W4" s="54"/>
      <c r="X4" s="54"/>
      <c r="Y4" s="54"/>
      <c r="Z4" s="54"/>
      <c r="AA4" s="54"/>
    </row>
    <row r="5" spans="1:27" s="34" customFormat="1" ht="15" thickBot="1" x14ac:dyDescent="0.2">
      <c r="A5" s="35" t="s">
        <v>321</v>
      </c>
      <c r="B5" s="36"/>
      <c r="C5" s="968" t="s">
        <v>322</v>
      </c>
      <c r="D5" s="969"/>
      <c r="E5" s="969"/>
      <c r="F5" s="969"/>
      <c r="G5" s="969"/>
      <c r="H5" s="969"/>
      <c r="I5" s="969"/>
      <c r="J5" s="41"/>
      <c r="K5" s="42">
        <v>2</v>
      </c>
      <c r="L5" s="36" t="s">
        <v>323</v>
      </c>
      <c r="M5" s="43" t="s">
        <v>423</v>
      </c>
      <c r="N5" s="43" t="s">
        <v>424</v>
      </c>
      <c r="O5" s="36">
        <v>3</v>
      </c>
      <c r="P5" s="36">
        <v>165</v>
      </c>
      <c r="Q5" s="36">
        <v>60</v>
      </c>
      <c r="R5" s="36">
        <v>4</v>
      </c>
      <c r="S5" s="36">
        <v>18</v>
      </c>
      <c r="T5" s="36"/>
      <c r="U5" s="36" t="s">
        <v>422</v>
      </c>
    </row>
    <row r="6" spans="1:27" s="34" customFormat="1" ht="15" thickBot="1" x14ac:dyDescent="0.2">
      <c r="A6" s="35" t="s">
        <v>327</v>
      </c>
      <c r="B6" s="978" t="s">
        <v>425</v>
      </c>
      <c r="C6" s="980"/>
      <c r="D6" s="980"/>
      <c r="E6" s="979"/>
      <c r="F6" s="976" t="s">
        <v>329</v>
      </c>
      <c r="G6" s="977"/>
      <c r="H6" s="977"/>
      <c r="I6" s="977"/>
      <c r="J6" s="44"/>
      <c r="K6" s="42">
        <v>3</v>
      </c>
      <c r="L6" s="36" t="s">
        <v>323</v>
      </c>
      <c r="M6" s="43" t="s">
        <v>426</v>
      </c>
      <c r="N6" s="43" t="s">
        <v>427</v>
      </c>
      <c r="O6" s="36">
        <v>3</v>
      </c>
      <c r="P6" s="36">
        <v>155</v>
      </c>
      <c r="Q6" s="36">
        <v>50</v>
      </c>
      <c r="R6" s="36">
        <v>2</v>
      </c>
      <c r="S6" s="36">
        <v>8</v>
      </c>
      <c r="T6" s="36"/>
      <c r="U6" s="36" t="s">
        <v>422</v>
      </c>
    </row>
    <row r="7" spans="1:27" s="34" customFormat="1" ht="15" thickBot="1" x14ac:dyDescent="0.2">
      <c r="A7" s="35" t="s">
        <v>333</v>
      </c>
      <c r="B7" s="978" t="s">
        <v>428</v>
      </c>
      <c r="C7" s="980"/>
      <c r="D7" s="980"/>
      <c r="E7" s="979"/>
      <c r="F7" s="976" t="s">
        <v>334</v>
      </c>
      <c r="G7" s="977"/>
      <c r="H7" s="977"/>
      <c r="I7" s="977"/>
      <c r="J7" s="44"/>
      <c r="K7" s="42">
        <v>4</v>
      </c>
      <c r="L7" s="36" t="s">
        <v>323</v>
      </c>
      <c r="M7" s="43" t="s">
        <v>429</v>
      </c>
      <c r="N7" s="43" t="s">
        <v>430</v>
      </c>
      <c r="O7" s="36">
        <v>3</v>
      </c>
      <c r="P7" s="36">
        <v>164</v>
      </c>
      <c r="Q7" s="36">
        <v>55</v>
      </c>
      <c r="R7" s="36">
        <v>7</v>
      </c>
      <c r="S7" s="36">
        <v>11</v>
      </c>
      <c r="T7" s="36"/>
      <c r="U7" s="36" t="s">
        <v>422</v>
      </c>
    </row>
    <row r="8" spans="1:27" s="34" customFormat="1" ht="15" thickBot="1" x14ac:dyDescent="0.2">
      <c r="A8" s="35" t="s">
        <v>338</v>
      </c>
      <c r="B8" s="45" t="s">
        <v>431</v>
      </c>
      <c r="C8" s="46" t="s">
        <v>340</v>
      </c>
      <c r="D8" s="45" t="s">
        <v>432</v>
      </c>
      <c r="E8" s="46" t="s">
        <v>340</v>
      </c>
      <c r="F8" s="45" t="s">
        <v>433</v>
      </c>
      <c r="G8" s="37"/>
      <c r="H8" s="37"/>
      <c r="I8" s="37"/>
      <c r="J8" s="37"/>
      <c r="K8" s="42">
        <v>5</v>
      </c>
      <c r="L8" s="36" t="s">
        <v>323</v>
      </c>
      <c r="M8" s="43" t="s">
        <v>434</v>
      </c>
      <c r="N8" s="43" t="s">
        <v>435</v>
      </c>
      <c r="O8" s="36">
        <v>3</v>
      </c>
      <c r="P8" s="36">
        <v>160</v>
      </c>
      <c r="Q8" s="36">
        <v>50</v>
      </c>
      <c r="R8" s="36">
        <v>8</v>
      </c>
      <c r="S8" s="36">
        <v>1</v>
      </c>
      <c r="T8" s="36"/>
      <c r="U8" s="36" t="s">
        <v>422</v>
      </c>
    </row>
    <row r="9" spans="1:27" s="34" customFormat="1" ht="15" thickBot="1" x14ac:dyDescent="0.2">
      <c r="A9" s="35" t="s">
        <v>346</v>
      </c>
      <c r="B9" s="47" t="str">
        <f>IF(B8="","",B8)</f>
        <v xml:space="preserve">  076 </v>
      </c>
      <c r="C9" s="46" t="s">
        <v>340</v>
      </c>
      <c r="D9" s="45" t="s">
        <v>432</v>
      </c>
      <c r="E9" s="46" t="s">
        <v>340</v>
      </c>
      <c r="F9" s="45" t="s">
        <v>436</v>
      </c>
      <c r="G9" s="37"/>
      <c r="H9" s="37"/>
      <c r="I9" s="37"/>
      <c r="J9" s="37"/>
      <c r="K9" s="42">
        <v>6</v>
      </c>
      <c r="L9" s="36" t="s">
        <v>354</v>
      </c>
      <c r="M9" s="43" t="s">
        <v>437</v>
      </c>
      <c r="N9" s="43" t="s">
        <v>438</v>
      </c>
      <c r="O9" s="36">
        <v>3</v>
      </c>
      <c r="P9" s="36">
        <v>158</v>
      </c>
      <c r="Q9" s="36">
        <v>50</v>
      </c>
      <c r="R9" s="36">
        <v>12</v>
      </c>
      <c r="S9" s="36">
        <v>23</v>
      </c>
      <c r="T9" s="36"/>
      <c r="U9" s="36" t="s">
        <v>422</v>
      </c>
    </row>
    <row r="10" spans="1:27" s="34" customFormat="1" ht="15" thickBot="1" x14ac:dyDescent="0.2">
      <c r="A10" s="35" t="s">
        <v>351</v>
      </c>
      <c r="B10" s="45" t="s">
        <v>352</v>
      </c>
      <c r="C10" s="46" t="s">
        <v>340</v>
      </c>
      <c r="D10" s="45" t="s">
        <v>439</v>
      </c>
      <c r="E10" s="37"/>
      <c r="F10" s="37"/>
      <c r="G10" s="37"/>
      <c r="H10" s="37"/>
      <c r="I10" s="37"/>
      <c r="J10" s="37"/>
      <c r="K10" s="42">
        <v>7</v>
      </c>
      <c r="L10" s="36" t="s">
        <v>354</v>
      </c>
      <c r="M10" s="43" t="s">
        <v>440</v>
      </c>
      <c r="N10" s="43" t="s">
        <v>441</v>
      </c>
      <c r="O10" s="36">
        <v>3</v>
      </c>
      <c r="P10" s="36">
        <v>171</v>
      </c>
      <c r="Q10" s="36">
        <v>58</v>
      </c>
      <c r="R10" s="36">
        <v>6</v>
      </c>
      <c r="S10" s="36">
        <v>19</v>
      </c>
      <c r="T10" s="36"/>
      <c r="U10" s="36"/>
    </row>
    <row r="11" spans="1:27" s="34" customFormat="1" ht="15" thickBot="1" x14ac:dyDescent="0.2">
      <c r="A11" s="35" t="s">
        <v>358</v>
      </c>
      <c r="B11" s="1005" t="s">
        <v>442</v>
      </c>
      <c r="C11" s="980"/>
      <c r="D11" s="980"/>
      <c r="E11" s="980"/>
      <c r="F11" s="980"/>
      <c r="G11" s="979"/>
      <c r="H11" s="37"/>
      <c r="I11" s="37"/>
      <c r="J11" s="37"/>
      <c r="K11" s="42">
        <v>8</v>
      </c>
      <c r="L11" s="36" t="s">
        <v>354</v>
      </c>
      <c r="M11" s="43" t="s">
        <v>443</v>
      </c>
      <c r="N11" s="43" t="s">
        <v>444</v>
      </c>
      <c r="O11" s="36">
        <v>3</v>
      </c>
      <c r="P11" s="36">
        <v>154</v>
      </c>
      <c r="Q11" s="36">
        <v>52</v>
      </c>
      <c r="R11" s="36">
        <v>11</v>
      </c>
      <c r="S11" s="36">
        <v>19</v>
      </c>
      <c r="T11" s="36"/>
      <c r="U11" s="36"/>
    </row>
    <row r="12" spans="1:27" s="34" customFormat="1" ht="15" thickBot="1" x14ac:dyDescent="0.2">
      <c r="A12" s="35" t="s">
        <v>363</v>
      </c>
      <c r="B12" s="978" t="s">
        <v>445</v>
      </c>
      <c r="C12" s="979"/>
      <c r="D12" s="37"/>
      <c r="E12" s="37"/>
      <c r="F12" s="37"/>
      <c r="G12" s="37"/>
      <c r="H12" s="37"/>
      <c r="I12" s="37"/>
      <c r="J12" s="37"/>
      <c r="K12" s="42">
        <v>9</v>
      </c>
      <c r="L12" s="36" t="s">
        <v>365</v>
      </c>
      <c r="M12" s="43" t="s">
        <v>446</v>
      </c>
      <c r="N12" s="43" t="s">
        <v>447</v>
      </c>
      <c r="O12" s="36">
        <v>3</v>
      </c>
      <c r="P12" s="36">
        <v>162</v>
      </c>
      <c r="Q12" s="36">
        <v>54</v>
      </c>
      <c r="R12" s="36">
        <v>5</v>
      </c>
      <c r="S12" s="36">
        <v>19</v>
      </c>
      <c r="T12" s="36"/>
      <c r="U12" s="36" t="s">
        <v>422</v>
      </c>
    </row>
    <row r="13" spans="1:27" s="34" customFormat="1" ht="15" customHeight="1" thickBot="1" x14ac:dyDescent="0.2">
      <c r="A13" s="35" t="s">
        <v>369</v>
      </c>
      <c r="B13" s="978" t="s">
        <v>448</v>
      </c>
      <c r="C13" s="979"/>
      <c r="D13" s="982" t="str">
        <f>IF(OR(B13=B14,B13=B15,B13=B16),"","（注意）ベンチ入りできません。")</f>
        <v/>
      </c>
      <c r="E13" s="983"/>
      <c r="F13" s="983"/>
      <c r="G13" s="983"/>
      <c r="H13" s="983"/>
      <c r="I13" s="983"/>
      <c r="J13" s="37"/>
      <c r="K13" s="42">
        <v>10</v>
      </c>
      <c r="L13" s="36" t="s">
        <v>365</v>
      </c>
      <c r="M13" s="43" t="s">
        <v>449</v>
      </c>
      <c r="N13" s="43" t="s">
        <v>450</v>
      </c>
      <c r="O13" s="36">
        <v>3</v>
      </c>
      <c r="P13" s="36">
        <v>162</v>
      </c>
      <c r="Q13" s="36">
        <v>55</v>
      </c>
      <c r="R13" s="36">
        <v>7</v>
      </c>
      <c r="S13" s="36">
        <v>13</v>
      </c>
      <c r="T13" s="36">
        <v>1</v>
      </c>
      <c r="U13" s="36"/>
    </row>
    <row r="14" spans="1:27" s="34" customFormat="1" ht="15" thickBot="1" x14ac:dyDescent="0.2">
      <c r="A14" s="35" t="s">
        <v>373</v>
      </c>
      <c r="B14" s="978" t="s">
        <v>448</v>
      </c>
      <c r="C14" s="979"/>
      <c r="D14" s="48"/>
      <c r="E14" s="49"/>
      <c r="F14" s="49"/>
      <c r="G14" s="49"/>
      <c r="H14" s="49"/>
      <c r="I14" s="37"/>
      <c r="J14" s="37"/>
      <c r="K14" s="42">
        <v>11</v>
      </c>
      <c r="L14" s="36" t="s">
        <v>354</v>
      </c>
      <c r="M14" s="43" t="s">
        <v>451</v>
      </c>
      <c r="N14" s="43" t="s">
        <v>452</v>
      </c>
      <c r="O14" s="36">
        <v>3</v>
      </c>
      <c r="P14" s="36">
        <v>161</v>
      </c>
      <c r="Q14" s="36">
        <v>50</v>
      </c>
      <c r="R14" s="36">
        <v>3</v>
      </c>
      <c r="S14" s="36">
        <v>8</v>
      </c>
      <c r="T14" s="36"/>
      <c r="U14" s="36" t="s">
        <v>422</v>
      </c>
    </row>
    <row r="15" spans="1:27" s="34" customFormat="1" ht="15" thickBot="1" x14ac:dyDescent="0.2">
      <c r="A15" s="35" t="s">
        <v>377</v>
      </c>
      <c r="B15" s="978" t="s">
        <v>453</v>
      </c>
      <c r="C15" s="979"/>
      <c r="D15" s="36" t="s">
        <v>386</v>
      </c>
      <c r="E15" s="976" t="s">
        <v>380</v>
      </c>
      <c r="F15" s="977"/>
      <c r="G15" s="977"/>
      <c r="H15" s="977"/>
      <c r="I15" s="977"/>
      <c r="J15" s="44"/>
      <c r="K15" s="42">
        <v>12</v>
      </c>
      <c r="L15" s="36" t="s">
        <v>354</v>
      </c>
      <c r="M15" s="43" t="s">
        <v>454</v>
      </c>
      <c r="N15" s="43" t="s">
        <v>455</v>
      </c>
      <c r="O15" s="36">
        <v>3</v>
      </c>
      <c r="P15" s="36">
        <v>160</v>
      </c>
      <c r="Q15" s="36">
        <v>50</v>
      </c>
      <c r="R15" s="36">
        <v>2</v>
      </c>
      <c r="S15" s="36">
        <v>15</v>
      </c>
      <c r="T15" s="36"/>
      <c r="U15" s="36" t="s">
        <v>422</v>
      </c>
    </row>
    <row r="16" spans="1:27" s="34" customFormat="1" ht="15" thickBot="1" x14ac:dyDescent="0.2">
      <c r="A16" s="35" t="s">
        <v>384</v>
      </c>
      <c r="B16" s="978" t="s">
        <v>456</v>
      </c>
      <c r="C16" s="979"/>
      <c r="D16" s="36" t="s">
        <v>457</v>
      </c>
      <c r="E16" s="976" t="s">
        <v>387</v>
      </c>
      <c r="F16" s="977"/>
      <c r="G16" s="977"/>
      <c r="H16" s="977"/>
      <c r="I16" s="977"/>
      <c r="J16" s="44"/>
      <c r="K16" s="42">
        <v>13</v>
      </c>
      <c r="L16" s="36" t="s">
        <v>458</v>
      </c>
      <c r="M16" s="43" t="s">
        <v>459</v>
      </c>
      <c r="N16" s="43" t="s">
        <v>460</v>
      </c>
      <c r="O16" s="36">
        <v>3</v>
      </c>
      <c r="P16" s="36">
        <v>159</v>
      </c>
      <c r="Q16" s="36">
        <v>50</v>
      </c>
      <c r="R16" s="36">
        <v>5</v>
      </c>
      <c r="S16" s="36">
        <v>15</v>
      </c>
      <c r="T16" s="36"/>
      <c r="U16" s="36" t="s">
        <v>422</v>
      </c>
    </row>
    <row r="17" spans="1:21" s="34" customFormat="1" ht="15" thickBot="1" x14ac:dyDescent="0.2">
      <c r="A17" s="37"/>
      <c r="B17" s="984" t="s">
        <v>461</v>
      </c>
      <c r="C17" s="980"/>
      <c r="D17" s="985" t="s">
        <v>462</v>
      </c>
      <c r="E17" s="986"/>
      <c r="F17" s="985" t="s">
        <v>463</v>
      </c>
      <c r="G17" s="986"/>
      <c r="H17" s="985" t="s">
        <v>464</v>
      </c>
      <c r="I17" s="986"/>
      <c r="J17" s="44"/>
      <c r="K17" s="42">
        <v>14</v>
      </c>
      <c r="L17" s="36" t="s">
        <v>458</v>
      </c>
      <c r="M17" s="43" t="s">
        <v>465</v>
      </c>
      <c r="N17" s="43" t="s">
        <v>466</v>
      </c>
      <c r="O17" s="36">
        <v>3</v>
      </c>
      <c r="P17" s="36">
        <v>172</v>
      </c>
      <c r="Q17" s="36">
        <v>59</v>
      </c>
      <c r="R17" s="36">
        <v>8</v>
      </c>
      <c r="S17" s="36">
        <v>21</v>
      </c>
      <c r="T17" s="36"/>
      <c r="U17" s="36"/>
    </row>
    <row r="18" spans="1:21" s="34" customFormat="1" ht="15" thickBot="1" x14ac:dyDescent="0.2">
      <c r="A18" s="35" t="s">
        <v>397</v>
      </c>
      <c r="B18" s="978" t="s">
        <v>399</v>
      </c>
      <c r="C18" s="979"/>
      <c r="D18" s="978" t="s">
        <v>398</v>
      </c>
      <c r="E18" s="979"/>
      <c r="F18" s="978" t="s">
        <v>467</v>
      </c>
      <c r="G18" s="979"/>
      <c r="H18" s="978" t="s">
        <v>468</v>
      </c>
      <c r="I18" s="979"/>
      <c r="J18" s="50"/>
      <c r="K18" s="42">
        <v>15</v>
      </c>
      <c r="L18" s="36" t="s">
        <v>469</v>
      </c>
      <c r="M18" s="43" t="s">
        <v>470</v>
      </c>
      <c r="N18" s="43" t="s">
        <v>471</v>
      </c>
      <c r="O18" s="36">
        <v>3</v>
      </c>
      <c r="P18" s="36">
        <v>170</v>
      </c>
      <c r="Q18" s="36">
        <v>58</v>
      </c>
      <c r="R18" s="36">
        <v>4</v>
      </c>
      <c r="S18" s="36">
        <v>2</v>
      </c>
      <c r="T18" s="36"/>
      <c r="U18" s="36"/>
    </row>
    <row r="19" spans="1:21" s="34" customFormat="1" ht="15" thickBot="1" x14ac:dyDescent="0.2">
      <c r="A19" s="35" t="s">
        <v>405</v>
      </c>
      <c r="B19" s="978" t="s">
        <v>399</v>
      </c>
      <c r="C19" s="979"/>
      <c r="D19" s="978" t="s">
        <v>472</v>
      </c>
      <c r="E19" s="979"/>
      <c r="F19" s="978" t="s">
        <v>467</v>
      </c>
      <c r="G19" s="979"/>
      <c r="H19" s="978" t="s">
        <v>468</v>
      </c>
      <c r="I19" s="979"/>
      <c r="J19" s="50"/>
      <c r="K19" s="42">
        <v>16</v>
      </c>
      <c r="L19" s="36" t="s">
        <v>354</v>
      </c>
      <c r="M19" s="43" t="s">
        <v>473</v>
      </c>
      <c r="N19" s="43" t="s">
        <v>474</v>
      </c>
      <c r="O19" s="36">
        <v>3</v>
      </c>
      <c r="P19" s="36">
        <v>175</v>
      </c>
      <c r="Q19" s="36">
        <v>60</v>
      </c>
      <c r="R19" s="36">
        <v>5</v>
      </c>
      <c r="S19" s="36">
        <v>30</v>
      </c>
      <c r="T19" s="36"/>
      <c r="U19" s="36" t="s">
        <v>422</v>
      </c>
    </row>
    <row r="20" spans="1:21" s="34" customFormat="1" ht="15" thickBot="1" x14ac:dyDescent="0.2">
      <c r="A20" s="35" t="s">
        <v>410</v>
      </c>
      <c r="B20" s="978" t="s">
        <v>399</v>
      </c>
      <c r="C20" s="979"/>
      <c r="D20" s="978" t="s">
        <v>472</v>
      </c>
      <c r="E20" s="979"/>
      <c r="F20" s="978" t="s">
        <v>467</v>
      </c>
      <c r="G20" s="979"/>
      <c r="H20" s="978" t="s">
        <v>468</v>
      </c>
      <c r="I20" s="979"/>
      <c r="J20" s="50"/>
      <c r="K20" s="42">
        <v>17</v>
      </c>
      <c r="L20" s="36" t="s">
        <v>354</v>
      </c>
      <c r="M20" s="43" t="s">
        <v>475</v>
      </c>
      <c r="N20" s="43" t="s">
        <v>476</v>
      </c>
      <c r="O20" s="36">
        <v>3</v>
      </c>
      <c r="P20" s="36">
        <v>164</v>
      </c>
      <c r="Q20" s="36">
        <v>54</v>
      </c>
      <c r="R20" s="36">
        <v>4</v>
      </c>
      <c r="S20" s="36">
        <v>8</v>
      </c>
      <c r="T20" s="36"/>
      <c r="U20" s="36"/>
    </row>
    <row r="21" spans="1:21" s="34" customFormat="1" ht="15" thickBot="1" x14ac:dyDescent="0.2">
      <c r="B21" s="51" t="str">
        <f>IF(AND(COUNTIF($B$18:$I$18,"黒")=0,COUNTIF($B$18:$I$18,"黒色")=0,COUNTIF($B$18:$I$18,"紺")=0,COUNTIF($B$18:$I$18,"紺色")=0,COUNTIF($B$18:$I$18,"ネイビー")=0),"","（注意） シャツに黒・紺色は使えません。")</f>
        <v/>
      </c>
      <c r="K21" s="42">
        <v>18</v>
      </c>
      <c r="L21" s="36" t="s">
        <v>477</v>
      </c>
      <c r="M21" s="43" t="s">
        <v>478</v>
      </c>
      <c r="N21" s="43" t="s">
        <v>479</v>
      </c>
      <c r="O21" s="36">
        <v>3</v>
      </c>
      <c r="P21" s="36">
        <v>174</v>
      </c>
      <c r="Q21" s="36">
        <v>62</v>
      </c>
      <c r="R21" s="36">
        <v>10</v>
      </c>
      <c r="S21" s="36">
        <v>3</v>
      </c>
      <c r="T21" s="36"/>
      <c r="U21" s="36"/>
    </row>
    <row r="22" spans="1:21" s="34" customFormat="1" ht="12" x14ac:dyDescent="0.15">
      <c r="B22" s="987" t="str">
        <f>IF(AND(B18&lt;&gt;D18,B18&lt;&gt;F18,B18&lt;&gt;H18,D18&lt;&gt;F18,D18&lt;&gt;H18,F18&lt;&gt;H18)=TRUE,"","（注意） "&amp;A18&amp;"が重複しています。")</f>
        <v/>
      </c>
      <c r="C22" s="988"/>
      <c r="D22" s="988"/>
      <c r="E22" s="988"/>
      <c r="F22" s="988"/>
      <c r="G22" s="988"/>
      <c r="H22" s="988"/>
      <c r="I22" s="988"/>
      <c r="J22" s="53"/>
      <c r="K22" s="989" t="s">
        <v>416</v>
      </c>
      <c r="L22" s="990"/>
      <c r="M22" s="991"/>
      <c r="N22" s="992" t="s">
        <v>480</v>
      </c>
      <c r="O22" s="993"/>
      <c r="P22" s="993"/>
      <c r="Q22" s="993"/>
      <c r="R22" s="993"/>
      <c r="S22" s="993"/>
      <c r="T22" s="994"/>
    </row>
    <row r="23" spans="1:21" s="34" customFormat="1" ht="12" x14ac:dyDescent="0.15">
      <c r="B23" s="987" t="str">
        <f>IF(AND(B19&lt;&gt;D19,B19&lt;&gt;F19,B19&lt;&gt;H19,D19&lt;&gt;F19,D19&lt;&gt;H19,F19&lt;&gt;H19)=TRUE,"","（注意） "&amp;A19&amp;"が重複しています。")</f>
        <v/>
      </c>
      <c r="C23" s="988"/>
      <c r="D23" s="988"/>
      <c r="E23" s="988"/>
      <c r="F23" s="988"/>
      <c r="G23" s="988"/>
      <c r="H23" s="988"/>
      <c r="I23" s="988"/>
      <c r="J23" s="53"/>
      <c r="K23" s="990"/>
      <c r="L23" s="990"/>
      <c r="M23" s="991"/>
      <c r="N23" s="995"/>
      <c r="O23" s="996"/>
      <c r="P23" s="996"/>
      <c r="Q23" s="996"/>
      <c r="R23" s="996"/>
      <c r="S23" s="996"/>
      <c r="T23" s="997"/>
    </row>
    <row r="24" spans="1:21" s="34" customFormat="1" ht="52.5" customHeight="1" thickBot="1" x14ac:dyDescent="0.2">
      <c r="B24" s="1001" t="str">
        <f>IF(AND(B20&lt;&gt;D20,B20&lt;&gt;F20,B20&lt;&gt;H20,D20&lt;&gt;F20,D20&lt;&gt;H20,F20&lt;&gt;H20)=TRUE,"","（注意） "&amp;A20&amp;"が重複しています。")</f>
        <v/>
      </c>
      <c r="C24" s="1002"/>
      <c r="D24" s="1002"/>
      <c r="E24" s="1002"/>
      <c r="F24" s="1002"/>
      <c r="G24" s="1002"/>
      <c r="H24" s="1002"/>
      <c r="I24" s="1002"/>
      <c r="J24" s="53"/>
      <c r="K24" s="1003" t="str">
        <f>IF(N22="","必ず、記入して下さい。","")</f>
        <v/>
      </c>
      <c r="L24" s="1003"/>
      <c r="M24" s="1004"/>
      <c r="N24" s="998"/>
      <c r="O24" s="999"/>
      <c r="P24" s="999"/>
      <c r="Q24" s="999"/>
      <c r="R24" s="999"/>
      <c r="S24" s="999"/>
      <c r="T24" s="1000"/>
    </row>
    <row r="25" spans="1:21" s="34" customFormat="1" ht="14.25" customHeight="1" x14ac:dyDescent="0.15"/>
    <row r="26" spans="1:21" s="34" customFormat="1" ht="14.25" customHeight="1" x14ac:dyDescent="0.15">
      <c r="K26" s="32"/>
      <c r="L26" s="32"/>
      <c r="M26" s="32"/>
      <c r="N26" s="32"/>
      <c r="O26" s="32"/>
      <c r="P26" s="32"/>
      <c r="Q26" s="32"/>
      <c r="R26" s="32"/>
    </row>
    <row r="27" spans="1:21" s="34" customFormat="1" ht="14.25" customHeight="1" x14ac:dyDescent="0.15">
      <c r="K27" s="32"/>
      <c r="L27" s="32"/>
      <c r="M27" s="32"/>
      <c r="N27" s="32"/>
      <c r="O27" s="32"/>
      <c r="P27" s="32"/>
      <c r="Q27" s="32"/>
      <c r="R27" s="32"/>
    </row>
    <row r="28" spans="1:21" s="34" customFormat="1" ht="14.25" customHeight="1" x14ac:dyDescent="0.15">
      <c r="K28" s="32"/>
      <c r="L28" s="32"/>
      <c r="M28" s="32"/>
      <c r="N28" s="32"/>
      <c r="O28" s="32"/>
      <c r="P28" s="32"/>
      <c r="Q28" s="32"/>
      <c r="R28" s="32"/>
    </row>
    <row r="29" spans="1:21" ht="14.25" customHeight="1" x14ac:dyDescent="0.15"/>
    <row r="30" spans="1:21" x14ac:dyDescent="0.15">
      <c r="B30" s="52"/>
    </row>
    <row r="31" spans="1:21" x14ac:dyDescent="0.15">
      <c r="B31" s="52"/>
    </row>
    <row r="32" spans="1:21" x14ac:dyDescent="0.15">
      <c r="B32" s="52"/>
    </row>
    <row r="33" spans="2:2" x14ac:dyDescent="0.15">
      <c r="B33" s="52"/>
    </row>
    <row r="34" spans="2:2" x14ac:dyDescent="0.15">
      <c r="B34" s="52"/>
    </row>
    <row r="35" spans="2:2" x14ac:dyDescent="0.15">
      <c r="B35" s="52"/>
    </row>
    <row r="36" spans="2:2" x14ac:dyDescent="0.15">
      <c r="B36" s="52"/>
    </row>
    <row r="37" spans="2:2" x14ac:dyDescent="0.15">
      <c r="B37" s="52"/>
    </row>
    <row r="38" spans="2:2" x14ac:dyDescent="0.15">
      <c r="B38" s="52"/>
    </row>
    <row r="39" spans="2:2" x14ac:dyDescent="0.15">
      <c r="B39" s="52"/>
    </row>
    <row r="40" spans="2:2" x14ac:dyDescent="0.15">
      <c r="B40" s="52"/>
    </row>
    <row r="41" spans="2:2" x14ac:dyDescent="0.15">
      <c r="B41" s="52"/>
    </row>
    <row r="42" spans="2:2" x14ac:dyDescent="0.15">
      <c r="B42" s="52"/>
    </row>
    <row r="43" spans="2:2" x14ac:dyDescent="0.15">
      <c r="B43" s="52"/>
    </row>
    <row r="44" spans="2:2" x14ac:dyDescent="0.15">
      <c r="B44" s="52"/>
    </row>
    <row r="45" spans="2:2" x14ac:dyDescent="0.15">
      <c r="B45" s="52"/>
    </row>
    <row r="46" spans="2:2" x14ac:dyDescent="0.15">
      <c r="B46" s="52"/>
    </row>
    <row r="47" spans="2:2" x14ac:dyDescent="0.15">
      <c r="B47" s="52"/>
    </row>
    <row r="48" spans="2:2" x14ac:dyDescent="0.15">
      <c r="B48" s="52"/>
    </row>
    <row r="49" spans="2:2" x14ac:dyDescent="0.15">
      <c r="B49" s="52"/>
    </row>
    <row r="50" spans="2:2" x14ac:dyDescent="0.15">
      <c r="B50" s="52"/>
    </row>
    <row r="51" spans="2:2" x14ac:dyDescent="0.15">
      <c r="B51" s="52"/>
    </row>
    <row r="52" spans="2:2" x14ac:dyDescent="0.15">
      <c r="B52" s="52"/>
    </row>
    <row r="53" spans="2:2" x14ac:dyDescent="0.15">
      <c r="B53" s="52"/>
    </row>
    <row r="54" spans="2:2" x14ac:dyDescent="0.15">
      <c r="B54" s="52"/>
    </row>
    <row r="55" spans="2:2" x14ac:dyDescent="0.15">
      <c r="B55" s="52"/>
    </row>
    <row r="56" spans="2:2" x14ac:dyDescent="0.15">
      <c r="B56" s="52"/>
    </row>
    <row r="57" spans="2:2" x14ac:dyDescent="0.15">
      <c r="B57" s="52"/>
    </row>
    <row r="58" spans="2:2" x14ac:dyDescent="0.15">
      <c r="B58" s="52"/>
    </row>
    <row r="59" spans="2:2" x14ac:dyDescent="0.15">
      <c r="B59" s="52"/>
    </row>
    <row r="60" spans="2:2" x14ac:dyDescent="0.15">
      <c r="B60" s="52"/>
    </row>
    <row r="61" spans="2:2" x14ac:dyDescent="0.15">
      <c r="B61" s="52"/>
    </row>
    <row r="62" spans="2:2" x14ac:dyDescent="0.15">
      <c r="B62" s="52"/>
    </row>
    <row r="63" spans="2:2" x14ac:dyDescent="0.15">
      <c r="B63" s="52"/>
    </row>
    <row r="64" spans="2:2" x14ac:dyDescent="0.15">
      <c r="B64" s="52"/>
    </row>
    <row r="65" spans="2:2" x14ac:dyDescent="0.15">
      <c r="B65" s="52"/>
    </row>
    <row r="66" spans="2:2" x14ac:dyDescent="0.15">
      <c r="B66" s="52"/>
    </row>
    <row r="67" spans="2:2" x14ac:dyDescent="0.15">
      <c r="B67" s="52"/>
    </row>
    <row r="68" spans="2:2" x14ac:dyDescent="0.15">
      <c r="B68" s="52"/>
    </row>
    <row r="69" spans="2:2" x14ac:dyDescent="0.15">
      <c r="B69" s="52"/>
    </row>
    <row r="70" spans="2:2" x14ac:dyDescent="0.15">
      <c r="B70" s="52"/>
    </row>
    <row r="71" spans="2:2" x14ac:dyDescent="0.15">
      <c r="B71" s="52"/>
    </row>
    <row r="72" spans="2:2" x14ac:dyDescent="0.15">
      <c r="B72" s="52"/>
    </row>
    <row r="73" spans="2:2" x14ac:dyDescent="0.15">
      <c r="B73" s="52"/>
    </row>
    <row r="74" spans="2:2" x14ac:dyDescent="0.15">
      <c r="B74" s="52"/>
    </row>
    <row r="75" spans="2:2" x14ac:dyDescent="0.15">
      <c r="B75" s="52"/>
    </row>
    <row r="76" spans="2:2" x14ac:dyDescent="0.15">
      <c r="B76" s="52"/>
    </row>
  </sheetData>
  <mergeCells count="41">
    <mergeCell ref="B22:I22"/>
    <mergeCell ref="K22:M23"/>
    <mergeCell ref="N22:T24"/>
    <mergeCell ref="B23:I23"/>
    <mergeCell ref="B24:I24"/>
    <mergeCell ref="K24:M24"/>
    <mergeCell ref="B19:C19"/>
    <mergeCell ref="D19:E19"/>
    <mergeCell ref="F19:G19"/>
    <mergeCell ref="H19:I19"/>
    <mergeCell ref="B20:C20"/>
    <mergeCell ref="D20:E20"/>
    <mergeCell ref="F20:G20"/>
    <mergeCell ref="H20:I20"/>
    <mergeCell ref="B17:C17"/>
    <mergeCell ref="D17:E17"/>
    <mergeCell ref="F17:G17"/>
    <mergeCell ref="H17:I17"/>
    <mergeCell ref="B18:C18"/>
    <mergeCell ref="D18:E18"/>
    <mergeCell ref="F18:G18"/>
    <mergeCell ref="H18:I18"/>
    <mergeCell ref="B16:C16"/>
    <mergeCell ref="E16:I16"/>
    <mergeCell ref="B6:E6"/>
    <mergeCell ref="F6:I6"/>
    <mergeCell ref="B7:E7"/>
    <mergeCell ref="F7:I7"/>
    <mergeCell ref="B11:G11"/>
    <mergeCell ref="B12:C12"/>
    <mergeCell ref="B13:C13"/>
    <mergeCell ref="D13:I13"/>
    <mergeCell ref="B14:C14"/>
    <mergeCell ref="B15:C15"/>
    <mergeCell ref="E15:I15"/>
    <mergeCell ref="C5:I5"/>
    <mergeCell ref="A1:T1"/>
    <mergeCell ref="L2:Q2"/>
    <mergeCell ref="R2:S2"/>
    <mergeCell ref="E3:F3"/>
    <mergeCell ref="C4:I4"/>
  </mergeCells>
  <phoneticPr fontId="2"/>
  <dataValidations count="26">
    <dataValidation imeMode="on" allowBlank="1" showInputMessage="1" showErrorMessage="1" promptTitle="学校名を入力！" prompt="正式名称で入力して下さい。（最後の「中学校」は入力の必要はありません。）" sqref="B7:E7" xr:uid="{00000000-0002-0000-1B00-000000000000}"/>
    <dataValidation imeMode="on" allowBlank="1" showInputMessage="1" showErrorMessage="1" promptTitle="学校名（ひらがな）を入力！" prompt="正式名称をから「全角ひらがな」で入力して下さい。（最後の「ちゅうがっこう」は入力の必要はありません。）" sqref="B6:E6" xr:uid="{00000000-0002-0000-1B00-000001000000}"/>
    <dataValidation type="list" imeMode="off" allowBlank="1" showErrorMessage="1" promptTitle="県体順位！" sqref="B5" xr:uid="{00000000-0002-0000-1B00-000002000000}">
      <formula1>"1,2,3"</formula1>
    </dataValidation>
    <dataValidation imeMode="on" allowBlank="1" showInputMessage="1" showErrorMessage="1" promptTitle="学校住所" prompt="「石川県」を省き、郡市名から入力して下さい。" sqref="B11:G11" xr:uid="{00000000-0002-0000-1B00-000003000000}"/>
    <dataValidation imeMode="hiragana" allowBlank="1" showInputMessage="1" showErrorMessage="1" promptTitle="出身少年団" prompt="4種の時の出身少年団を入力して下さい。登録なしの場合は空欄でかまいません。全角５文字程度で入力して下さい。" sqref="U4:U21" xr:uid="{00000000-0002-0000-1B00-000004000000}"/>
    <dataValidation type="whole" imeMode="off" allowBlank="1" showInputMessage="1" showErrorMessage="1" promptTitle="番号の入力！" prompt="番号は1～99の範囲で入力できます。" sqref="K4:K21" xr:uid="{00000000-0002-0000-1B00-000005000000}">
      <formula1>1</formula1>
      <formula2>99</formula2>
    </dataValidation>
    <dataValidation type="list" allowBlank="1" showInputMessage="1" showErrorMessage="1" sqref="D3" xr:uid="{00000000-0002-0000-1B00-000006000000}">
      <formula1>"新潟,長野,富山,石川,福井"</formula1>
    </dataValidation>
    <dataValidation imeMode="on" allowBlank="1" showInputMessage="1" showErrorMessage="1" promptTitle="選手氏名（ふりがな）の入力" prompt="ふりがなを「全角ひらがな」で入力して下さい。_x000a_姓と名の間には、スペースを必ず「ひとつだけ」入れて下さい。" sqref="N4:N7 N9 N11:N13" xr:uid="{00000000-0002-0000-1B00-000007000000}"/>
    <dataValidation type="list" imeMode="on" allowBlank="1" showInputMessage="1" showErrorMessage="1" promptTitle="予選大会！" prompt="予選が行われた地区を選択し、入力して下さい。" sqref="B3" xr:uid="{00000000-0002-0000-1B00-000008000000}">
      <formula1>"北加賀,南加賀,能登,　　　　　　　　　"</formula1>
    </dataValidation>
    <dataValidation imeMode="on" allowBlank="1" showInputMessage="1" showErrorMessage="1" promptTitle="シャツの色！" prompt="ＦＰ正、ＦＰ副、ＧＫ正、ＧＫ副の色はすべて違う色でなければなりません。_x000a_また、ユニフォームで使える黒は最大２カ所までです。" sqref="B18 D18 H18:H19 F18:F20" xr:uid="{00000000-0002-0000-1B00-000009000000}"/>
    <dataValidation imeMode="on" allowBlank="1" showInputMessage="1" showErrorMessage="1" promptTitle="氏名の入力" prompt="姓と名の間には、スペースを必ず_x000a_「ひとつだけ」入れて下さい。" sqref="B12:B16 M4:M7 M9 M11:M13" xr:uid="{00000000-0002-0000-1B00-00000A000000}"/>
    <dataValidation type="list" imeMode="off" allowBlank="1" showInputMessage="1" showErrorMessage="1" sqref="T4:T21" xr:uid="{00000000-0002-0000-1B00-00000B000000}">
      <formula1>"1"</formula1>
    </dataValidation>
    <dataValidation type="list" imeMode="off" allowBlank="1" showInputMessage="1" showErrorMessage="1" sqref="O4:O7 O9 O11:O13" xr:uid="{00000000-0002-0000-1B00-00000C000000}">
      <formula1>"1,2,3"</formula1>
    </dataValidation>
    <dataValidation type="list" imeMode="on" allowBlank="1" showInputMessage="1" showErrorMessage="1" promptTitle="コーチの種別！" prompt="教員、承認コーチの別を選択し、入力して下さい。" sqref="D15" xr:uid="{00000000-0002-0000-1B00-00000D000000}">
      <formula1>"教員,承認"</formula1>
    </dataValidation>
    <dataValidation type="textLength" imeMode="off" allowBlank="1" showInputMessage="1" showErrorMessage="1" sqref="F8:F9" xr:uid="{00000000-0002-0000-1B00-00000E000000}">
      <formula1>4</formula1>
      <formula2>4</formula2>
    </dataValidation>
    <dataValidation type="list" imeMode="off" allowBlank="1" showInputMessage="1" showErrorMessage="1" promptTitle="ブロック順位！" prompt="３位決定戦をしていない場合は２チームが「３位」に、_x000a_５～８位決定戦をしていない場合は４チームが「５位」になります。" sqref="B4" xr:uid="{00000000-0002-0000-1B00-00000F000000}">
      <formula1>"1,2,3,4,5,6,7,8"</formula1>
    </dataValidation>
    <dataValidation type="list" imeMode="off" allowBlank="1" showInputMessage="1" showErrorMessage="1" promptTitle="ポジションの入力！" prompt="ポジションをGK,DF,MF,FWから選択し、半角大文字で入力して下さい。" sqref="L4:L21" xr:uid="{00000000-0002-0000-1B00-000010000000}">
      <formula1>"GK,DF,MF,FW"</formula1>
    </dataValidation>
    <dataValidation imeMode="off" allowBlank="1" showInputMessage="1" showErrorMessage="1" sqref="B8:B10 D8:D10 P4:S7 R8:S8 P9:S9 R10:S10 P11:S13 R14:S21" xr:uid="{00000000-0002-0000-1B00-000011000000}"/>
    <dataValidation imeMode="on" allowBlank="1" showInputMessage="1" showErrorMessage="1" promptTitle="パンツの色！" prompt="ＦＰ正、ＦＰ副、ＧＫ正、ＧＫ副の色はすべて違う色でなければなりません。_x000a_また、ユニフォームで使える黒は最大２カ所までです。" sqref="B19 D19" xr:uid="{00000000-0002-0000-1B00-000012000000}"/>
    <dataValidation imeMode="on" allowBlank="1" showInputMessage="1" showErrorMessage="1" promptTitle="ストッキングの色！" prompt="ＦＰ正、ＦＰ副、ＧＫ正、ＧＫ副の色はすべて違う色でなければなりません。_x000a_また、ユニフォームで使える黒は最大２カ所までです。" sqref="B20 H20 D20" xr:uid="{00000000-0002-0000-1B00-000013000000}"/>
    <dataValidation imeMode="on" allowBlank="1" showInputMessage="1" showErrorMessage="1" promptTitle="チーム紹介の入力！" prompt="プログラム作成用に必ず入力して下さい。" sqref="N22:T24" xr:uid="{00000000-0002-0000-1B00-000014000000}"/>
    <dataValidation imeMode="off" allowBlank="1" showInputMessage="1" showErrorMessage="1" promptTitle="身長・体重の入力！" prompt="身長・体重は、半角数字で、「整数」で入力して下さい。" sqref="P8:Q8 P10:Q10 P14:Q21" xr:uid="{00000000-0002-0000-1B00-000015000000}"/>
    <dataValidation type="list" imeMode="on" allowBlank="1" showInputMessage="1" showErrorMessage="1" promptTitle="マネージャーの種別！" prompt="教員、生徒の別を選択し、入力して下さい。" sqref="D16" xr:uid="{00000000-0002-0000-1B00-000016000000}">
      <formula1>"教員,生徒"</formula1>
    </dataValidation>
    <dataValidation imeMode="on" allowBlank="1" showInputMessage="1" showErrorMessage="1" promptTitle="選手氏名（ふりがな）の入力！" prompt="ふりがなを「全角ひらがな」で入力して下さい。_x000a_姓と名の間には、スペースを必ず「ひとつだけ」入れて下さい。" sqref="N8 N10 N14:N21" xr:uid="{00000000-0002-0000-1B00-000017000000}"/>
    <dataValidation imeMode="on" allowBlank="1" showInputMessage="1" showErrorMessage="1" promptTitle="氏名の入力！" prompt="姓と名の間には、スペースを必ず「ひとつだけ」入れて下さい。" sqref="M8 M10 M14:M21" xr:uid="{00000000-0002-0000-1B00-000018000000}"/>
    <dataValidation type="list" imeMode="off" allowBlank="1" showInputMessage="1" showErrorMessage="1" promptTitle="学年の入力！" prompt="学年を半角数字で入力して下さい。" sqref="O8 O10 O14:O21" xr:uid="{00000000-0002-0000-1B00-000019000000}">
      <formula1>"1,2,3"</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70C0"/>
  </sheetPr>
  <dimension ref="A1:AA76"/>
  <sheetViews>
    <sheetView workbookViewId="0">
      <selection activeCell="Z25" sqref="Z25"/>
    </sheetView>
  </sheetViews>
  <sheetFormatPr defaultColWidth="12" defaultRowHeight="14.25" x14ac:dyDescent="0.15"/>
  <cols>
    <col min="1" max="1" width="10.875" style="32" customWidth="1"/>
    <col min="2" max="2" width="7.375" style="32" customWidth="1"/>
    <col min="3" max="3" width="1.875" style="32" customWidth="1"/>
    <col min="4" max="4" width="7.375" style="32" customWidth="1"/>
    <col min="5" max="5" width="1.875" style="32" customWidth="1"/>
    <col min="6" max="6" width="7.375" style="32" customWidth="1"/>
    <col min="7" max="7" width="1.875" style="32" customWidth="1"/>
    <col min="8" max="8" width="7.375" style="32" customWidth="1"/>
    <col min="9" max="10" width="2.375" style="32" customWidth="1"/>
    <col min="11" max="12" width="5" style="32" customWidth="1"/>
    <col min="13" max="13" width="11.125" style="32" customWidth="1"/>
    <col min="14" max="14" width="13.875" style="32" customWidth="1"/>
    <col min="15" max="19" width="5" style="32" customWidth="1"/>
    <col min="20" max="20" width="6.625" style="32" customWidth="1"/>
    <col min="21" max="21" width="10.125" style="32" customWidth="1"/>
    <col min="22" max="16384" width="12" style="32"/>
  </cols>
  <sheetData>
    <row r="1" spans="1:27" ht="36.75" customHeight="1" x14ac:dyDescent="0.2">
      <c r="A1" s="970" t="s">
        <v>300</v>
      </c>
      <c r="B1" s="971"/>
      <c r="C1" s="971"/>
      <c r="D1" s="971"/>
      <c r="E1" s="971"/>
      <c r="F1" s="971"/>
      <c r="G1" s="971"/>
      <c r="H1" s="971"/>
      <c r="I1" s="971"/>
      <c r="J1" s="971"/>
      <c r="K1" s="971"/>
      <c r="L1" s="971"/>
      <c r="M1" s="971"/>
      <c r="N1" s="971"/>
      <c r="O1" s="971"/>
      <c r="P1" s="971"/>
      <c r="Q1" s="971"/>
      <c r="R1" s="971"/>
      <c r="S1" s="971"/>
      <c r="T1" s="971"/>
      <c r="U1" s="31"/>
      <c r="V1" s="31"/>
    </row>
    <row r="2" spans="1:27" s="34" customFormat="1" ht="28.5" customHeight="1" thickBot="1" x14ac:dyDescent="0.2">
      <c r="A2" s="33" t="s">
        <v>301</v>
      </c>
      <c r="L2" s="972" t="str">
        <f>IF(COUNTA($T$4:$T$21)=0,"（注意） キャプテンに「１」を入力してください。","")</f>
        <v/>
      </c>
      <c r="M2" s="973"/>
      <c r="N2" s="973"/>
      <c r="O2" s="973"/>
      <c r="P2" s="973"/>
      <c r="Q2" s="973"/>
      <c r="R2" s="974" t="s">
        <v>302</v>
      </c>
      <c r="S2" s="975"/>
      <c r="U2" s="54" t="s">
        <v>303</v>
      </c>
    </row>
    <row r="3" spans="1:27" s="34" customFormat="1" ht="36.75" thickBot="1" x14ac:dyDescent="0.2">
      <c r="A3" s="35" t="s">
        <v>304</v>
      </c>
      <c r="B3" s="36" t="s">
        <v>105</v>
      </c>
      <c r="C3" s="37"/>
      <c r="D3" s="38" t="s">
        <v>125</v>
      </c>
      <c r="E3" s="976" t="s">
        <v>306</v>
      </c>
      <c r="F3" s="977"/>
      <c r="G3" s="37"/>
      <c r="H3" s="37"/>
      <c r="I3" s="37"/>
      <c r="J3" s="37"/>
      <c r="K3" s="39" t="s">
        <v>256</v>
      </c>
      <c r="L3" s="39" t="s">
        <v>257</v>
      </c>
      <c r="M3" s="39" t="s">
        <v>307</v>
      </c>
      <c r="N3" s="39" t="s">
        <v>308</v>
      </c>
      <c r="O3" s="39" t="s">
        <v>309</v>
      </c>
      <c r="P3" s="39" t="s">
        <v>310</v>
      </c>
      <c r="Q3" s="39" t="s">
        <v>311</v>
      </c>
      <c r="R3" s="39" t="s">
        <v>312</v>
      </c>
      <c r="S3" s="39" t="s">
        <v>67</v>
      </c>
      <c r="T3" s="40" t="s">
        <v>313</v>
      </c>
      <c r="U3" s="40" t="s">
        <v>314</v>
      </c>
    </row>
    <row r="4" spans="1:27" s="34" customFormat="1" ht="15" customHeight="1" thickBot="1" x14ac:dyDescent="0.2">
      <c r="A4" s="35" t="s">
        <v>315</v>
      </c>
      <c r="B4" s="36">
        <v>1</v>
      </c>
      <c r="C4" s="968" t="s">
        <v>316</v>
      </c>
      <c r="D4" s="969"/>
      <c r="E4" s="969"/>
      <c r="F4" s="969"/>
      <c r="G4" s="969"/>
      <c r="H4" s="969"/>
      <c r="I4" s="969"/>
      <c r="J4" s="41"/>
      <c r="K4" s="42">
        <v>1</v>
      </c>
      <c r="L4" s="36" t="s">
        <v>477</v>
      </c>
      <c r="M4" s="43" t="s">
        <v>481</v>
      </c>
      <c r="N4" s="43" t="s">
        <v>482</v>
      </c>
      <c r="O4" s="36">
        <v>3</v>
      </c>
      <c r="P4" s="36">
        <v>178</v>
      </c>
      <c r="Q4" s="36">
        <v>60</v>
      </c>
      <c r="R4" s="36">
        <v>12</v>
      </c>
      <c r="S4" s="36">
        <v>28</v>
      </c>
      <c r="T4" s="36"/>
      <c r="U4" s="36" t="s">
        <v>483</v>
      </c>
      <c r="V4" s="54"/>
      <c r="W4" s="54"/>
      <c r="X4" s="54"/>
      <c r="Y4" s="54"/>
      <c r="Z4" s="54"/>
      <c r="AA4" s="54"/>
    </row>
    <row r="5" spans="1:27" s="34" customFormat="1" ht="15" thickBot="1" x14ac:dyDescent="0.2">
      <c r="A5" s="35" t="s">
        <v>321</v>
      </c>
      <c r="B5" s="36"/>
      <c r="C5" s="968" t="s">
        <v>322</v>
      </c>
      <c r="D5" s="969"/>
      <c r="E5" s="969"/>
      <c r="F5" s="969"/>
      <c r="G5" s="969"/>
      <c r="H5" s="969"/>
      <c r="I5" s="969"/>
      <c r="J5" s="41"/>
      <c r="K5" s="42">
        <v>2</v>
      </c>
      <c r="L5" s="36" t="s">
        <v>458</v>
      </c>
      <c r="M5" s="43" t="s">
        <v>484</v>
      </c>
      <c r="N5" s="43" t="s">
        <v>485</v>
      </c>
      <c r="O5" s="36">
        <v>3</v>
      </c>
      <c r="P5" s="36">
        <v>165</v>
      </c>
      <c r="Q5" s="36">
        <v>50</v>
      </c>
      <c r="R5" s="36">
        <v>12</v>
      </c>
      <c r="S5" s="36">
        <v>4</v>
      </c>
      <c r="T5" s="36"/>
      <c r="U5" s="36" t="s">
        <v>483</v>
      </c>
    </row>
    <row r="6" spans="1:27" s="34" customFormat="1" ht="15" thickBot="1" x14ac:dyDescent="0.2">
      <c r="A6" s="35" t="s">
        <v>327</v>
      </c>
      <c r="B6" s="978" t="s">
        <v>486</v>
      </c>
      <c r="C6" s="980"/>
      <c r="D6" s="980"/>
      <c r="E6" s="979"/>
      <c r="F6" s="976" t="s">
        <v>329</v>
      </c>
      <c r="G6" s="977"/>
      <c r="H6" s="977"/>
      <c r="I6" s="977"/>
      <c r="J6" s="44"/>
      <c r="K6" s="42">
        <v>3</v>
      </c>
      <c r="L6" s="36" t="s">
        <v>458</v>
      </c>
      <c r="M6" s="43" t="s">
        <v>487</v>
      </c>
      <c r="N6" s="43" t="s">
        <v>488</v>
      </c>
      <c r="O6" s="36">
        <v>3</v>
      </c>
      <c r="P6" s="36">
        <v>172</v>
      </c>
      <c r="Q6" s="36">
        <v>60</v>
      </c>
      <c r="R6" s="36">
        <v>8</v>
      </c>
      <c r="S6" s="36">
        <v>4</v>
      </c>
      <c r="T6" s="36"/>
      <c r="U6" s="36" t="s">
        <v>483</v>
      </c>
    </row>
    <row r="7" spans="1:27" s="34" customFormat="1" ht="15" thickBot="1" x14ac:dyDescent="0.2">
      <c r="A7" s="35" t="s">
        <v>333</v>
      </c>
      <c r="B7" s="978" t="s">
        <v>489</v>
      </c>
      <c r="C7" s="980"/>
      <c r="D7" s="980"/>
      <c r="E7" s="979"/>
      <c r="F7" s="976" t="s">
        <v>334</v>
      </c>
      <c r="G7" s="977"/>
      <c r="H7" s="977"/>
      <c r="I7" s="977"/>
      <c r="J7" s="44"/>
      <c r="K7" s="42">
        <v>4</v>
      </c>
      <c r="L7" s="36" t="s">
        <v>458</v>
      </c>
      <c r="M7" s="43" t="s">
        <v>490</v>
      </c>
      <c r="N7" s="43" t="s">
        <v>491</v>
      </c>
      <c r="O7" s="36">
        <v>3</v>
      </c>
      <c r="P7" s="36">
        <v>165</v>
      </c>
      <c r="Q7" s="36">
        <v>48</v>
      </c>
      <c r="R7" s="36">
        <v>7</v>
      </c>
      <c r="S7" s="36">
        <v>4</v>
      </c>
      <c r="T7" s="36"/>
      <c r="U7" s="36" t="s">
        <v>492</v>
      </c>
    </row>
    <row r="8" spans="1:27" s="34" customFormat="1" ht="15" thickBot="1" x14ac:dyDescent="0.2">
      <c r="A8" s="35" t="s">
        <v>338</v>
      </c>
      <c r="B8" s="45" t="s">
        <v>493</v>
      </c>
      <c r="C8" s="46" t="s">
        <v>340</v>
      </c>
      <c r="D8" s="45" t="s">
        <v>494</v>
      </c>
      <c r="E8" s="46" t="s">
        <v>340</v>
      </c>
      <c r="F8" s="45" t="s">
        <v>495</v>
      </c>
      <c r="G8" s="37"/>
      <c r="H8" s="37"/>
      <c r="I8" s="37"/>
      <c r="J8" s="37"/>
      <c r="K8" s="42">
        <v>5</v>
      </c>
      <c r="L8" s="36" t="s">
        <v>458</v>
      </c>
      <c r="M8" s="43" t="s">
        <v>496</v>
      </c>
      <c r="N8" s="43" t="s">
        <v>497</v>
      </c>
      <c r="O8" s="36">
        <v>3</v>
      </c>
      <c r="P8" s="36">
        <v>167</v>
      </c>
      <c r="Q8" s="36">
        <v>55</v>
      </c>
      <c r="R8" s="36">
        <v>6</v>
      </c>
      <c r="S8" s="36">
        <v>2</v>
      </c>
      <c r="T8" s="36"/>
      <c r="U8" s="36" t="s">
        <v>483</v>
      </c>
    </row>
    <row r="9" spans="1:27" s="34" customFormat="1" ht="15" thickBot="1" x14ac:dyDescent="0.2">
      <c r="A9" s="35" t="s">
        <v>346</v>
      </c>
      <c r="B9" s="45" t="s">
        <v>493</v>
      </c>
      <c r="C9" s="46" t="s">
        <v>340</v>
      </c>
      <c r="D9" s="45" t="s">
        <v>494</v>
      </c>
      <c r="E9" s="46" t="s">
        <v>340</v>
      </c>
      <c r="F9" s="45" t="s">
        <v>498</v>
      </c>
      <c r="G9" s="37"/>
      <c r="H9" s="37"/>
      <c r="I9" s="37"/>
      <c r="J9" s="37"/>
      <c r="K9" s="42">
        <v>6</v>
      </c>
      <c r="L9" s="36" t="s">
        <v>469</v>
      </c>
      <c r="M9" s="43" t="s">
        <v>499</v>
      </c>
      <c r="N9" s="43" t="s">
        <v>500</v>
      </c>
      <c r="O9" s="36">
        <v>2</v>
      </c>
      <c r="P9" s="36">
        <v>161</v>
      </c>
      <c r="Q9" s="36">
        <v>46</v>
      </c>
      <c r="R9" s="36">
        <v>8</v>
      </c>
      <c r="S9" s="36">
        <v>10</v>
      </c>
      <c r="T9" s="36"/>
      <c r="U9" s="36" t="s">
        <v>492</v>
      </c>
    </row>
    <row r="10" spans="1:27" s="34" customFormat="1" ht="15" thickBot="1" x14ac:dyDescent="0.2">
      <c r="A10" s="35" t="s">
        <v>351</v>
      </c>
      <c r="B10" s="45" t="s">
        <v>501</v>
      </c>
      <c r="C10" s="46" t="s">
        <v>340</v>
      </c>
      <c r="D10" s="45" t="s">
        <v>502</v>
      </c>
      <c r="E10" s="37"/>
      <c r="F10" s="37"/>
      <c r="G10" s="37"/>
      <c r="H10" s="37"/>
      <c r="I10" s="37"/>
      <c r="J10" s="37"/>
      <c r="K10" s="42">
        <v>7</v>
      </c>
      <c r="L10" s="36" t="s">
        <v>469</v>
      </c>
      <c r="M10" s="43" t="s">
        <v>503</v>
      </c>
      <c r="N10" s="43" t="s">
        <v>504</v>
      </c>
      <c r="O10" s="36">
        <v>3</v>
      </c>
      <c r="P10" s="36">
        <v>163</v>
      </c>
      <c r="Q10" s="36">
        <v>45</v>
      </c>
      <c r="R10" s="36">
        <v>3</v>
      </c>
      <c r="S10" s="36">
        <v>9</v>
      </c>
      <c r="T10" s="36"/>
      <c r="U10" s="36" t="s">
        <v>483</v>
      </c>
    </row>
    <row r="11" spans="1:27" s="34" customFormat="1" ht="15" thickBot="1" x14ac:dyDescent="0.2">
      <c r="A11" s="35" t="s">
        <v>358</v>
      </c>
      <c r="B11" s="981" t="s">
        <v>505</v>
      </c>
      <c r="C11" s="980"/>
      <c r="D11" s="980"/>
      <c r="E11" s="980"/>
      <c r="F11" s="980"/>
      <c r="G11" s="979"/>
      <c r="H11" s="37"/>
      <c r="I11" s="37"/>
      <c r="J11" s="37"/>
      <c r="K11" s="42">
        <v>8</v>
      </c>
      <c r="L11" s="36" t="s">
        <v>469</v>
      </c>
      <c r="M11" s="43" t="s">
        <v>506</v>
      </c>
      <c r="N11" s="43" t="s">
        <v>507</v>
      </c>
      <c r="O11" s="36">
        <v>3</v>
      </c>
      <c r="P11" s="36">
        <v>159</v>
      </c>
      <c r="Q11" s="36">
        <v>48</v>
      </c>
      <c r="R11" s="36">
        <v>7</v>
      </c>
      <c r="S11" s="36">
        <v>4</v>
      </c>
      <c r="T11" s="36"/>
      <c r="U11" s="36" t="s">
        <v>492</v>
      </c>
    </row>
    <row r="12" spans="1:27" s="34" customFormat="1" ht="15" thickBot="1" x14ac:dyDescent="0.2">
      <c r="A12" s="35" t="s">
        <v>363</v>
      </c>
      <c r="B12" s="978" t="s">
        <v>508</v>
      </c>
      <c r="C12" s="979"/>
      <c r="D12" s="37"/>
      <c r="E12" s="37"/>
      <c r="F12" s="37"/>
      <c r="G12" s="37"/>
      <c r="H12" s="37"/>
      <c r="I12" s="37"/>
      <c r="J12" s="37"/>
      <c r="K12" s="42">
        <v>9</v>
      </c>
      <c r="L12" s="36" t="s">
        <v>509</v>
      </c>
      <c r="M12" s="43" t="s">
        <v>510</v>
      </c>
      <c r="N12" s="43" t="s">
        <v>511</v>
      </c>
      <c r="O12" s="36">
        <v>3</v>
      </c>
      <c r="P12" s="36">
        <v>174</v>
      </c>
      <c r="Q12" s="36">
        <v>62</v>
      </c>
      <c r="R12" s="36">
        <v>6</v>
      </c>
      <c r="S12" s="36">
        <v>11</v>
      </c>
      <c r="T12" s="36"/>
      <c r="U12" s="36" t="s">
        <v>512</v>
      </c>
    </row>
    <row r="13" spans="1:27" s="34" customFormat="1" ht="15" customHeight="1" thickBot="1" x14ac:dyDescent="0.2">
      <c r="A13" s="35" t="s">
        <v>369</v>
      </c>
      <c r="B13" s="978" t="s">
        <v>513</v>
      </c>
      <c r="C13" s="979"/>
      <c r="D13" s="982" t="str">
        <f>IF(OR(B13=B14,B13=B15,B13=B16),"","（注意）ベンチ入りできません。")</f>
        <v/>
      </c>
      <c r="E13" s="983"/>
      <c r="F13" s="983"/>
      <c r="G13" s="983"/>
      <c r="H13" s="983"/>
      <c r="I13" s="983"/>
      <c r="J13" s="37"/>
      <c r="K13" s="42">
        <v>10</v>
      </c>
      <c r="L13" s="36" t="s">
        <v>469</v>
      </c>
      <c r="M13" s="43" t="s">
        <v>514</v>
      </c>
      <c r="N13" s="43" t="s">
        <v>515</v>
      </c>
      <c r="O13" s="36">
        <v>3</v>
      </c>
      <c r="P13" s="36">
        <v>162</v>
      </c>
      <c r="Q13" s="36">
        <v>48</v>
      </c>
      <c r="R13" s="36">
        <v>4</v>
      </c>
      <c r="S13" s="36">
        <v>27</v>
      </c>
      <c r="T13" s="36">
        <v>1</v>
      </c>
      <c r="U13" s="36" t="s">
        <v>492</v>
      </c>
    </row>
    <row r="14" spans="1:27" s="34" customFormat="1" ht="15" thickBot="1" x14ac:dyDescent="0.2">
      <c r="A14" s="35" t="s">
        <v>373</v>
      </c>
      <c r="B14" s="978" t="s">
        <v>513</v>
      </c>
      <c r="C14" s="979"/>
      <c r="D14" s="48"/>
      <c r="E14" s="49"/>
      <c r="F14" s="49"/>
      <c r="G14" s="49"/>
      <c r="H14" s="49"/>
      <c r="I14" s="37"/>
      <c r="J14" s="37"/>
      <c r="K14" s="42">
        <v>11</v>
      </c>
      <c r="L14" s="36" t="s">
        <v>509</v>
      </c>
      <c r="M14" s="43" t="s">
        <v>516</v>
      </c>
      <c r="N14" s="43" t="s">
        <v>517</v>
      </c>
      <c r="O14" s="36">
        <v>3</v>
      </c>
      <c r="P14" s="36">
        <v>170</v>
      </c>
      <c r="Q14" s="36">
        <v>48</v>
      </c>
      <c r="R14" s="36">
        <v>9</v>
      </c>
      <c r="S14" s="36">
        <v>8</v>
      </c>
      <c r="T14" s="36"/>
      <c r="U14" s="36" t="s">
        <v>483</v>
      </c>
    </row>
    <row r="15" spans="1:27" s="34" customFormat="1" ht="15" thickBot="1" x14ac:dyDescent="0.2">
      <c r="A15" s="35" t="s">
        <v>377</v>
      </c>
      <c r="B15" s="978" t="s">
        <v>518</v>
      </c>
      <c r="C15" s="979"/>
      <c r="D15" s="36" t="s">
        <v>519</v>
      </c>
      <c r="E15" s="976" t="s">
        <v>380</v>
      </c>
      <c r="F15" s="977"/>
      <c r="G15" s="977"/>
      <c r="H15" s="977"/>
      <c r="I15" s="977"/>
      <c r="J15" s="44"/>
      <c r="K15" s="42">
        <v>12</v>
      </c>
      <c r="L15" s="36" t="s">
        <v>458</v>
      </c>
      <c r="M15" s="43" t="s">
        <v>520</v>
      </c>
      <c r="N15" s="43" t="s">
        <v>521</v>
      </c>
      <c r="O15" s="36">
        <v>2</v>
      </c>
      <c r="P15" s="36">
        <v>169</v>
      </c>
      <c r="Q15" s="36">
        <v>47</v>
      </c>
      <c r="R15" s="36">
        <v>5</v>
      </c>
      <c r="S15" s="36">
        <v>12</v>
      </c>
      <c r="T15" s="36"/>
      <c r="U15" s="36" t="s">
        <v>492</v>
      </c>
    </row>
    <row r="16" spans="1:27" s="34" customFormat="1" ht="15" thickBot="1" x14ac:dyDescent="0.2">
      <c r="A16" s="35" t="s">
        <v>384</v>
      </c>
      <c r="B16" s="978" t="s">
        <v>522</v>
      </c>
      <c r="C16" s="979"/>
      <c r="D16" s="36" t="s">
        <v>523</v>
      </c>
      <c r="E16" s="976" t="s">
        <v>387</v>
      </c>
      <c r="F16" s="977"/>
      <c r="G16" s="977"/>
      <c r="H16" s="977"/>
      <c r="I16" s="977"/>
      <c r="J16" s="44"/>
      <c r="K16" s="42">
        <v>13</v>
      </c>
      <c r="L16" s="36" t="s">
        <v>469</v>
      </c>
      <c r="M16" s="43" t="s">
        <v>524</v>
      </c>
      <c r="N16" s="43" t="s">
        <v>525</v>
      </c>
      <c r="O16" s="36">
        <v>2</v>
      </c>
      <c r="P16" s="36">
        <v>164</v>
      </c>
      <c r="Q16" s="36">
        <v>49</v>
      </c>
      <c r="R16" s="36">
        <v>9</v>
      </c>
      <c r="S16" s="36">
        <v>4</v>
      </c>
      <c r="T16" s="36"/>
      <c r="U16" s="36" t="s">
        <v>492</v>
      </c>
    </row>
    <row r="17" spans="1:21" s="34" customFormat="1" ht="15" thickBot="1" x14ac:dyDescent="0.2">
      <c r="A17" s="37"/>
      <c r="B17" s="984" t="s">
        <v>390</v>
      </c>
      <c r="C17" s="980"/>
      <c r="D17" s="985" t="s">
        <v>391</v>
      </c>
      <c r="E17" s="986"/>
      <c r="F17" s="985" t="s">
        <v>392</v>
      </c>
      <c r="G17" s="986"/>
      <c r="H17" s="985" t="s">
        <v>393</v>
      </c>
      <c r="I17" s="986"/>
      <c r="J17" s="44"/>
      <c r="K17" s="42">
        <v>14</v>
      </c>
      <c r="L17" s="36" t="s">
        <v>509</v>
      </c>
      <c r="M17" s="43" t="s">
        <v>526</v>
      </c>
      <c r="N17" s="43" t="s">
        <v>527</v>
      </c>
      <c r="O17" s="36">
        <v>2</v>
      </c>
      <c r="P17" s="36">
        <v>156</v>
      </c>
      <c r="Q17" s="36">
        <v>42</v>
      </c>
      <c r="R17" s="36">
        <v>1</v>
      </c>
      <c r="S17" s="36">
        <v>14</v>
      </c>
      <c r="T17" s="36"/>
      <c r="U17" s="36" t="s">
        <v>483</v>
      </c>
    </row>
    <row r="18" spans="1:21" s="34" customFormat="1" ht="15" thickBot="1" x14ac:dyDescent="0.2">
      <c r="A18" s="35" t="s">
        <v>397</v>
      </c>
      <c r="B18" s="978" t="s">
        <v>467</v>
      </c>
      <c r="C18" s="979"/>
      <c r="D18" s="978" t="s">
        <v>399</v>
      </c>
      <c r="E18" s="979"/>
      <c r="F18" s="978" t="s">
        <v>398</v>
      </c>
      <c r="G18" s="979"/>
      <c r="H18" s="978" t="s">
        <v>33</v>
      </c>
      <c r="I18" s="979"/>
      <c r="J18" s="50"/>
      <c r="K18" s="42">
        <v>15</v>
      </c>
      <c r="L18" s="36" t="s">
        <v>509</v>
      </c>
      <c r="M18" s="43" t="s">
        <v>528</v>
      </c>
      <c r="N18" s="43" t="s">
        <v>529</v>
      </c>
      <c r="O18" s="36">
        <v>2</v>
      </c>
      <c r="P18" s="36">
        <v>145</v>
      </c>
      <c r="Q18" s="36">
        <v>36</v>
      </c>
      <c r="R18" s="36">
        <v>11</v>
      </c>
      <c r="S18" s="36">
        <v>20</v>
      </c>
      <c r="T18" s="36"/>
      <c r="U18" s="36"/>
    </row>
    <row r="19" spans="1:21" s="34" customFormat="1" ht="15" thickBot="1" x14ac:dyDescent="0.2">
      <c r="A19" s="35" t="s">
        <v>405</v>
      </c>
      <c r="B19" s="978" t="s">
        <v>467</v>
      </c>
      <c r="C19" s="979"/>
      <c r="D19" s="978" t="s">
        <v>399</v>
      </c>
      <c r="E19" s="979"/>
      <c r="F19" s="978" t="s">
        <v>398</v>
      </c>
      <c r="G19" s="979"/>
      <c r="H19" s="978" t="s">
        <v>33</v>
      </c>
      <c r="I19" s="979"/>
      <c r="J19" s="50"/>
      <c r="K19" s="42">
        <v>16</v>
      </c>
      <c r="L19" s="36" t="s">
        <v>458</v>
      </c>
      <c r="M19" s="43" t="s">
        <v>530</v>
      </c>
      <c r="N19" s="43" t="s">
        <v>531</v>
      </c>
      <c r="O19" s="36">
        <v>2</v>
      </c>
      <c r="P19" s="36">
        <v>160</v>
      </c>
      <c r="Q19" s="36">
        <v>47</v>
      </c>
      <c r="R19" s="36">
        <v>3</v>
      </c>
      <c r="S19" s="36">
        <v>13</v>
      </c>
      <c r="T19" s="36"/>
      <c r="U19" s="36" t="s">
        <v>492</v>
      </c>
    </row>
    <row r="20" spans="1:21" s="34" customFormat="1" ht="15" thickBot="1" x14ac:dyDescent="0.2">
      <c r="A20" s="35" t="s">
        <v>410</v>
      </c>
      <c r="B20" s="978" t="s">
        <v>467</v>
      </c>
      <c r="C20" s="979"/>
      <c r="D20" s="978" t="s">
        <v>399</v>
      </c>
      <c r="E20" s="979"/>
      <c r="F20" s="978" t="s">
        <v>398</v>
      </c>
      <c r="G20" s="979"/>
      <c r="H20" s="978" t="s">
        <v>33</v>
      </c>
      <c r="I20" s="979"/>
      <c r="J20" s="50"/>
      <c r="K20" s="42">
        <v>17</v>
      </c>
      <c r="L20" s="36" t="s">
        <v>469</v>
      </c>
      <c r="M20" s="43" t="s">
        <v>532</v>
      </c>
      <c r="N20" s="43" t="s">
        <v>533</v>
      </c>
      <c r="O20" s="36">
        <v>2</v>
      </c>
      <c r="P20" s="36">
        <v>156</v>
      </c>
      <c r="Q20" s="36">
        <v>39</v>
      </c>
      <c r="R20" s="36">
        <v>10</v>
      </c>
      <c r="S20" s="36">
        <v>3</v>
      </c>
      <c r="T20" s="36"/>
      <c r="U20" s="36" t="s">
        <v>492</v>
      </c>
    </row>
    <row r="21" spans="1:21" s="34" customFormat="1" ht="15" thickBot="1" x14ac:dyDescent="0.2">
      <c r="B21" s="51" t="str">
        <f>IF(AND(COUNTIF($B$18:$I$18,"黒")=0,COUNTIF($B$18:$I$18,"黒色")=0,COUNTIF($B$18:$I$18,"紺")=0,COUNTIF($B$18:$I$18,"紺色")=0,COUNTIF($B$18:$I$18,"ネイビー")=0),"","（注意） シャツに黒・紺色は使えません。")</f>
        <v/>
      </c>
      <c r="K21" s="42">
        <v>18</v>
      </c>
      <c r="L21" s="36" t="s">
        <v>477</v>
      </c>
      <c r="M21" s="43" t="s">
        <v>534</v>
      </c>
      <c r="N21" s="43" t="s">
        <v>535</v>
      </c>
      <c r="O21" s="36">
        <v>2</v>
      </c>
      <c r="P21" s="36">
        <v>172</v>
      </c>
      <c r="Q21" s="36">
        <v>52</v>
      </c>
      <c r="R21" s="36">
        <v>8</v>
      </c>
      <c r="S21" s="36">
        <v>5</v>
      </c>
      <c r="T21" s="36"/>
      <c r="U21" s="36" t="s">
        <v>492</v>
      </c>
    </row>
    <row r="22" spans="1:21" s="34" customFormat="1" ht="12" x14ac:dyDescent="0.15">
      <c r="B22" s="987" t="str">
        <f>IF(AND(B18&lt;&gt;D18,B18&lt;&gt;F18,B18&lt;&gt;H18,D18&lt;&gt;F18,D18&lt;&gt;H18,F18&lt;&gt;H18)=TRUE,"","（注意） "&amp;A18&amp;"が重複しています。")</f>
        <v/>
      </c>
      <c r="C22" s="988"/>
      <c r="D22" s="988"/>
      <c r="E22" s="988"/>
      <c r="F22" s="988"/>
      <c r="G22" s="988"/>
      <c r="H22" s="988"/>
      <c r="I22" s="988"/>
      <c r="J22" s="53"/>
      <c r="K22" s="989" t="s">
        <v>416</v>
      </c>
      <c r="L22" s="990"/>
      <c r="M22" s="991"/>
      <c r="N22" s="992" t="s">
        <v>536</v>
      </c>
      <c r="O22" s="993"/>
      <c r="P22" s="993"/>
      <c r="Q22" s="993"/>
      <c r="R22" s="993"/>
      <c r="S22" s="993"/>
      <c r="T22" s="994"/>
    </row>
    <row r="23" spans="1:21" s="34" customFormat="1" ht="12" x14ac:dyDescent="0.15">
      <c r="B23" s="987" t="str">
        <f>IF(AND(B19&lt;&gt;D19,B19&lt;&gt;F19,B19&lt;&gt;H19,D19&lt;&gt;F19,D19&lt;&gt;H19,F19&lt;&gt;H19)=TRUE,"","（注意） "&amp;A19&amp;"が重複しています。")</f>
        <v/>
      </c>
      <c r="C23" s="988"/>
      <c r="D23" s="988"/>
      <c r="E23" s="988"/>
      <c r="F23" s="988"/>
      <c r="G23" s="988"/>
      <c r="H23" s="988"/>
      <c r="I23" s="988"/>
      <c r="J23" s="53"/>
      <c r="K23" s="990"/>
      <c r="L23" s="990"/>
      <c r="M23" s="991"/>
      <c r="N23" s="995"/>
      <c r="O23" s="996"/>
      <c r="P23" s="996"/>
      <c r="Q23" s="996"/>
      <c r="R23" s="996"/>
      <c r="S23" s="996"/>
      <c r="T23" s="997"/>
    </row>
    <row r="24" spans="1:21" s="34" customFormat="1" ht="52.5" customHeight="1" thickBot="1" x14ac:dyDescent="0.2">
      <c r="B24" s="1001" t="str">
        <f>IF(AND(B20&lt;&gt;D20,B20&lt;&gt;F20,B20&lt;&gt;H20,D20&lt;&gt;F20,D20&lt;&gt;H20,F20&lt;&gt;H20)=TRUE,"","（注意） "&amp;A20&amp;"が重複しています。")</f>
        <v/>
      </c>
      <c r="C24" s="1002"/>
      <c r="D24" s="1002"/>
      <c r="E24" s="1002"/>
      <c r="F24" s="1002"/>
      <c r="G24" s="1002"/>
      <c r="H24" s="1002"/>
      <c r="I24" s="1002"/>
      <c r="J24" s="53"/>
      <c r="K24" s="1003" t="str">
        <f>IF(N22="","必ず、記入して下さい。","")</f>
        <v/>
      </c>
      <c r="L24" s="1003"/>
      <c r="M24" s="1004"/>
      <c r="N24" s="998"/>
      <c r="O24" s="999"/>
      <c r="P24" s="999"/>
      <c r="Q24" s="999"/>
      <c r="R24" s="999"/>
      <c r="S24" s="999"/>
      <c r="T24" s="1000"/>
    </row>
    <row r="25" spans="1:21" s="34" customFormat="1" ht="14.25" customHeight="1" x14ac:dyDescent="0.15"/>
    <row r="26" spans="1:21" s="34" customFormat="1" ht="14.25" customHeight="1" x14ac:dyDescent="0.15">
      <c r="K26" s="32"/>
      <c r="L26" s="32"/>
      <c r="M26" s="32"/>
      <c r="N26" s="32"/>
      <c r="O26" s="32"/>
      <c r="P26" s="32"/>
      <c r="Q26" s="32"/>
      <c r="R26" s="32"/>
    </row>
    <row r="27" spans="1:21" s="34" customFormat="1" ht="14.25" customHeight="1" x14ac:dyDescent="0.15">
      <c r="K27" s="32"/>
      <c r="L27" s="32"/>
      <c r="M27" s="32"/>
      <c r="N27" s="32"/>
      <c r="O27" s="32"/>
      <c r="P27" s="32"/>
      <c r="Q27" s="32"/>
      <c r="R27" s="32"/>
    </row>
    <row r="28" spans="1:21" s="34" customFormat="1" ht="14.25" customHeight="1" x14ac:dyDescent="0.15">
      <c r="K28" s="32"/>
      <c r="L28" s="32"/>
      <c r="M28" s="32"/>
      <c r="N28" s="32"/>
      <c r="O28" s="32"/>
      <c r="P28" s="32"/>
      <c r="Q28" s="32"/>
      <c r="R28" s="32"/>
    </row>
    <row r="29" spans="1:21" ht="14.25" customHeight="1" x14ac:dyDescent="0.15"/>
    <row r="30" spans="1:21" x14ac:dyDescent="0.15">
      <c r="B30" s="52"/>
    </row>
    <row r="31" spans="1:21" x14ac:dyDescent="0.15">
      <c r="B31" s="52"/>
    </row>
    <row r="32" spans="1:21" x14ac:dyDescent="0.15">
      <c r="B32" s="52"/>
    </row>
    <row r="33" spans="2:2" x14ac:dyDescent="0.15">
      <c r="B33" s="52"/>
    </row>
    <row r="34" spans="2:2" x14ac:dyDescent="0.15">
      <c r="B34" s="52"/>
    </row>
    <row r="35" spans="2:2" x14ac:dyDescent="0.15">
      <c r="B35" s="52"/>
    </row>
    <row r="36" spans="2:2" x14ac:dyDescent="0.15">
      <c r="B36" s="52"/>
    </row>
    <row r="37" spans="2:2" x14ac:dyDescent="0.15">
      <c r="B37" s="52"/>
    </row>
    <row r="38" spans="2:2" x14ac:dyDescent="0.15">
      <c r="B38" s="52"/>
    </row>
    <row r="39" spans="2:2" x14ac:dyDescent="0.15">
      <c r="B39" s="52"/>
    </row>
    <row r="40" spans="2:2" x14ac:dyDescent="0.15">
      <c r="B40" s="52"/>
    </row>
    <row r="41" spans="2:2" x14ac:dyDescent="0.15">
      <c r="B41" s="52"/>
    </row>
    <row r="42" spans="2:2" x14ac:dyDescent="0.15">
      <c r="B42" s="52"/>
    </row>
    <row r="43" spans="2:2" x14ac:dyDescent="0.15">
      <c r="B43" s="52"/>
    </row>
    <row r="44" spans="2:2" x14ac:dyDescent="0.15">
      <c r="B44" s="52"/>
    </row>
    <row r="45" spans="2:2" x14ac:dyDescent="0.15">
      <c r="B45" s="52"/>
    </row>
    <row r="46" spans="2:2" x14ac:dyDescent="0.15">
      <c r="B46" s="52"/>
    </row>
    <row r="47" spans="2:2" x14ac:dyDescent="0.15">
      <c r="B47" s="52"/>
    </row>
    <row r="48" spans="2:2" x14ac:dyDescent="0.15">
      <c r="B48" s="52"/>
    </row>
    <row r="49" spans="2:2" x14ac:dyDescent="0.15">
      <c r="B49" s="52"/>
    </row>
    <row r="50" spans="2:2" x14ac:dyDescent="0.15">
      <c r="B50" s="52"/>
    </row>
    <row r="51" spans="2:2" x14ac:dyDescent="0.15">
      <c r="B51" s="52"/>
    </row>
    <row r="52" spans="2:2" x14ac:dyDescent="0.15">
      <c r="B52" s="52"/>
    </row>
    <row r="53" spans="2:2" x14ac:dyDescent="0.15">
      <c r="B53" s="52"/>
    </row>
    <row r="54" spans="2:2" x14ac:dyDescent="0.15">
      <c r="B54" s="52"/>
    </row>
    <row r="55" spans="2:2" x14ac:dyDescent="0.15">
      <c r="B55" s="52"/>
    </row>
    <row r="56" spans="2:2" x14ac:dyDescent="0.15">
      <c r="B56" s="52"/>
    </row>
    <row r="57" spans="2:2" x14ac:dyDescent="0.15">
      <c r="B57" s="52"/>
    </row>
    <row r="58" spans="2:2" x14ac:dyDescent="0.15">
      <c r="B58" s="52"/>
    </row>
    <row r="59" spans="2:2" x14ac:dyDescent="0.15">
      <c r="B59" s="52"/>
    </row>
    <row r="60" spans="2:2" x14ac:dyDescent="0.15">
      <c r="B60" s="52"/>
    </row>
    <row r="61" spans="2:2" x14ac:dyDescent="0.15">
      <c r="B61" s="52"/>
    </row>
    <row r="62" spans="2:2" x14ac:dyDescent="0.15">
      <c r="B62" s="52"/>
    </row>
    <row r="63" spans="2:2" x14ac:dyDescent="0.15">
      <c r="B63" s="52"/>
    </row>
    <row r="64" spans="2:2" x14ac:dyDescent="0.15">
      <c r="B64" s="52"/>
    </row>
    <row r="65" spans="2:2" x14ac:dyDescent="0.15">
      <c r="B65" s="52"/>
    </row>
    <row r="66" spans="2:2" x14ac:dyDescent="0.15">
      <c r="B66" s="52"/>
    </row>
    <row r="67" spans="2:2" x14ac:dyDescent="0.15">
      <c r="B67" s="52"/>
    </row>
    <row r="68" spans="2:2" x14ac:dyDescent="0.15">
      <c r="B68" s="52"/>
    </row>
    <row r="69" spans="2:2" x14ac:dyDescent="0.15">
      <c r="B69" s="52"/>
    </row>
    <row r="70" spans="2:2" x14ac:dyDescent="0.15">
      <c r="B70" s="52"/>
    </row>
    <row r="71" spans="2:2" x14ac:dyDescent="0.15">
      <c r="B71" s="52"/>
    </row>
    <row r="72" spans="2:2" x14ac:dyDescent="0.15">
      <c r="B72" s="52"/>
    </row>
    <row r="73" spans="2:2" x14ac:dyDescent="0.15">
      <c r="B73" s="52"/>
    </row>
    <row r="74" spans="2:2" x14ac:dyDescent="0.15">
      <c r="B74" s="52"/>
    </row>
    <row r="75" spans="2:2" x14ac:dyDescent="0.15">
      <c r="B75" s="52"/>
    </row>
    <row r="76" spans="2:2" x14ac:dyDescent="0.15">
      <c r="B76" s="52"/>
    </row>
  </sheetData>
  <mergeCells count="41">
    <mergeCell ref="B22:I22"/>
    <mergeCell ref="K22:M23"/>
    <mergeCell ref="N22:T24"/>
    <mergeCell ref="B23:I23"/>
    <mergeCell ref="B24:I24"/>
    <mergeCell ref="K24:M24"/>
    <mergeCell ref="B19:C19"/>
    <mergeCell ref="D19:E19"/>
    <mergeCell ref="F19:G19"/>
    <mergeCell ref="H19:I19"/>
    <mergeCell ref="B20:C20"/>
    <mergeCell ref="D20:E20"/>
    <mergeCell ref="F20:G20"/>
    <mergeCell ref="H20:I20"/>
    <mergeCell ref="B17:C17"/>
    <mergeCell ref="D17:E17"/>
    <mergeCell ref="F17:G17"/>
    <mergeCell ref="H17:I17"/>
    <mergeCell ref="B18:C18"/>
    <mergeCell ref="D18:E18"/>
    <mergeCell ref="F18:G18"/>
    <mergeCell ref="H18:I18"/>
    <mergeCell ref="B16:C16"/>
    <mergeCell ref="E16:I16"/>
    <mergeCell ref="B6:E6"/>
    <mergeCell ref="F6:I6"/>
    <mergeCell ref="B7:E7"/>
    <mergeCell ref="F7:I7"/>
    <mergeCell ref="B11:G11"/>
    <mergeCell ref="B12:C12"/>
    <mergeCell ref="B13:C13"/>
    <mergeCell ref="D13:I13"/>
    <mergeCell ref="B14:C14"/>
    <mergeCell ref="B15:C15"/>
    <mergeCell ref="E15:I15"/>
    <mergeCell ref="C5:I5"/>
    <mergeCell ref="A1:T1"/>
    <mergeCell ref="L2:Q2"/>
    <mergeCell ref="R2:S2"/>
    <mergeCell ref="E3:F3"/>
    <mergeCell ref="C4:I4"/>
  </mergeCells>
  <phoneticPr fontId="2"/>
  <dataValidations count="29">
    <dataValidation imeMode="hiragana" operator="lessThanOrEqual" allowBlank="1" showInputMessage="1" showErrorMessage="1" promptTitle="出身少年団" prompt="4種の時の出身少年団を入力して下さい。登録なしの場合は空欄でかまいません。全角５文字程度で入力して下さい。" sqref="U4" xr:uid="{00000000-0002-0000-1C00-000000000000}"/>
    <dataValidation type="list" imeMode="off" allowBlank="1" showErrorMessage="1" promptTitle="県体順位！" sqref="B5" xr:uid="{00000000-0002-0000-1C00-000001000000}">
      <formula1>"1,2,3"</formula1>
    </dataValidation>
    <dataValidation imeMode="hiragana" allowBlank="1" showInputMessage="1" showErrorMessage="1" promptTitle="出身少年団" prompt="4種の時の出身少年団を入力して下さい。登録なしの場合は空欄でかまいません。全角５文字程度で入力して下さい。" sqref="U5:U21" xr:uid="{00000000-0002-0000-1C00-000002000000}"/>
    <dataValidation type="whole" imeMode="off" allowBlank="1" showInputMessage="1" showErrorMessage="1" promptTitle="番号の入力！" prompt="番号は1～99の範囲で入力できます。" sqref="K4:K21" xr:uid="{00000000-0002-0000-1C00-000003000000}">
      <formula1>1</formula1>
      <formula2>99</formula2>
    </dataValidation>
    <dataValidation type="list" allowBlank="1" showInputMessage="1" showErrorMessage="1" sqref="D3" xr:uid="{00000000-0002-0000-1C00-000004000000}">
      <formula1>"新潟,長野,富山,石川,福井"</formula1>
    </dataValidation>
    <dataValidation type="list" imeMode="off" allowBlank="1" showInputMessage="1" showErrorMessage="1" sqref="T4:T21" xr:uid="{00000000-0002-0000-1C00-000005000000}">
      <formula1>"1"</formula1>
    </dataValidation>
    <dataValidation type="list" imeMode="on" allowBlank="1" showInputMessage="1" showErrorMessage="1" promptTitle="コーチの種別！" prompt="教員、承認コーチの別を選択し、入力して下さい。" sqref="D15" xr:uid="{00000000-0002-0000-1C00-000006000000}">
      <formula1>"教員,承認"</formula1>
    </dataValidation>
    <dataValidation type="textLength" imeMode="off" allowBlank="1" showInputMessage="1" showErrorMessage="1" sqref="F8:F9 D10" xr:uid="{00000000-0002-0000-1C00-000007000000}">
      <formula1>4</formula1>
      <formula2>4</formula2>
    </dataValidation>
    <dataValidation type="list" imeMode="off" allowBlank="1" showInputMessage="1" showErrorMessage="1" promptTitle="ポジションの入力！" prompt="ポジションをGK,DF,MF,FWから選択し、半角大文字で入力して下さい。" sqref="L4:L21" xr:uid="{00000000-0002-0000-1C00-000008000000}">
      <formula1>"GK,DF,MF,FW"</formula1>
    </dataValidation>
    <dataValidation imeMode="off" allowBlank="1" showInputMessage="1" showErrorMessage="1" sqref="D8:D9 B8:B10 R4:S21" xr:uid="{00000000-0002-0000-1C00-000009000000}"/>
    <dataValidation imeMode="on" allowBlank="1" showInputMessage="1" showErrorMessage="1" promptTitle="チーム紹介の入力！" prompt="プログラム作成用に必ず入力して下さい。" sqref="N22:T24" xr:uid="{00000000-0002-0000-1C00-00000A000000}"/>
    <dataValidation imeMode="off" allowBlank="1" showInputMessage="1" showErrorMessage="1" promptTitle="身長・体重の入力！" prompt="身長・体重は、半角数字で、「整数」で入力して下さい。" sqref="P4:Q21" xr:uid="{00000000-0002-0000-1C00-00000B000000}"/>
    <dataValidation imeMode="on" allowBlank="1" showInputMessage="1" showErrorMessage="1" promptTitle="マネージャー氏名の入力！" prompt="教員・生徒のどちらでも登録できます。_x000a__x000a_姓と名の間には、スペースを必ず「ひとつだけ」入れて下さい。" sqref="B16:C16" xr:uid="{00000000-0002-0000-1C00-00000C000000}"/>
    <dataValidation imeMode="on" allowBlank="1" showInputMessage="1" showErrorMessage="1" promptTitle="コーチ氏名の入力！" prompt="学校の教員および、承認されたコーチのみ登録できます。_x000a__x000a_姓と名の間には、スペースを必ず「ひとつだけ」入れて下さい。" sqref="B15:C15" xr:uid="{00000000-0002-0000-1C00-00000D000000}"/>
    <dataValidation imeMode="on" allowBlank="1" showInputMessage="1" showErrorMessage="1" promptTitle="引率責任者氏名の入力！" prompt="引率責任者のみで登録された教員は、ベンチ入りできません。ただし、監督・コーチ・マネージャーと兼ねることはできます。_x000a__x000a_姓と名の間には、スペースを必ず「ひとつだけ」入れて下さい。" sqref="B13:C13" xr:uid="{00000000-0002-0000-1C00-00000E000000}"/>
    <dataValidation imeMode="on" allowBlank="1" showInputMessage="1" showErrorMessage="1" promptTitle="監督氏名の入力！" prompt="学校の教員および校長のみが監督になれます。_x000a__x000a_姓と名の間には、スペースを必ず「ひとつだけ」入れて下さい。" sqref="B14:C14" xr:uid="{00000000-0002-0000-1C00-00000F000000}"/>
    <dataValidation imeMode="on" allowBlank="1" showInputMessage="1" showErrorMessage="1" promptTitle="校長氏名の入力！" prompt="姓と名の間には、スペースを必ず「ひとつだけ」入れて下さい。" sqref="B12:C12" xr:uid="{00000000-0002-0000-1C00-000010000000}"/>
    <dataValidation imeMode="on" allowBlank="1" showInputMessage="1" showErrorMessage="1" promptTitle="ソックスの色！" prompt="ソックスの色（ＦＰ正、ＦＰ副、ＧＫ正、ＧＫ副）はすべて違う色でなければなりません。" sqref="B20:I20" xr:uid="{00000000-0002-0000-1C00-000011000000}"/>
    <dataValidation imeMode="on" allowBlank="1" showInputMessage="1" showErrorMessage="1" promptTitle="ショーツの色！" prompt="ショーツの色（ＦＰ正、ＦＰ副、ＧＫ正、ＧＫ副）はすべて違う色でなければなりません。" sqref="B19:I19" xr:uid="{00000000-0002-0000-1C00-000012000000}"/>
    <dataValidation imeMode="on" allowBlank="1" showInputMessage="1" showErrorMessage="1" promptTitle="シャツの色！" prompt="シャツに黒、紺色は使えません。_x000a__x000a_シャツの色（ＦＰ正、ＦＰ副、ＧＫ正、ＧＫ副）はすべて違う色でなければなりません。" sqref="B18:I18" xr:uid="{00000000-0002-0000-1C00-000013000000}"/>
    <dataValidation imeMode="on" allowBlank="1" showInputMessage="1" showErrorMessage="1" promptTitle="学校名（漢字）を入力！" prompt="正式名称（～立から。ただし、私立中学校は「私立」とは入力しない。）を「全角」で入力して下さい。_x000a__x000a_（最後の「中学校」は入力の必要はありません。）" sqref="B7:E7" xr:uid="{00000000-0002-0000-1C00-000014000000}"/>
    <dataValidation type="list" imeMode="on" allowBlank="1" showInputMessage="1" showErrorMessage="1" promptTitle="マネージャーの種別！" prompt="教員、生徒の別を選択し、入力して下さい。" sqref="D16" xr:uid="{00000000-0002-0000-1C00-000015000000}">
      <formula1>"教員,生徒"</formula1>
    </dataValidation>
    <dataValidation imeMode="on" allowBlank="1" showInputMessage="1" showErrorMessage="1" promptTitle="学校名（ひらがな）を入力！" prompt="正式名称をから「全角ひらがな」で入力して下さい。_x000a__x000a_（最後の「ちゅうがっこう」は入力はしないで下さい。）" sqref="B6:E6" xr:uid="{00000000-0002-0000-1C00-000016000000}"/>
    <dataValidation imeMode="on" allowBlank="1" showInputMessage="1" showErrorMessage="1" promptTitle="学校住所！" prompt="「石川県」は入力せず、郡市名から入力して下さい。" sqref="B11:G11" xr:uid="{00000000-0002-0000-1C00-000017000000}"/>
    <dataValidation imeMode="on" allowBlank="1" showInputMessage="1" showErrorMessage="1" promptTitle="選手氏名（ふりがな）の入力！" prompt="ふりがなを「全角ひらがな」で入力して下さい。_x000a_姓と名の間には、スペースを必ず「ひとつだけ」入れて下さい。" sqref="N4:N21" xr:uid="{00000000-0002-0000-1C00-000018000000}"/>
    <dataValidation type="list" imeMode="on" allowBlank="1" showInputMessage="1" showErrorMessage="1" promptTitle="予選大会！" prompt="予選が行われた地区（南加賀・北加賀・能登）を選択し、入力して下さい。" sqref="B3" xr:uid="{00000000-0002-0000-1C00-000019000000}">
      <formula1>"北加賀,南加賀,能登"</formula1>
    </dataValidation>
    <dataValidation imeMode="on" allowBlank="1" showInputMessage="1" showErrorMessage="1" promptTitle="氏名の入力！" prompt="姓と名の間には、スペースを必ず「ひとつだけ」入れて下さい。" sqref="M4:M21" xr:uid="{00000000-0002-0000-1C00-00001A000000}"/>
    <dataValidation type="list" imeMode="off" allowBlank="1" showInputMessage="1" showErrorMessage="1" promptTitle="学年の入力！" prompt="学年を半角数字で入力して下さい。" sqref="O4:O21" xr:uid="{00000000-0002-0000-1C00-00001B000000}">
      <formula1>"1,2,3"</formula1>
    </dataValidation>
    <dataValidation type="list" imeMode="off" allowBlank="1" showInputMessage="1" showErrorMessage="1" promptTitle="県体予選順位！" prompt="３位決定戦をしていない場合は２チームが「３位」に、５～８位決定戦をしていない場合は４チームが「５位」になります。" sqref="B4" xr:uid="{00000000-0002-0000-1C00-00001C000000}">
      <formula1>"1,2,3,4,5,6,7,8"</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70C0"/>
  </sheetPr>
  <dimension ref="A1:AA76"/>
  <sheetViews>
    <sheetView workbookViewId="0">
      <selection activeCell="Z25" sqref="Z25"/>
    </sheetView>
  </sheetViews>
  <sheetFormatPr defaultColWidth="12" defaultRowHeight="14.25" x14ac:dyDescent="0.15"/>
  <cols>
    <col min="1" max="1" width="10.875" style="32" customWidth="1"/>
    <col min="2" max="2" width="7.375" style="32" customWidth="1"/>
    <col min="3" max="3" width="1.875" style="32" customWidth="1"/>
    <col min="4" max="4" width="7.375" style="32" customWidth="1"/>
    <col min="5" max="5" width="1.875" style="32" customWidth="1"/>
    <col min="6" max="6" width="7.375" style="32" customWidth="1"/>
    <col min="7" max="7" width="1.875" style="32" customWidth="1"/>
    <col min="8" max="8" width="7.375" style="32" customWidth="1"/>
    <col min="9" max="10" width="2.375" style="32" customWidth="1"/>
    <col min="11" max="12" width="5" style="32" customWidth="1"/>
    <col min="13" max="13" width="11.125" style="32" customWidth="1"/>
    <col min="14" max="14" width="13.875" style="32" customWidth="1"/>
    <col min="15" max="19" width="5" style="32" customWidth="1"/>
    <col min="20" max="20" width="6.625" style="32" customWidth="1"/>
    <col min="21" max="21" width="10.125" style="32" customWidth="1"/>
    <col min="22" max="16384" width="12" style="32"/>
  </cols>
  <sheetData>
    <row r="1" spans="1:27" ht="36.75" customHeight="1" x14ac:dyDescent="0.2">
      <c r="A1" s="970" t="s">
        <v>300</v>
      </c>
      <c r="B1" s="971"/>
      <c r="C1" s="971"/>
      <c r="D1" s="971"/>
      <c r="E1" s="971"/>
      <c r="F1" s="971"/>
      <c r="G1" s="971"/>
      <c r="H1" s="971"/>
      <c r="I1" s="971"/>
      <c r="J1" s="971"/>
      <c r="K1" s="971"/>
      <c r="L1" s="971"/>
      <c r="M1" s="971"/>
      <c r="N1" s="971"/>
      <c r="O1" s="971"/>
      <c r="P1" s="971"/>
      <c r="Q1" s="971"/>
      <c r="R1" s="971"/>
      <c r="S1" s="971"/>
      <c r="T1" s="971"/>
      <c r="U1" s="31"/>
      <c r="V1" s="31"/>
    </row>
    <row r="2" spans="1:27" s="34" customFormat="1" ht="28.5" customHeight="1" thickBot="1" x14ac:dyDescent="0.2">
      <c r="A2" s="33" t="s">
        <v>301</v>
      </c>
      <c r="L2" s="972" t="str">
        <f>IF(COUNTA($T$4:$T$21)=0,"（注意） キャプテンに「１」を入力してください。","")</f>
        <v/>
      </c>
      <c r="M2" s="973"/>
      <c r="N2" s="973"/>
      <c r="O2" s="973"/>
      <c r="P2" s="973"/>
      <c r="Q2" s="973"/>
      <c r="R2" s="974" t="s">
        <v>302</v>
      </c>
      <c r="S2" s="975"/>
      <c r="U2" s="54" t="s">
        <v>303</v>
      </c>
    </row>
    <row r="3" spans="1:27" s="34" customFormat="1" ht="36.75" thickBot="1" x14ac:dyDescent="0.2">
      <c r="A3" s="35" t="s">
        <v>304</v>
      </c>
      <c r="B3" s="36" t="s">
        <v>305</v>
      </c>
      <c r="C3" s="37"/>
      <c r="D3" s="38" t="s">
        <v>125</v>
      </c>
      <c r="E3" s="976" t="s">
        <v>306</v>
      </c>
      <c r="F3" s="977"/>
      <c r="G3" s="37"/>
      <c r="H3" s="37"/>
      <c r="I3" s="37"/>
      <c r="J3" s="37"/>
      <c r="K3" s="39" t="s">
        <v>256</v>
      </c>
      <c r="L3" s="39" t="s">
        <v>257</v>
      </c>
      <c r="M3" s="39" t="s">
        <v>307</v>
      </c>
      <c r="N3" s="39" t="s">
        <v>308</v>
      </c>
      <c r="O3" s="39" t="s">
        <v>309</v>
      </c>
      <c r="P3" s="39" t="s">
        <v>310</v>
      </c>
      <c r="Q3" s="39" t="s">
        <v>311</v>
      </c>
      <c r="R3" s="39" t="s">
        <v>312</v>
      </c>
      <c r="S3" s="39" t="s">
        <v>67</v>
      </c>
      <c r="T3" s="40" t="s">
        <v>313</v>
      </c>
      <c r="U3" s="40" t="s">
        <v>314</v>
      </c>
    </row>
    <row r="4" spans="1:27" s="34" customFormat="1" ht="15" customHeight="1" thickBot="1" x14ac:dyDescent="0.2">
      <c r="A4" s="35" t="s">
        <v>315</v>
      </c>
      <c r="B4" s="36">
        <v>2</v>
      </c>
      <c r="C4" s="968" t="s">
        <v>316</v>
      </c>
      <c r="D4" s="969"/>
      <c r="E4" s="969"/>
      <c r="F4" s="969"/>
      <c r="G4" s="969"/>
      <c r="H4" s="969"/>
      <c r="I4" s="969"/>
      <c r="J4" s="41"/>
      <c r="K4" s="42">
        <v>1</v>
      </c>
      <c r="L4" s="36" t="s">
        <v>317</v>
      </c>
      <c r="M4" s="43" t="s">
        <v>537</v>
      </c>
      <c r="N4" s="43" t="s">
        <v>538</v>
      </c>
      <c r="O4" s="36">
        <v>3</v>
      </c>
      <c r="P4" s="36">
        <v>177</v>
      </c>
      <c r="Q4" s="36">
        <v>65</v>
      </c>
      <c r="R4" s="36">
        <v>2</v>
      </c>
      <c r="S4" s="36">
        <v>1</v>
      </c>
      <c r="T4" s="36"/>
      <c r="U4" s="36" t="s">
        <v>539</v>
      </c>
      <c r="V4" s="54"/>
      <c r="W4" s="54"/>
      <c r="X4" s="54"/>
      <c r="Y4" s="54"/>
      <c r="Z4" s="54"/>
      <c r="AA4" s="54"/>
    </row>
    <row r="5" spans="1:27" s="34" customFormat="1" ht="15" thickBot="1" x14ac:dyDescent="0.2">
      <c r="A5" s="35" t="s">
        <v>321</v>
      </c>
      <c r="B5" s="36"/>
      <c r="C5" s="968" t="s">
        <v>322</v>
      </c>
      <c r="D5" s="969"/>
      <c r="E5" s="969"/>
      <c r="F5" s="969"/>
      <c r="G5" s="969"/>
      <c r="H5" s="969"/>
      <c r="I5" s="969"/>
      <c r="J5" s="41"/>
      <c r="K5" s="42">
        <v>2</v>
      </c>
      <c r="L5" s="36" t="s">
        <v>458</v>
      </c>
      <c r="M5" s="43" t="s">
        <v>540</v>
      </c>
      <c r="N5" s="43" t="s">
        <v>541</v>
      </c>
      <c r="O5" s="36">
        <v>3</v>
      </c>
      <c r="P5" s="36">
        <v>173</v>
      </c>
      <c r="Q5" s="36">
        <v>54</v>
      </c>
      <c r="R5" s="36">
        <v>8</v>
      </c>
      <c r="S5" s="36">
        <v>29</v>
      </c>
      <c r="T5" s="36"/>
      <c r="U5" s="36" t="s">
        <v>542</v>
      </c>
    </row>
    <row r="6" spans="1:27" s="34" customFormat="1" ht="15" thickBot="1" x14ac:dyDescent="0.2">
      <c r="A6" s="35" t="s">
        <v>327</v>
      </c>
      <c r="B6" s="978" t="s">
        <v>543</v>
      </c>
      <c r="C6" s="980"/>
      <c r="D6" s="980"/>
      <c r="E6" s="979"/>
      <c r="F6" s="976" t="s">
        <v>329</v>
      </c>
      <c r="G6" s="977"/>
      <c r="H6" s="977"/>
      <c r="I6" s="977"/>
      <c r="J6" s="44"/>
      <c r="K6" s="42">
        <v>3</v>
      </c>
      <c r="L6" s="36" t="s">
        <v>458</v>
      </c>
      <c r="M6" s="43" t="s">
        <v>544</v>
      </c>
      <c r="N6" s="43" t="s">
        <v>545</v>
      </c>
      <c r="O6" s="36">
        <v>3</v>
      </c>
      <c r="P6" s="36">
        <v>177</v>
      </c>
      <c r="Q6" s="36">
        <v>62</v>
      </c>
      <c r="R6" s="36">
        <v>4</v>
      </c>
      <c r="S6" s="36">
        <v>12</v>
      </c>
      <c r="T6" s="36">
        <v>1</v>
      </c>
      <c r="U6" s="36" t="s">
        <v>539</v>
      </c>
    </row>
    <row r="7" spans="1:27" s="34" customFormat="1" ht="15" thickBot="1" x14ac:dyDescent="0.2">
      <c r="A7" s="35" t="s">
        <v>333</v>
      </c>
      <c r="B7" s="978" t="s">
        <v>546</v>
      </c>
      <c r="C7" s="980"/>
      <c r="D7" s="980"/>
      <c r="E7" s="979"/>
      <c r="F7" s="976" t="s">
        <v>334</v>
      </c>
      <c r="G7" s="977"/>
      <c r="H7" s="977"/>
      <c r="I7" s="977"/>
      <c r="J7" s="44"/>
      <c r="K7" s="42">
        <v>4</v>
      </c>
      <c r="L7" s="36" t="s">
        <v>458</v>
      </c>
      <c r="M7" s="43" t="s">
        <v>547</v>
      </c>
      <c r="N7" s="43" t="s">
        <v>548</v>
      </c>
      <c r="O7" s="36">
        <v>3</v>
      </c>
      <c r="P7" s="36">
        <v>162</v>
      </c>
      <c r="Q7" s="36">
        <v>56</v>
      </c>
      <c r="R7" s="36">
        <v>11</v>
      </c>
      <c r="S7" s="36">
        <v>1</v>
      </c>
      <c r="T7" s="36"/>
      <c r="U7" s="36" t="s">
        <v>542</v>
      </c>
    </row>
    <row r="8" spans="1:27" s="34" customFormat="1" ht="15" thickBot="1" x14ac:dyDescent="0.2">
      <c r="A8" s="35" t="s">
        <v>338</v>
      </c>
      <c r="B8" s="45" t="s">
        <v>339</v>
      </c>
      <c r="C8" s="46" t="s">
        <v>340</v>
      </c>
      <c r="D8" s="45" t="s">
        <v>549</v>
      </c>
      <c r="E8" s="46" t="s">
        <v>340</v>
      </c>
      <c r="F8" s="45" t="s">
        <v>550</v>
      </c>
      <c r="G8" s="37"/>
      <c r="H8" s="37"/>
      <c r="I8" s="37"/>
      <c r="J8" s="37"/>
      <c r="K8" s="42">
        <v>5</v>
      </c>
      <c r="L8" s="36" t="s">
        <v>458</v>
      </c>
      <c r="M8" s="43" t="s">
        <v>551</v>
      </c>
      <c r="N8" s="43" t="s">
        <v>552</v>
      </c>
      <c r="O8" s="36">
        <v>3</v>
      </c>
      <c r="P8" s="36">
        <v>169</v>
      </c>
      <c r="Q8" s="36">
        <v>60</v>
      </c>
      <c r="R8" s="36">
        <v>2</v>
      </c>
      <c r="S8" s="36">
        <v>3</v>
      </c>
      <c r="T8" s="36"/>
      <c r="U8" s="36" t="s">
        <v>539</v>
      </c>
    </row>
    <row r="9" spans="1:27" s="34" customFormat="1" ht="15" thickBot="1" x14ac:dyDescent="0.2">
      <c r="A9" s="35" t="s">
        <v>346</v>
      </c>
      <c r="B9" s="45" t="s">
        <v>339</v>
      </c>
      <c r="C9" s="46" t="s">
        <v>340</v>
      </c>
      <c r="D9" s="45" t="s">
        <v>549</v>
      </c>
      <c r="E9" s="46" t="s">
        <v>340</v>
      </c>
      <c r="F9" s="45" t="s">
        <v>553</v>
      </c>
      <c r="G9" s="37"/>
      <c r="H9" s="37"/>
      <c r="I9" s="37"/>
      <c r="J9" s="37"/>
      <c r="K9" s="42">
        <v>6</v>
      </c>
      <c r="L9" s="36" t="s">
        <v>469</v>
      </c>
      <c r="M9" s="43" t="s">
        <v>554</v>
      </c>
      <c r="N9" s="43" t="s">
        <v>555</v>
      </c>
      <c r="O9" s="36">
        <v>3</v>
      </c>
      <c r="P9" s="36">
        <v>155</v>
      </c>
      <c r="Q9" s="36">
        <v>45</v>
      </c>
      <c r="R9" s="36">
        <v>10</v>
      </c>
      <c r="S9" s="36">
        <v>18</v>
      </c>
      <c r="T9" s="36"/>
      <c r="U9" s="36" t="s">
        <v>542</v>
      </c>
    </row>
    <row r="10" spans="1:27" s="34" customFormat="1" ht="15" thickBot="1" x14ac:dyDescent="0.2">
      <c r="A10" s="35" t="s">
        <v>351</v>
      </c>
      <c r="B10" s="45" t="s">
        <v>556</v>
      </c>
      <c r="C10" s="46" t="s">
        <v>340</v>
      </c>
      <c r="D10" s="45" t="s">
        <v>557</v>
      </c>
      <c r="E10" s="37"/>
      <c r="F10" s="37"/>
      <c r="G10" s="37"/>
      <c r="H10" s="37"/>
      <c r="I10" s="37"/>
      <c r="J10" s="37"/>
      <c r="K10" s="42">
        <v>7</v>
      </c>
      <c r="L10" s="36" t="s">
        <v>469</v>
      </c>
      <c r="M10" s="43" t="s">
        <v>558</v>
      </c>
      <c r="N10" s="43" t="s">
        <v>559</v>
      </c>
      <c r="O10" s="36">
        <v>3</v>
      </c>
      <c r="P10" s="36">
        <v>156</v>
      </c>
      <c r="Q10" s="36">
        <v>44</v>
      </c>
      <c r="R10" s="36">
        <v>3</v>
      </c>
      <c r="S10" s="36">
        <v>29</v>
      </c>
      <c r="T10" s="36"/>
      <c r="U10" s="36" t="s">
        <v>542</v>
      </c>
    </row>
    <row r="11" spans="1:27" s="34" customFormat="1" ht="15" thickBot="1" x14ac:dyDescent="0.2">
      <c r="A11" s="35" t="s">
        <v>358</v>
      </c>
      <c r="B11" s="981" t="s">
        <v>560</v>
      </c>
      <c r="C11" s="980"/>
      <c r="D11" s="980"/>
      <c r="E11" s="980"/>
      <c r="F11" s="980"/>
      <c r="G11" s="979"/>
      <c r="H11" s="37"/>
      <c r="I11" s="37"/>
      <c r="J11" s="37"/>
      <c r="K11" s="42">
        <v>8</v>
      </c>
      <c r="L11" s="36" t="s">
        <v>469</v>
      </c>
      <c r="M11" s="43" t="s">
        <v>561</v>
      </c>
      <c r="N11" s="43" t="s">
        <v>562</v>
      </c>
      <c r="O11" s="36">
        <v>3</v>
      </c>
      <c r="P11" s="36">
        <v>163</v>
      </c>
      <c r="Q11" s="36">
        <v>54</v>
      </c>
      <c r="R11" s="36">
        <v>7</v>
      </c>
      <c r="S11" s="36">
        <v>16</v>
      </c>
      <c r="T11" s="36"/>
      <c r="U11" s="36" t="s">
        <v>563</v>
      </c>
    </row>
    <row r="12" spans="1:27" s="34" customFormat="1" ht="15" thickBot="1" x14ac:dyDescent="0.2">
      <c r="A12" s="35" t="s">
        <v>363</v>
      </c>
      <c r="B12" s="978" t="s">
        <v>564</v>
      </c>
      <c r="C12" s="979"/>
      <c r="D12" s="37"/>
      <c r="E12" s="37"/>
      <c r="F12" s="37"/>
      <c r="G12" s="37"/>
      <c r="H12" s="37"/>
      <c r="I12" s="37"/>
      <c r="J12" s="37"/>
      <c r="K12" s="42">
        <v>9</v>
      </c>
      <c r="L12" s="36" t="s">
        <v>469</v>
      </c>
      <c r="M12" s="43" t="s">
        <v>565</v>
      </c>
      <c r="N12" s="43" t="s">
        <v>566</v>
      </c>
      <c r="O12" s="36">
        <v>3</v>
      </c>
      <c r="P12" s="36">
        <v>157</v>
      </c>
      <c r="Q12" s="36">
        <v>46</v>
      </c>
      <c r="R12" s="36">
        <v>5</v>
      </c>
      <c r="S12" s="36">
        <v>1</v>
      </c>
      <c r="T12" s="36"/>
      <c r="U12" s="36" t="s">
        <v>539</v>
      </c>
    </row>
    <row r="13" spans="1:27" s="34" customFormat="1" ht="15" customHeight="1" thickBot="1" x14ac:dyDescent="0.2">
      <c r="A13" s="35" t="s">
        <v>369</v>
      </c>
      <c r="B13" s="978" t="s">
        <v>567</v>
      </c>
      <c r="C13" s="979"/>
      <c r="D13" s="982" t="str">
        <f>IF(OR(B13=B14,B13=B15,B13=B16),"","（注意）ベンチ入りできません。")</f>
        <v/>
      </c>
      <c r="E13" s="983"/>
      <c r="F13" s="983"/>
      <c r="G13" s="983"/>
      <c r="H13" s="983"/>
      <c r="I13" s="983"/>
      <c r="J13" s="37"/>
      <c r="K13" s="42">
        <v>10</v>
      </c>
      <c r="L13" s="36" t="s">
        <v>469</v>
      </c>
      <c r="M13" s="43" t="s">
        <v>568</v>
      </c>
      <c r="N13" s="43" t="s">
        <v>569</v>
      </c>
      <c r="O13" s="36">
        <v>3</v>
      </c>
      <c r="P13" s="36">
        <v>169</v>
      </c>
      <c r="Q13" s="36">
        <v>60</v>
      </c>
      <c r="R13" s="36">
        <v>2</v>
      </c>
      <c r="S13" s="36">
        <v>22</v>
      </c>
      <c r="T13" s="36"/>
      <c r="U13" s="36" t="s">
        <v>570</v>
      </c>
    </row>
    <row r="14" spans="1:27" s="34" customFormat="1" ht="15" thickBot="1" x14ac:dyDescent="0.2">
      <c r="A14" s="35" t="s">
        <v>373</v>
      </c>
      <c r="B14" s="978" t="s">
        <v>567</v>
      </c>
      <c r="C14" s="979"/>
      <c r="D14" s="48"/>
      <c r="E14" s="49"/>
      <c r="F14" s="49"/>
      <c r="G14" s="49"/>
      <c r="H14" s="49"/>
      <c r="I14" s="37"/>
      <c r="J14" s="37"/>
      <c r="K14" s="42">
        <v>11</v>
      </c>
      <c r="L14" s="36" t="s">
        <v>509</v>
      </c>
      <c r="M14" s="43" t="s">
        <v>571</v>
      </c>
      <c r="N14" s="43" t="s">
        <v>572</v>
      </c>
      <c r="O14" s="36">
        <v>3</v>
      </c>
      <c r="P14" s="36">
        <v>166</v>
      </c>
      <c r="Q14" s="36">
        <v>48</v>
      </c>
      <c r="R14" s="36">
        <v>5</v>
      </c>
      <c r="S14" s="36">
        <v>28</v>
      </c>
      <c r="T14" s="36"/>
      <c r="U14" s="36" t="s">
        <v>542</v>
      </c>
    </row>
    <row r="15" spans="1:27" s="34" customFormat="1" ht="15" thickBot="1" x14ac:dyDescent="0.2">
      <c r="A15" s="35" t="s">
        <v>377</v>
      </c>
      <c r="B15" s="978" t="s">
        <v>573</v>
      </c>
      <c r="C15" s="979"/>
      <c r="D15" s="36" t="s">
        <v>386</v>
      </c>
      <c r="E15" s="976" t="s">
        <v>380</v>
      </c>
      <c r="F15" s="977"/>
      <c r="G15" s="977"/>
      <c r="H15" s="977"/>
      <c r="I15" s="977"/>
      <c r="J15" s="44"/>
      <c r="K15" s="42">
        <v>12</v>
      </c>
      <c r="L15" s="36" t="s">
        <v>469</v>
      </c>
      <c r="M15" s="43" t="s">
        <v>574</v>
      </c>
      <c r="N15" s="43" t="s">
        <v>575</v>
      </c>
      <c r="O15" s="36">
        <v>3</v>
      </c>
      <c r="P15" s="36">
        <v>146</v>
      </c>
      <c r="Q15" s="36">
        <v>40</v>
      </c>
      <c r="R15" s="36">
        <v>7</v>
      </c>
      <c r="S15" s="36">
        <v>30</v>
      </c>
      <c r="T15" s="36"/>
      <c r="U15" s="36" t="s">
        <v>539</v>
      </c>
    </row>
    <row r="16" spans="1:27" s="34" customFormat="1" ht="15" thickBot="1" x14ac:dyDescent="0.2">
      <c r="A16" s="35" t="s">
        <v>384</v>
      </c>
      <c r="B16" s="978"/>
      <c r="C16" s="979"/>
      <c r="D16" s="36"/>
      <c r="E16" s="976" t="s">
        <v>387</v>
      </c>
      <c r="F16" s="977"/>
      <c r="G16" s="977"/>
      <c r="H16" s="977"/>
      <c r="I16" s="977"/>
      <c r="J16" s="44"/>
      <c r="K16" s="42">
        <v>13</v>
      </c>
      <c r="L16" s="36" t="s">
        <v>509</v>
      </c>
      <c r="M16" s="43" t="s">
        <v>576</v>
      </c>
      <c r="N16" s="43" t="s">
        <v>577</v>
      </c>
      <c r="O16" s="36">
        <v>3</v>
      </c>
      <c r="P16" s="36">
        <v>163</v>
      </c>
      <c r="Q16" s="36">
        <v>47</v>
      </c>
      <c r="R16" s="36">
        <v>12</v>
      </c>
      <c r="S16" s="36">
        <v>5</v>
      </c>
      <c r="T16" s="36"/>
      <c r="U16" s="36" t="s">
        <v>539</v>
      </c>
    </row>
    <row r="17" spans="1:21" s="34" customFormat="1" ht="15" thickBot="1" x14ac:dyDescent="0.2">
      <c r="A17" s="37"/>
      <c r="B17" s="984" t="s">
        <v>390</v>
      </c>
      <c r="C17" s="980"/>
      <c r="D17" s="985" t="s">
        <v>391</v>
      </c>
      <c r="E17" s="986"/>
      <c r="F17" s="985" t="s">
        <v>392</v>
      </c>
      <c r="G17" s="986"/>
      <c r="H17" s="985" t="s">
        <v>393</v>
      </c>
      <c r="I17" s="986"/>
      <c r="J17" s="44"/>
      <c r="K17" s="42">
        <v>14</v>
      </c>
      <c r="L17" s="36" t="s">
        <v>469</v>
      </c>
      <c r="M17" s="43" t="s">
        <v>578</v>
      </c>
      <c r="N17" s="43" t="s">
        <v>579</v>
      </c>
      <c r="O17" s="36">
        <v>3</v>
      </c>
      <c r="P17" s="36">
        <v>165</v>
      </c>
      <c r="Q17" s="36">
        <v>54</v>
      </c>
      <c r="R17" s="36">
        <v>11</v>
      </c>
      <c r="S17" s="36">
        <v>13</v>
      </c>
      <c r="T17" s="36"/>
      <c r="U17" s="36" t="s">
        <v>570</v>
      </c>
    </row>
    <row r="18" spans="1:21" s="34" customFormat="1" ht="15" thickBot="1" x14ac:dyDescent="0.2">
      <c r="A18" s="35" t="s">
        <v>397</v>
      </c>
      <c r="B18" s="978" t="s">
        <v>467</v>
      </c>
      <c r="C18" s="979"/>
      <c r="D18" s="978" t="s">
        <v>399</v>
      </c>
      <c r="E18" s="979"/>
      <c r="F18" s="978" t="s">
        <v>580</v>
      </c>
      <c r="G18" s="979"/>
      <c r="H18" s="978" t="s">
        <v>398</v>
      </c>
      <c r="I18" s="979"/>
      <c r="J18" s="50"/>
      <c r="K18" s="42">
        <v>15</v>
      </c>
      <c r="L18" s="36" t="s">
        <v>458</v>
      </c>
      <c r="M18" s="43" t="s">
        <v>581</v>
      </c>
      <c r="N18" s="43" t="s">
        <v>582</v>
      </c>
      <c r="O18" s="36">
        <v>3</v>
      </c>
      <c r="P18" s="36">
        <v>166</v>
      </c>
      <c r="Q18" s="36">
        <v>48</v>
      </c>
      <c r="R18" s="36">
        <v>8</v>
      </c>
      <c r="S18" s="36">
        <v>6</v>
      </c>
      <c r="T18" s="36"/>
      <c r="U18" s="36" t="s">
        <v>570</v>
      </c>
    </row>
    <row r="19" spans="1:21" s="34" customFormat="1" ht="15" thickBot="1" x14ac:dyDescent="0.2">
      <c r="A19" s="35" t="s">
        <v>405</v>
      </c>
      <c r="B19" s="978" t="s">
        <v>467</v>
      </c>
      <c r="C19" s="979"/>
      <c r="D19" s="978" t="s">
        <v>399</v>
      </c>
      <c r="E19" s="979"/>
      <c r="F19" s="978" t="s">
        <v>580</v>
      </c>
      <c r="G19" s="979"/>
      <c r="H19" s="978" t="s">
        <v>398</v>
      </c>
      <c r="I19" s="979"/>
      <c r="J19" s="50"/>
      <c r="K19" s="42">
        <v>16</v>
      </c>
      <c r="L19" s="36" t="s">
        <v>477</v>
      </c>
      <c r="M19" s="43" t="s">
        <v>583</v>
      </c>
      <c r="N19" s="43" t="s">
        <v>584</v>
      </c>
      <c r="O19" s="36">
        <v>2</v>
      </c>
      <c r="P19" s="36">
        <v>166</v>
      </c>
      <c r="Q19" s="36">
        <v>53</v>
      </c>
      <c r="R19" s="36">
        <v>5</v>
      </c>
      <c r="S19" s="36">
        <v>5</v>
      </c>
      <c r="T19" s="36"/>
      <c r="U19" s="36" t="s">
        <v>542</v>
      </c>
    </row>
    <row r="20" spans="1:21" s="34" customFormat="1" ht="15" thickBot="1" x14ac:dyDescent="0.2">
      <c r="A20" s="35" t="s">
        <v>410</v>
      </c>
      <c r="B20" s="978" t="s">
        <v>467</v>
      </c>
      <c r="C20" s="979"/>
      <c r="D20" s="978" t="s">
        <v>399</v>
      </c>
      <c r="E20" s="979"/>
      <c r="F20" s="978" t="s">
        <v>580</v>
      </c>
      <c r="G20" s="979"/>
      <c r="H20" s="978" t="s">
        <v>398</v>
      </c>
      <c r="I20" s="979"/>
      <c r="J20" s="50"/>
      <c r="K20" s="42">
        <v>17</v>
      </c>
      <c r="L20" s="36" t="s">
        <v>458</v>
      </c>
      <c r="M20" s="43" t="s">
        <v>585</v>
      </c>
      <c r="N20" s="43" t="s">
        <v>586</v>
      </c>
      <c r="O20" s="36">
        <v>3</v>
      </c>
      <c r="P20" s="36">
        <v>170</v>
      </c>
      <c r="Q20" s="36">
        <v>52</v>
      </c>
      <c r="R20" s="36">
        <v>1</v>
      </c>
      <c r="S20" s="36">
        <v>23</v>
      </c>
      <c r="T20" s="36"/>
      <c r="U20" s="36" t="s">
        <v>539</v>
      </c>
    </row>
    <row r="21" spans="1:21" s="34" customFormat="1" ht="15" thickBot="1" x14ac:dyDescent="0.2">
      <c r="B21" s="51" t="str">
        <f>IF(AND(COUNTIF($B$18:$I$18,"黒")=0,COUNTIF($B$18:$I$18,"黒色")=0,COUNTIF($B$18:$I$18,"紺")=0,COUNTIF($B$18:$I$18,"紺色")=0,COUNTIF($B$18:$I$18,"ネイビー")=0),"","（注意） シャツに黒・紺色は使えません。")</f>
        <v/>
      </c>
      <c r="K21" s="42">
        <v>18</v>
      </c>
      <c r="L21" s="36" t="s">
        <v>458</v>
      </c>
      <c r="M21" s="43" t="s">
        <v>587</v>
      </c>
      <c r="N21" s="43" t="s">
        <v>588</v>
      </c>
      <c r="O21" s="36">
        <v>3</v>
      </c>
      <c r="P21" s="36">
        <v>163</v>
      </c>
      <c r="Q21" s="36">
        <v>49</v>
      </c>
      <c r="R21" s="36">
        <v>4</v>
      </c>
      <c r="S21" s="36">
        <v>23</v>
      </c>
      <c r="T21" s="36"/>
      <c r="U21" s="36" t="s">
        <v>570</v>
      </c>
    </row>
    <row r="22" spans="1:21" s="34" customFormat="1" ht="12" x14ac:dyDescent="0.15">
      <c r="B22" s="987" t="str">
        <f>IF(AND(B18&lt;&gt;D18,B18&lt;&gt;F18,B18&lt;&gt;H18,D18&lt;&gt;F18,D18&lt;&gt;H18,F18&lt;&gt;H18)=TRUE,"","（注意） "&amp;A18&amp;"が重複しています。")</f>
        <v/>
      </c>
      <c r="C22" s="988"/>
      <c r="D22" s="988"/>
      <c r="E22" s="988"/>
      <c r="F22" s="988"/>
      <c r="G22" s="988"/>
      <c r="H22" s="988"/>
      <c r="I22" s="988"/>
      <c r="J22" s="53"/>
      <c r="K22" s="989" t="s">
        <v>416</v>
      </c>
      <c r="L22" s="990"/>
      <c r="M22" s="991"/>
      <c r="N22" s="992" t="s">
        <v>589</v>
      </c>
      <c r="O22" s="993"/>
      <c r="P22" s="993"/>
      <c r="Q22" s="993"/>
      <c r="R22" s="993"/>
      <c r="S22" s="993"/>
      <c r="T22" s="994"/>
    </row>
    <row r="23" spans="1:21" s="34" customFormat="1" ht="12" x14ac:dyDescent="0.15">
      <c r="B23" s="987" t="str">
        <f>IF(AND(B19&lt;&gt;D19,B19&lt;&gt;F19,B19&lt;&gt;H19,D19&lt;&gt;F19,D19&lt;&gt;H19,F19&lt;&gt;H19)=TRUE,"","（注意） "&amp;A19&amp;"が重複しています。")</f>
        <v/>
      </c>
      <c r="C23" s="988"/>
      <c r="D23" s="988"/>
      <c r="E23" s="988"/>
      <c r="F23" s="988"/>
      <c r="G23" s="988"/>
      <c r="H23" s="988"/>
      <c r="I23" s="988"/>
      <c r="J23" s="53"/>
      <c r="K23" s="990"/>
      <c r="L23" s="990"/>
      <c r="M23" s="991"/>
      <c r="N23" s="995"/>
      <c r="O23" s="996"/>
      <c r="P23" s="996"/>
      <c r="Q23" s="996"/>
      <c r="R23" s="996"/>
      <c r="S23" s="996"/>
      <c r="T23" s="997"/>
    </row>
    <row r="24" spans="1:21" s="34" customFormat="1" ht="52.5" customHeight="1" thickBot="1" x14ac:dyDescent="0.2">
      <c r="B24" s="1001" t="str">
        <f>IF(AND(B20&lt;&gt;D20,B20&lt;&gt;F20,B20&lt;&gt;H20,D20&lt;&gt;F20,D20&lt;&gt;H20,F20&lt;&gt;H20)=TRUE,"","（注意） "&amp;A20&amp;"が重複しています。")</f>
        <v/>
      </c>
      <c r="C24" s="1002"/>
      <c r="D24" s="1002"/>
      <c r="E24" s="1002"/>
      <c r="F24" s="1002"/>
      <c r="G24" s="1002"/>
      <c r="H24" s="1002"/>
      <c r="I24" s="1002"/>
      <c r="J24" s="53"/>
      <c r="K24" s="1003" t="str">
        <f>IF(N22="","必ず、記入して下さい。","")</f>
        <v/>
      </c>
      <c r="L24" s="1003"/>
      <c r="M24" s="1004"/>
      <c r="N24" s="998"/>
      <c r="O24" s="999"/>
      <c r="P24" s="999"/>
      <c r="Q24" s="999"/>
      <c r="R24" s="999"/>
      <c r="S24" s="999"/>
      <c r="T24" s="1000"/>
    </row>
    <row r="25" spans="1:21" s="34" customFormat="1" ht="14.25" customHeight="1" x14ac:dyDescent="0.15"/>
    <row r="26" spans="1:21" s="34" customFormat="1" ht="14.25" customHeight="1" x14ac:dyDescent="0.15">
      <c r="K26" s="32"/>
      <c r="L26" s="32"/>
      <c r="M26" s="32"/>
      <c r="N26" s="32"/>
      <c r="O26" s="32"/>
      <c r="P26" s="32"/>
      <c r="Q26" s="32"/>
      <c r="R26" s="32"/>
    </row>
    <row r="27" spans="1:21" s="34" customFormat="1" ht="14.25" customHeight="1" x14ac:dyDescent="0.15">
      <c r="K27" s="32"/>
      <c r="L27" s="32"/>
      <c r="M27" s="32"/>
      <c r="N27" s="32"/>
      <c r="O27" s="32"/>
      <c r="P27" s="32"/>
      <c r="Q27" s="32"/>
      <c r="R27" s="32"/>
    </row>
    <row r="28" spans="1:21" s="34" customFormat="1" ht="14.25" customHeight="1" x14ac:dyDescent="0.15">
      <c r="K28" s="32"/>
      <c r="L28" s="32"/>
      <c r="M28" s="32"/>
      <c r="N28" s="32"/>
      <c r="O28" s="32"/>
      <c r="P28" s="32"/>
      <c r="Q28" s="32"/>
      <c r="R28" s="32"/>
    </row>
    <row r="29" spans="1:21" ht="14.25" customHeight="1" x14ac:dyDescent="0.15"/>
    <row r="30" spans="1:21" x14ac:dyDescent="0.15">
      <c r="B30" s="52"/>
    </row>
    <row r="31" spans="1:21" x14ac:dyDescent="0.15">
      <c r="B31" s="52"/>
    </row>
    <row r="32" spans="1:21" x14ac:dyDescent="0.15">
      <c r="B32" s="52"/>
    </row>
    <row r="33" spans="2:2" x14ac:dyDescent="0.15">
      <c r="B33" s="52"/>
    </row>
    <row r="34" spans="2:2" x14ac:dyDescent="0.15">
      <c r="B34" s="52"/>
    </row>
    <row r="35" spans="2:2" x14ac:dyDescent="0.15">
      <c r="B35" s="52"/>
    </row>
    <row r="36" spans="2:2" x14ac:dyDescent="0.15">
      <c r="B36" s="52"/>
    </row>
    <row r="37" spans="2:2" x14ac:dyDescent="0.15">
      <c r="B37" s="52"/>
    </row>
    <row r="38" spans="2:2" x14ac:dyDescent="0.15">
      <c r="B38" s="52"/>
    </row>
    <row r="39" spans="2:2" x14ac:dyDescent="0.15">
      <c r="B39" s="52"/>
    </row>
    <row r="40" spans="2:2" x14ac:dyDescent="0.15">
      <c r="B40" s="52"/>
    </row>
    <row r="41" spans="2:2" x14ac:dyDescent="0.15">
      <c r="B41" s="52"/>
    </row>
    <row r="42" spans="2:2" x14ac:dyDescent="0.15">
      <c r="B42" s="52"/>
    </row>
    <row r="43" spans="2:2" x14ac:dyDescent="0.15">
      <c r="B43" s="52"/>
    </row>
    <row r="44" spans="2:2" x14ac:dyDescent="0.15">
      <c r="B44" s="52"/>
    </row>
    <row r="45" spans="2:2" x14ac:dyDescent="0.15">
      <c r="B45" s="52"/>
    </row>
    <row r="46" spans="2:2" x14ac:dyDescent="0.15">
      <c r="B46" s="52"/>
    </row>
    <row r="47" spans="2:2" x14ac:dyDescent="0.15">
      <c r="B47" s="52"/>
    </row>
    <row r="48" spans="2:2" x14ac:dyDescent="0.15">
      <c r="B48" s="52"/>
    </row>
    <row r="49" spans="2:2" x14ac:dyDescent="0.15">
      <c r="B49" s="52"/>
    </row>
    <row r="50" spans="2:2" x14ac:dyDescent="0.15">
      <c r="B50" s="52"/>
    </row>
    <row r="51" spans="2:2" x14ac:dyDescent="0.15">
      <c r="B51" s="52"/>
    </row>
    <row r="52" spans="2:2" x14ac:dyDescent="0.15">
      <c r="B52" s="52"/>
    </row>
    <row r="53" spans="2:2" x14ac:dyDescent="0.15">
      <c r="B53" s="52"/>
    </row>
    <row r="54" spans="2:2" x14ac:dyDescent="0.15">
      <c r="B54" s="52"/>
    </row>
    <row r="55" spans="2:2" x14ac:dyDescent="0.15">
      <c r="B55" s="52"/>
    </row>
    <row r="56" spans="2:2" x14ac:dyDescent="0.15">
      <c r="B56" s="52"/>
    </row>
    <row r="57" spans="2:2" x14ac:dyDescent="0.15">
      <c r="B57" s="52"/>
    </row>
    <row r="58" spans="2:2" x14ac:dyDescent="0.15">
      <c r="B58" s="52"/>
    </row>
    <row r="59" spans="2:2" x14ac:dyDescent="0.15">
      <c r="B59" s="52"/>
    </row>
    <row r="60" spans="2:2" x14ac:dyDescent="0.15">
      <c r="B60" s="52"/>
    </row>
    <row r="61" spans="2:2" x14ac:dyDescent="0.15">
      <c r="B61" s="52"/>
    </row>
    <row r="62" spans="2:2" x14ac:dyDescent="0.15">
      <c r="B62" s="52"/>
    </row>
    <row r="63" spans="2:2" x14ac:dyDescent="0.15">
      <c r="B63" s="52"/>
    </row>
    <row r="64" spans="2:2" x14ac:dyDescent="0.15">
      <c r="B64" s="52"/>
    </row>
    <row r="65" spans="2:2" x14ac:dyDescent="0.15">
      <c r="B65" s="52"/>
    </row>
    <row r="66" spans="2:2" x14ac:dyDescent="0.15">
      <c r="B66" s="52"/>
    </row>
    <row r="67" spans="2:2" x14ac:dyDescent="0.15">
      <c r="B67" s="52"/>
    </row>
    <row r="68" spans="2:2" x14ac:dyDescent="0.15">
      <c r="B68" s="52"/>
    </row>
    <row r="69" spans="2:2" x14ac:dyDescent="0.15">
      <c r="B69" s="52"/>
    </row>
    <row r="70" spans="2:2" x14ac:dyDescent="0.15">
      <c r="B70" s="52"/>
    </row>
    <row r="71" spans="2:2" x14ac:dyDescent="0.15">
      <c r="B71" s="52"/>
    </row>
    <row r="72" spans="2:2" x14ac:dyDescent="0.15">
      <c r="B72" s="52"/>
    </row>
    <row r="73" spans="2:2" x14ac:dyDescent="0.15">
      <c r="B73" s="52"/>
    </row>
    <row r="74" spans="2:2" x14ac:dyDescent="0.15">
      <c r="B74" s="52"/>
    </row>
    <row r="75" spans="2:2" x14ac:dyDescent="0.15">
      <c r="B75" s="52"/>
    </row>
    <row r="76" spans="2:2" x14ac:dyDescent="0.15">
      <c r="B76" s="52"/>
    </row>
  </sheetData>
  <mergeCells count="41">
    <mergeCell ref="B22:I22"/>
    <mergeCell ref="K22:M23"/>
    <mergeCell ref="N22:T24"/>
    <mergeCell ref="B23:I23"/>
    <mergeCell ref="B24:I24"/>
    <mergeCell ref="K24:M24"/>
    <mergeCell ref="B19:C19"/>
    <mergeCell ref="D19:E19"/>
    <mergeCell ref="F19:G19"/>
    <mergeCell ref="H19:I19"/>
    <mergeCell ref="B20:C20"/>
    <mergeCell ref="D20:E20"/>
    <mergeCell ref="F20:G20"/>
    <mergeCell ref="H20:I20"/>
    <mergeCell ref="B17:C17"/>
    <mergeCell ref="D17:E17"/>
    <mergeCell ref="F17:G17"/>
    <mergeCell ref="H17:I17"/>
    <mergeCell ref="B18:C18"/>
    <mergeCell ref="D18:E18"/>
    <mergeCell ref="F18:G18"/>
    <mergeCell ref="H18:I18"/>
    <mergeCell ref="B16:C16"/>
    <mergeCell ref="E16:I16"/>
    <mergeCell ref="B6:E6"/>
    <mergeCell ref="F6:I6"/>
    <mergeCell ref="B7:E7"/>
    <mergeCell ref="F7:I7"/>
    <mergeCell ref="B11:G11"/>
    <mergeCell ref="B12:C12"/>
    <mergeCell ref="B13:C13"/>
    <mergeCell ref="D13:I13"/>
    <mergeCell ref="B14:C14"/>
    <mergeCell ref="B15:C15"/>
    <mergeCell ref="E15:I15"/>
    <mergeCell ref="C5:I5"/>
    <mergeCell ref="A1:T1"/>
    <mergeCell ref="L2:Q2"/>
    <mergeCell ref="R2:S2"/>
    <mergeCell ref="E3:F3"/>
    <mergeCell ref="C4:I4"/>
  </mergeCells>
  <phoneticPr fontId="2"/>
  <dataValidations count="29">
    <dataValidation type="list" imeMode="on" allowBlank="1" showInputMessage="1" showErrorMessage="1" promptTitle="マネージャーの種別！" prompt="教員、生徒の別を選択し、入力して下さい。" sqref="D16" xr:uid="{00000000-0002-0000-1D00-000000000000}">
      <formula1>"教員,生徒"</formula1>
    </dataValidation>
    <dataValidation imeMode="hiragana" operator="lessThanOrEqual" allowBlank="1" showInputMessage="1" showErrorMessage="1" promptTitle="出身少年団" prompt="4種の時の出身少年団を入力して下さい。登録なしの場合は空欄でかまいません。全角５文字程度で入力して下さい。" sqref="U4 U8 U12 U15:U16 U20" xr:uid="{00000000-0002-0000-1D00-000001000000}"/>
    <dataValidation type="list" imeMode="off" allowBlank="1" showErrorMessage="1" promptTitle="県体順位！" sqref="B5" xr:uid="{00000000-0002-0000-1D00-000002000000}">
      <formula1>"1,2,3"</formula1>
    </dataValidation>
    <dataValidation imeMode="hiragana" allowBlank="1" showInputMessage="1" showErrorMessage="1" promptTitle="出身少年団" prompt="4種の時の出身少年団を入力して下さい。登録なしの場合は空欄でかまいません。全角５文字程度で入力して下さい。" sqref="U5:U7 U21 U9:U11 U13:U14 U17:U19" xr:uid="{00000000-0002-0000-1D00-000003000000}"/>
    <dataValidation type="whole" imeMode="off" allowBlank="1" showInputMessage="1" showErrorMessage="1" promptTitle="番号の入力！" prompt="番号は1～99の範囲で入力できます。" sqref="K4:K21" xr:uid="{00000000-0002-0000-1D00-000004000000}">
      <formula1>1</formula1>
      <formula2>99</formula2>
    </dataValidation>
    <dataValidation type="list" allowBlank="1" showInputMessage="1" showErrorMessage="1" sqref="D3" xr:uid="{00000000-0002-0000-1D00-000005000000}">
      <formula1>"新潟,長野,富山,石川,福井"</formula1>
    </dataValidation>
    <dataValidation type="list" imeMode="off" allowBlank="1" showInputMessage="1" showErrorMessage="1" sqref="T4:T21" xr:uid="{00000000-0002-0000-1D00-000006000000}">
      <formula1>"1"</formula1>
    </dataValidation>
    <dataValidation type="list" imeMode="on" allowBlank="1" showInputMessage="1" showErrorMessage="1" promptTitle="コーチの種別！" prompt="教員、承認コーチの別を選択し、入力して下さい。" sqref="D15" xr:uid="{00000000-0002-0000-1D00-000007000000}">
      <formula1>"教員,承認"</formula1>
    </dataValidation>
    <dataValidation type="textLength" imeMode="off" allowBlank="1" showInputMessage="1" showErrorMessage="1" sqref="F8:F9 D10" xr:uid="{00000000-0002-0000-1D00-000008000000}">
      <formula1>4</formula1>
      <formula2>4</formula2>
    </dataValidation>
    <dataValidation type="list" imeMode="off" allowBlank="1" showInputMessage="1" showErrorMessage="1" promptTitle="ポジションの入力！" prompt="ポジションをGK,DF,MF,FWから選択し、半角大文字で入力して下さい。" sqref="L4:L21" xr:uid="{00000000-0002-0000-1D00-000009000000}">
      <formula1>"GK,DF,MF,FW"</formula1>
    </dataValidation>
    <dataValidation imeMode="off" allowBlank="1" showInputMessage="1" showErrorMessage="1" sqref="D8:D9 B8:B10 R4:S21" xr:uid="{00000000-0002-0000-1D00-00000A000000}"/>
    <dataValidation imeMode="on" allowBlank="1" showInputMessage="1" showErrorMessage="1" promptTitle="チーム紹介の入力！" prompt="プログラム作成用に必ず入力して下さい。" sqref="N22:T24" xr:uid="{00000000-0002-0000-1D00-00000B000000}"/>
    <dataValidation imeMode="off" allowBlank="1" showInputMessage="1" showErrorMessage="1" promptTitle="身長・体重の入力！" prompt="身長・体重は、半角数字で、「整数」で入力して下さい。" sqref="P4:Q21" xr:uid="{00000000-0002-0000-1D00-00000C000000}"/>
    <dataValidation imeMode="on" allowBlank="1" showInputMessage="1" showErrorMessage="1" promptTitle="マネージャー氏名の入力！" prompt="教員・生徒のどちらでも登録できます。_x000a__x000a_姓と名の間には、スペースを必ず「ひとつだけ」入れて下さい。" sqref="B16:C16" xr:uid="{00000000-0002-0000-1D00-00000D000000}"/>
    <dataValidation imeMode="on" allowBlank="1" showInputMessage="1" showErrorMessage="1" promptTitle="コーチ氏名の入力！" prompt="学校の教員および、承認されたコーチのみ登録できます。_x000a__x000a_姓と名の間には、スペースを必ず「ひとつだけ」入れて下さい。" sqref="B15:C15" xr:uid="{00000000-0002-0000-1D00-00000E000000}"/>
    <dataValidation imeMode="on" allowBlank="1" showInputMessage="1" showErrorMessage="1" promptTitle="引率責任者氏名の入力！" prompt="引率責任者のみで登録された教員は、ベンチ入りできません。ただし、監督・コーチ・マネージャーと兼ねることはできます。_x000a__x000a_姓と名の間には、スペースを必ず「ひとつだけ」入れて下さい。" sqref="B13:C13" xr:uid="{00000000-0002-0000-1D00-00000F000000}"/>
    <dataValidation imeMode="on" allowBlank="1" showInputMessage="1" showErrorMessage="1" promptTitle="監督氏名の入力！" prompt="学校の教員および校長のみが監督になれます。_x000a__x000a_姓と名の間には、スペースを必ず「ひとつだけ」入れて下さい。" sqref="B14:C14" xr:uid="{00000000-0002-0000-1D00-000010000000}"/>
    <dataValidation imeMode="on" allowBlank="1" showInputMessage="1" showErrorMessage="1" promptTitle="校長氏名の入力！" prompt="姓と名の間には、スペースを必ず「ひとつだけ」入れて下さい。" sqref="B12:C12" xr:uid="{00000000-0002-0000-1D00-000011000000}"/>
    <dataValidation imeMode="on" allowBlank="1" showInputMessage="1" showErrorMessage="1" promptTitle="ソックスの色！" prompt="ソックスの色（ＦＰ正、ＦＰ副、ＧＫ正、ＧＫ副）はすべて違う色でなければなりません。" sqref="B20:I20" xr:uid="{00000000-0002-0000-1D00-000012000000}"/>
    <dataValidation imeMode="on" allowBlank="1" showInputMessage="1" showErrorMessage="1" promptTitle="ショーツの色！" prompt="ショーツの色（ＦＰ正、ＦＰ副、ＧＫ正、ＧＫ副）はすべて違う色でなければなりません。" sqref="B19:I19" xr:uid="{00000000-0002-0000-1D00-000013000000}"/>
    <dataValidation imeMode="on" allowBlank="1" showInputMessage="1" showErrorMessage="1" promptTitle="シャツの色！" prompt="シャツに黒、紺色は使えません。_x000a__x000a_シャツの色（ＦＰ正、ＦＰ副、ＧＫ正、ＧＫ副）はすべて違う色でなければなりません。" sqref="B18:I18" xr:uid="{00000000-0002-0000-1D00-000014000000}"/>
    <dataValidation imeMode="on" allowBlank="1" showInputMessage="1" showErrorMessage="1" promptTitle="学校名（漢字）を入力！" prompt="正式名称（～立から。ただし、私立中学校は「私立」とは入力しない。）を「全角」で入力して下さい。_x000a__x000a_（最後の「中学校」は入力の必要はありません。）" sqref="B7:E7" xr:uid="{00000000-0002-0000-1D00-000015000000}"/>
    <dataValidation imeMode="on" allowBlank="1" showInputMessage="1" showErrorMessage="1" promptTitle="学校名（ひらがな）を入力！" prompt="正式名称をから「全角ひらがな」で入力して下さい。_x000a__x000a_（最後の「ちゅうがっこう」は入力はしないで下さい。）" sqref="B6:E6" xr:uid="{00000000-0002-0000-1D00-000016000000}"/>
    <dataValidation imeMode="on" allowBlank="1" showInputMessage="1" showErrorMessage="1" promptTitle="学校住所！" prompt="「石川県」は入力せず、郡市名から入力して下さい。" sqref="B11:G11" xr:uid="{00000000-0002-0000-1D00-000017000000}"/>
    <dataValidation imeMode="on" allowBlank="1" showInputMessage="1" showErrorMessage="1" promptTitle="選手氏名（ふりがな）の入力！" prompt="ふりがなを「全角ひらがな」で入力して下さい。_x000a_姓と名の間には、スペースを必ず「ひとつだけ」入れて下さい。" sqref="N4:N21" xr:uid="{00000000-0002-0000-1D00-000018000000}"/>
    <dataValidation type="list" imeMode="on" allowBlank="1" showInputMessage="1" showErrorMessage="1" promptTitle="予選大会！" prompt="予選が行われた地区（南加賀・北加賀・能登）を選択し、入力して下さい。" sqref="B3" xr:uid="{00000000-0002-0000-1D00-000019000000}">
      <formula1>"北加賀,南加賀,能登"</formula1>
    </dataValidation>
    <dataValidation imeMode="on" allowBlank="1" showInputMessage="1" showErrorMessage="1" promptTitle="氏名の入力！" prompt="姓と名の間には、スペースを必ず「ひとつだけ」入れて下さい。" sqref="M4:M21" xr:uid="{00000000-0002-0000-1D00-00001A000000}"/>
    <dataValidation type="list" imeMode="off" allowBlank="1" showInputMessage="1" showErrorMessage="1" promptTitle="学年の入力！" prompt="学年を半角数字で入力して下さい。" sqref="O4:O21" xr:uid="{00000000-0002-0000-1D00-00001B000000}">
      <formula1>"1,2,3"</formula1>
    </dataValidation>
    <dataValidation type="list" imeMode="off" allowBlank="1" showInputMessage="1" showErrorMessage="1" promptTitle="県体予選順位！" prompt="３位決定戦をしていない場合は２チームが「３位」に、５～８位決定戦をしていない場合は４チームが「５位」になります。" sqref="B4" xr:uid="{00000000-0002-0000-1D00-00001C000000}">
      <formula1>"1,2,3,4,5,6,7,8"</formula1>
    </dataValidation>
  </dataValidations>
  <pageMargins left="0.7" right="0.7" top="0.75" bottom="0.75"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747DA72B52EC5498175639A1C3112B2" ma:contentTypeVersion="2" ma:contentTypeDescription="新しいドキュメントを作成します。" ma:contentTypeScope="" ma:versionID="d632ead54db3eb117c6d5ae0478bdc82">
  <xsd:schema xmlns:xsd="http://www.w3.org/2001/XMLSchema" xmlns:xs="http://www.w3.org/2001/XMLSchema" xmlns:p="http://schemas.microsoft.com/office/2006/metadata/properties" xmlns:ns2="459a0f47-f505-4553-9890-18e0af0f5eb8" targetNamespace="http://schemas.microsoft.com/office/2006/metadata/properties" ma:root="true" ma:fieldsID="df7468b6e10126164b9575fac8d62a3d" ns2:_="">
    <xsd:import namespace="459a0f47-f505-4553-9890-18e0af0f5eb8"/>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9a0f47-f505-4553-9890-18e0af0f5e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DA64E98-DCA8-40F0-988C-F9B49952AD45}">
  <ds:schemaRef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459a0f47-f505-4553-9890-18e0af0f5eb8"/>
    <ds:schemaRef ds:uri="http://www.w3.org/XML/1998/namespace"/>
    <ds:schemaRef ds:uri="http://purl.org/dc/terms/"/>
  </ds:schemaRefs>
</ds:datastoreItem>
</file>

<file path=customXml/itemProps2.xml><?xml version="1.0" encoding="utf-8"?>
<ds:datastoreItem xmlns:ds="http://schemas.openxmlformats.org/officeDocument/2006/customXml" ds:itemID="{8CE6C708-2FF2-4CA3-8E8E-118A289070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9a0f47-f505-4553-9890-18e0af0f5e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8891713-D161-42CE-9259-162FA005A4B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9</vt:i4>
      </vt:variant>
    </vt:vector>
  </HeadingPairs>
  <TitlesOfParts>
    <vt:vector size="30" baseType="lpstr">
      <vt:lpstr>予選学校名</vt:lpstr>
      <vt:lpstr>能登(②5時刻)</vt:lpstr>
      <vt:lpstr>北(⑦23)</vt:lpstr>
      <vt:lpstr>北(⑦23時刻)</vt:lpstr>
      <vt:lpstr>南(③9)</vt:lpstr>
      <vt:lpstr>南(③9時刻)</vt:lpstr>
      <vt:lpstr>県体学校名</vt:lpstr>
      <vt:lpstr>県体(12)</vt:lpstr>
      <vt:lpstr>歴代優勝校</vt:lpstr>
      <vt:lpstr>プロ領収証</vt:lpstr>
      <vt:lpstr>マッチ準①</vt:lpstr>
      <vt:lpstr>マッチ準②</vt:lpstr>
      <vt:lpstr>マッチ決勝</vt:lpstr>
      <vt:lpstr>マッチ第3</vt:lpstr>
      <vt:lpstr>決勝公式記録</vt:lpstr>
      <vt:lpstr>データ</vt:lpstr>
      <vt:lpstr>第3公式記録</vt:lpstr>
      <vt:lpstr>チーム①</vt:lpstr>
      <vt:lpstr>チーム②</vt:lpstr>
      <vt:lpstr>チーム③</vt:lpstr>
      <vt:lpstr>チーム④</vt:lpstr>
      <vt:lpstr>プロ領収証!Print_Area</vt:lpstr>
      <vt:lpstr>決勝公式記録!Print_Area</vt:lpstr>
      <vt:lpstr>'県体(12)'!Print_Area</vt:lpstr>
      <vt:lpstr>第3公式記録!Print_Area</vt:lpstr>
      <vt:lpstr>'南(③9)'!Print_Area</vt:lpstr>
      <vt:lpstr>'南(③9時刻)'!Print_Area</vt:lpstr>
      <vt:lpstr>'能登(②5時刻)'!Print_Area</vt:lpstr>
      <vt:lpstr>'北(⑦23)'!Print_Area</vt:lpstr>
      <vt:lpstr>'北(⑦23時刻)'!Print_Area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M.KIMOTO</dc:creator>
  <cp:keywords/>
  <dc:description/>
  <cp:lastModifiedBy>Masaki Kimoto</cp:lastModifiedBy>
  <cp:revision/>
  <cp:lastPrinted>2025-08-04T21:47:02Z</cp:lastPrinted>
  <dcterms:created xsi:type="dcterms:W3CDTF">2002-06-24T23:51:23Z</dcterms:created>
  <dcterms:modified xsi:type="dcterms:W3CDTF">2025-08-08T09:31:45Z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0x0101002747DA72B52EC5498175639A1C3112B2</vt:lpwstr>
  </property>
</Properties>
</file>